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Предложение!$L$87</definedName>
    <definedName name="OFFER_METHOD">Предложение!$K$24:$K$85</definedName>
    <definedName name="OFFER_METHOD_FLAG">TEHSHEET!$L$6</definedName>
    <definedName name="OFFER_TARIFF_A_1">Предложение!$24:$26</definedName>
    <definedName name="OFFER_TARIFF_A_2">Предложение!$89:$91</definedName>
    <definedName name="OFFER_TARIFF_A_3">Предложение!$152:$154</definedName>
    <definedName name="OFFER_TARIFF_A_4">Предложение!$215:$217</definedName>
    <definedName name="OFFER_TARIFF_A_5">Предложение!$278:$280</definedName>
    <definedName name="OFFER_TARIFF_A_COLDVSNA_1">Предложение!$53:$55</definedName>
    <definedName name="OFFER_TARIFF_A_COLDVSNA_2">Предложение!$118:$120</definedName>
    <definedName name="OFFER_TARIFF_A_COLDVSNA_3">Предложение!$181:$183</definedName>
    <definedName name="OFFER_TARIFF_A_COLDVSNA_4">Предложение!$244:$246</definedName>
    <definedName name="OFFER_TARIFF_A_COLDVSNA_5">Предложение!$307:$309</definedName>
    <definedName name="OFFER_TARIFF_A_HOTVSNA_1">Предложение!$68:$70</definedName>
    <definedName name="OFFER_TARIFF_A_HOTVSNA_2">Предложение!$133:$135</definedName>
    <definedName name="OFFER_TARIFF_A_HOTVSNA_3">Предложение!$196:$198</definedName>
    <definedName name="OFFER_TARIFF_A_HOTVSNA_4">Предложение!$259:$261</definedName>
    <definedName name="OFFER_TARIFF_A_HOTVSNA_5">Предложение!$322:$324</definedName>
    <definedName name="OFFER_TARIFF_A_VOTV_1">Предложение!$77:$79</definedName>
    <definedName name="OFFER_TARIFF_A_VOTV_2">Предложение!$142:$144</definedName>
    <definedName name="OFFER_TARIFF_A_VOTV_3">Предложение!$205:$207</definedName>
    <definedName name="OFFER_TARIFF_A_VOTV_4">Предложение!$268:$270</definedName>
    <definedName name="OFFER_TARIFF_A_VOTV_5">Предложение!$331:$333</definedName>
    <definedName name="OFFER_TARIFF_B_1">Предложение!$27:$29</definedName>
    <definedName name="OFFER_TARIFF_B_2">Предложение!$92:$94</definedName>
    <definedName name="OFFER_TARIFF_B_3">Предложение!$155:$157</definedName>
    <definedName name="OFFER_TARIFF_B_4">Предложение!$218:$220</definedName>
    <definedName name="OFFER_TARIFF_B_5">Предложение!$281:$283</definedName>
    <definedName name="OFFER_TARIFF_B_COLDVSNA_1">Предложение!$56:$58</definedName>
    <definedName name="OFFER_TARIFF_B_COLDVSNA_2">Предложение!$121:$123</definedName>
    <definedName name="OFFER_TARIFF_B_COLDVSNA_3">Предложение!$184:$186</definedName>
    <definedName name="OFFER_TARIFF_B_COLDVSNA_4">Предложение!$247:$249</definedName>
    <definedName name="OFFER_TARIFF_B_COLDVSNA_5">Предложение!$310:$312</definedName>
    <definedName name="OFFER_TARIFF_B_HOTVSNA_1">Предложение!$71:$73</definedName>
    <definedName name="OFFER_TARIFF_B_HOTVSNA_2">Предложение!$136:$138</definedName>
    <definedName name="OFFER_TARIFF_B_HOTVSNA_3">Предложение!$199:$201</definedName>
    <definedName name="OFFER_TARIFF_B_HOTVSNA_4">Предложение!$262:$264</definedName>
    <definedName name="OFFER_TARIFF_B_HOTVSNA_5">Предложение!$325:$327</definedName>
    <definedName name="OFFER_TARIFF_B_VOTV_1">Предложение!$80:$82</definedName>
    <definedName name="OFFER_TARIFF_B_VOTV_2">Предложение!$145:$147</definedName>
    <definedName name="OFFER_TARIFF_B_VOTV_3">Предложение!$208:$210</definedName>
    <definedName name="OFFER_TARIFF_B_VOTV_4">Предложение!$271:$273</definedName>
    <definedName name="OFFER_TARIFF_B_VOTV_5">Предложение!$334:$336</definedName>
    <definedName name="OFFER_TARIFF_C_1">Предложение!$30:$32</definedName>
    <definedName name="OFFER_TARIFF_C_2">Предложение!$95:$97</definedName>
    <definedName name="OFFER_TARIFF_C_3">Предложение!$158:$160</definedName>
    <definedName name="OFFER_TARIFF_C_4">Предложение!$221:$223</definedName>
    <definedName name="OFFER_TARIFF_C_5">Предложение!$284:$286</definedName>
    <definedName name="OFFER_TARIFF_C_COLDVSNA_1">Предложение!$59:$61</definedName>
    <definedName name="OFFER_TARIFF_C_COLDVSNA_2">Предложение!$124:$126</definedName>
    <definedName name="OFFER_TARIFF_C_COLDVSNA_3">Предложение!$187:$189</definedName>
    <definedName name="OFFER_TARIFF_C_COLDVSNA_4">Предложение!$250:$252</definedName>
    <definedName name="OFFER_TARIFF_C_COLDVSNA_5">Предложение!$313:$315</definedName>
    <definedName name="OFFER_TARIFF_C_HOTVSNA_1">Предложение!$74:$76</definedName>
    <definedName name="OFFER_TARIFF_C_HOTVSNA_2">Предложение!$139:$141</definedName>
    <definedName name="OFFER_TARIFF_C_HOTVSNA_3">Предложение!$202:$204</definedName>
    <definedName name="OFFER_TARIFF_C_HOTVSNA_4">Предложение!$265:$267</definedName>
    <definedName name="OFFER_TARIFF_C_HOTVSNA_5">Предложение!$328:$330</definedName>
    <definedName name="OFFER_TARIFF_C_VOTV_1">Предложение!$83:$85</definedName>
    <definedName name="OFFER_TARIFF_C_VOTV_2">Предложение!$148:$150</definedName>
    <definedName name="OFFER_TARIFF_C_VOTV_3">Предложение!$211:$213</definedName>
    <definedName name="OFFER_TARIFF_C_VOTV_4">Предложение!$274:$276</definedName>
    <definedName name="OFFER_TARIFF_C_VOTV_5">Предложение!$337:$339</definedName>
    <definedName name="OFFER_TARIFF_D_1">Предложение!$33:$35</definedName>
    <definedName name="OFFER_TARIFF_D_2">Предложение!$98:$100</definedName>
    <definedName name="OFFER_TARIFF_D_3">Предложение!$161:$163</definedName>
    <definedName name="OFFER_TARIFF_D_4">Предложение!$224:$226</definedName>
    <definedName name="OFFER_TARIFF_D_5">Предложение!$287:$289</definedName>
    <definedName name="OFFER_TARIFF_D_COLDVSNA_1">Предложение!$62:$64</definedName>
    <definedName name="OFFER_TARIFF_D_COLDVSNA_2">Предложение!$127:$129</definedName>
    <definedName name="OFFER_TARIFF_D_COLDVSNA_3">Предложение!$190:$192</definedName>
    <definedName name="OFFER_TARIFF_D_COLDVSNA_4">Предложение!$253:$255</definedName>
    <definedName name="OFFER_TARIFF_D_COLDVSNA_5">Предложение!$316:$318</definedName>
    <definedName name="OFFER_TARIFF_E_COLDVSNA_1">Предложение!$65:$67</definedName>
    <definedName name="OFFER_TARIFF_E_COLDVSNA_2">Предложение!$130:$132</definedName>
    <definedName name="OFFER_TARIFF_E_COLDVSNA_3">Предложение!$193:$195</definedName>
    <definedName name="OFFER_TARIFF_E_COLDVSNA_4">Предложение!$256:$258</definedName>
    <definedName name="OFFER_TARIFF_E_COLDVSNA_5">Предложение!$319:$321</definedName>
    <definedName name="OFFER_TARIFF_E1_1">Предложение!$36:$38</definedName>
    <definedName name="OFFER_TARIFF_E1_2">Предложение!$101:$103</definedName>
    <definedName name="OFFER_TARIFF_E1_3">Предложение!$164:$166</definedName>
    <definedName name="OFFER_TARIFF_E1_4">Предложение!$227:$229</definedName>
    <definedName name="OFFER_TARIFF_E1_5">Предложение!$290:$292</definedName>
    <definedName name="OFFER_TARIFF_E2_1">Предложение!$39:$41</definedName>
    <definedName name="OFFER_TARIFF_E2_2">Предложение!$104:$106</definedName>
    <definedName name="OFFER_TARIFF_E2_3">Предложение!$167:$169</definedName>
    <definedName name="OFFER_TARIFF_E2_4">Предложение!$230:$232</definedName>
    <definedName name="OFFER_TARIFF_E2_5">Предложение!$293:$295</definedName>
    <definedName name="OFFER_TARIFF_F_1">Предложение!$42:$44</definedName>
    <definedName name="OFFER_TARIFF_F_2">Предложение!$107:$109</definedName>
    <definedName name="OFFER_TARIFF_F_3">Предложение!$170:$172</definedName>
    <definedName name="OFFER_TARIFF_F_4">Предложение!$233:$235</definedName>
    <definedName name="OFFER_TARIFF_F_5">Предложение!$296:$298</definedName>
    <definedName name="OFFER_TARIFF_G_1">Предложение!$45:$49</definedName>
    <definedName name="OFFER_TARIFF_G_2">Предложение!$110:$114</definedName>
    <definedName name="OFFER_TARIFF_G_3">Предложение!$173:$177</definedName>
    <definedName name="OFFER_TARIFF_G_4">Предложение!$236:$240</definedName>
    <definedName name="OFFER_TARIFF_G_5">Предложение!$299:$303</definedName>
    <definedName name="OFFER_TARIFF_H_1">Предложение!$50:$52</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ТП'!$E$32</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Предложение!$G$55</definedName>
    <definedName name="pIns_PT_VTAR_A_COLDVSNA_OFFER_2">Предложение!$G$120</definedName>
    <definedName name="pIns_PT_VTAR_A_COLDVSNA_OFFER_3">Предложение!$G$183</definedName>
    <definedName name="pIns_PT_VTAR_A_COLDVSNA_OFFER_4">Предложение!$G$246</definedName>
    <definedName name="pIns_PT_VTAR_A_COLDVSNA_OFFER_5">Предложение!$G$309</definedName>
    <definedName name="pIns_PT_VTAR_A_COLDVSNA_OFFER5">Предложение!$G$309</definedName>
    <definedName name="pIns_PT_VTAR_A_HOTVSNA">'ГВС. Т-гор.вода'!$T$54</definedName>
    <definedName name="pIns_PT_VTAR_A_HOTVSNA_OFFER_1">Предложение!$G$70</definedName>
    <definedName name="pIns_PT_VTAR_A_HOTVSNA_OFFER_2">Предложение!$G$135</definedName>
    <definedName name="pIns_PT_VTAR_A_HOTVSNA_OFFER_3">Предложение!$G$198</definedName>
    <definedName name="pIns_PT_VTAR_A_HOTVSNA_OFFER_4">Предложение!$G$261</definedName>
    <definedName name="pIns_PT_VTAR_A_HOTVSNA_OFFER_5">Предложение!$G$324</definedName>
    <definedName name="pIns_PT_VTAR_A_OFFER_1">Предложение!$G$26</definedName>
    <definedName name="pIns_PT_VTAR_A_OFFER_2">Предложение!$G$91</definedName>
    <definedName name="pIns_PT_VTAR_A_OFFER_3">Предложение!$G$154</definedName>
    <definedName name="pIns_PT_VTAR_A_OFFER_4">Предложение!$G$217</definedName>
    <definedName name="pIns_PT_VTAR_A_OFFER_5">Предложение!$G$280</definedName>
    <definedName name="pIns_PT_VTAR_A_VOTV">'ВО. Т-во'!$T$53</definedName>
    <definedName name="pIns_PT_VTAR_A_VOTV_OFFER_1">Предложение!$G$79</definedName>
    <definedName name="pIns_PT_VTAR_A_VOTV_OFFER_2">Предложение!$G$144</definedName>
    <definedName name="pIns_PT_VTAR_A_VOTV_OFFER_3">Предложение!$G$207</definedName>
    <definedName name="pIns_PT_VTAR_A_VOTV_OFFER_4">Предложение!$G$270</definedName>
    <definedName name="pIns_PT_VTAR_A_VOTV_OFFER_5">Предложение!$G$333</definedName>
    <definedName name="pIns_PT_VTAR_B">'ТС. Т-ТЭ | ТСО'!$T$57</definedName>
    <definedName name="pIns_PT_VTAR_B_COLDVSNA">'ХВС. Т-тех'!$T$53</definedName>
    <definedName name="pIns_PT_VTAR_B_COLDVSNA_OFFER_1">Предложение!$G$58</definedName>
    <definedName name="pIns_PT_VTAR_B_COLDVSNA_OFFER_2">Предложение!$G$123</definedName>
    <definedName name="pIns_PT_VTAR_B_COLDVSNA_OFFER_3">Предложение!$G$186</definedName>
    <definedName name="pIns_PT_VTAR_B_COLDVSNA_OFFER_4">Предложение!$G$249</definedName>
    <definedName name="pIns_PT_VTAR_B_COLDVSNA_OFFER_5">Предложение!$G$312</definedName>
    <definedName name="pIns_PT_VTAR_B_HOTVSNA">'ГВС. Т-транс'!$T$54</definedName>
    <definedName name="pIns_PT_VTAR_B_HOTVSNA_OFFER_1">Предложение!$G$73</definedName>
    <definedName name="pIns_PT_VTAR_B_HOTVSNA_OFFER_2">Предложение!$G$138</definedName>
    <definedName name="pIns_PT_VTAR_B_HOTVSNA_OFFER_3">Предложение!$G$201</definedName>
    <definedName name="pIns_PT_VTAR_B_HOTVSNA_OFFER_4">Предложение!$G$264</definedName>
    <definedName name="pIns_PT_VTAR_B_HOTVSNA_OFFER_5">Предложение!$G$327</definedName>
    <definedName name="pIns_PT_VTAR_B_OFFER_1">Предложение!$G$29</definedName>
    <definedName name="pIns_PT_VTAR_B_OFFER_2">Предложение!$G$94</definedName>
    <definedName name="pIns_PT_VTAR_B_OFFER_3">Предложение!$G$157</definedName>
    <definedName name="pIns_PT_VTAR_B_OFFER_4">Предложение!$G$220</definedName>
    <definedName name="pIns_PT_VTAR_B_OFFER_5">Предложение!$G$283</definedName>
    <definedName name="pIns_PT_VTAR_B_VOTV">'ВО. Т-транс'!$T$53</definedName>
    <definedName name="pIns_PT_VTAR_B_VOTV_OFFER_1">Предложение!$G$82</definedName>
    <definedName name="pIns_PT_VTAR_B_VOTV_OFFER_2">Предложение!$G$147</definedName>
    <definedName name="pIns_PT_VTAR_B_VOTV_OFFER_3">Предложение!$G$210</definedName>
    <definedName name="pIns_PT_VTAR_B_VOTV_OFFER_4">Предложение!$G$273</definedName>
    <definedName name="pIns_PT_VTAR_B_VOTV_OFFER_5">Предложение!$G$336</definedName>
    <definedName name="pIns_PT_VTAR_C">'ТС. Т-ТН'!$T$57</definedName>
    <definedName name="pIns_PT_VTAR_C_COLDVSNA">'ХВС. Т-транс'!$T$53</definedName>
    <definedName name="pIns_PT_VTAR_C_COLDVSNA_OFFER_1">Предложение!$G$61</definedName>
    <definedName name="pIns_PT_VTAR_C_COLDVSNA_OFFER_2">Предложение!$G$126</definedName>
    <definedName name="pIns_PT_VTAR_C_COLDVSNA_OFFER_3">Предложение!$G$189</definedName>
    <definedName name="pIns_PT_VTAR_C_COLDVSNA_OFFER_4">Предложение!$G$252</definedName>
    <definedName name="pIns_PT_VTAR_C_COLDVSNA_OFFER_5">Предложение!$G$315</definedName>
    <definedName name="pIns_PT_VTAR_C_HOTVSNA">'ГВС. Т-подкл'!$T$63</definedName>
    <definedName name="pIns_PT_VTAR_C_HOTVSNA_OFFER_1">Предложение!$G$76</definedName>
    <definedName name="pIns_PT_VTAR_C_HOTVSNA_OFFER_2">Предложение!$G$141</definedName>
    <definedName name="pIns_PT_VTAR_C_HOTVSNA_OFFER_3">Предложение!$G$204</definedName>
    <definedName name="pIns_PT_VTAR_C_HOTVSNA_OFFER_4">Предложение!$G$267</definedName>
    <definedName name="pIns_PT_VTAR_C_HOTVSNA_OFFER_5">Предложение!$G$330</definedName>
    <definedName name="pIns_PT_VTAR_C_OFFER_1">Предложение!$G$32</definedName>
    <definedName name="pIns_PT_VTAR_C_OFFER_2">Предложение!$G$97</definedName>
    <definedName name="pIns_PT_VTAR_C_OFFER_3">Предложение!$G$160</definedName>
    <definedName name="pIns_PT_VTAR_C_OFFER_4">Предложение!$G$223</definedName>
    <definedName name="pIns_PT_VTAR_C_OFFER_5">Предложение!$G$286</definedName>
    <definedName name="pIns_PT_VTAR_C_VOTV">'ВО. Т-подкл'!$T$63</definedName>
    <definedName name="pIns_PT_VTAR_C_VOTV_OFFER_1">Предложение!$G$85</definedName>
    <definedName name="pIns_PT_VTAR_C_VOTV_OFFER_2">Предложение!$G$150</definedName>
    <definedName name="pIns_PT_VTAR_C_VOTV_OFFER_3">Предложение!$G$213</definedName>
    <definedName name="pIns_PT_VTAR_C_VOTV_OFFER_4">Предложение!$G$276</definedName>
    <definedName name="pIns_PT_VTAR_C_VOTV_OFFER_5">Предложение!$G$339</definedName>
    <definedName name="pIns_PT_VTAR_D">'ТС. Т-гор.вода'!$V$65</definedName>
    <definedName name="pIns_PT_VTAR_D_COLDVSNA">'ХВС. Т-подвоз'!$T$53</definedName>
    <definedName name="pIns_PT_VTAR_D_COLDVSNA_OFFER_1">Предложение!$G$64</definedName>
    <definedName name="pIns_PT_VTAR_D_COLDVSNA_OFFER_2">Предложение!$G$129</definedName>
    <definedName name="pIns_PT_VTAR_D_COLDVSNA_OFFER_3">Предложение!$G$192</definedName>
    <definedName name="pIns_PT_VTAR_D_COLDVSNA_OFFER_4">Предложение!$G$255</definedName>
    <definedName name="pIns_PT_VTAR_D_COLDVSNA_OFFER_5">Предложение!$G$318</definedName>
    <definedName name="pIns_PT_VTAR_D_OFFER_1">Предложение!$G$35</definedName>
    <definedName name="pIns_PT_VTAR_D_OFFER_2">Предложение!$G$100</definedName>
    <definedName name="pIns_PT_VTAR_D_OFFER_3">Предложение!$G$163</definedName>
    <definedName name="pIns_PT_VTAR_D_OFFER_4">Предложение!$G$226</definedName>
    <definedName name="pIns_PT_VTAR_D_OFFER_5">Предложение!$G$289</definedName>
    <definedName name="pIns_PT_VTAR_E_COLDVSNA">'ХВС. Т-подкл'!$T$63</definedName>
    <definedName name="pIns_PT_VTAR_E_COLDVSNA_OFFER_1">Предложение!$G$67</definedName>
    <definedName name="pIns_PT_VTAR_E_COLDVSNA_OFFER_2">Предложение!$G$132</definedName>
    <definedName name="pIns_PT_VTAR_E_COLDVSNA_OFFER_3">Предложение!$G$195</definedName>
    <definedName name="pIns_PT_VTAR_E_COLDVSNA_OFFER_4">Предложение!$G$258</definedName>
    <definedName name="pIns_PT_VTAR_E_COLDVSNA_OFFER_5">Предложение!$G$321</definedName>
    <definedName name="pIns_PT_VTAR_E1">'ТС. Т-передача ТЭ'!$T$57</definedName>
    <definedName name="pIns_PT_VTAR_E1_OFFER_1">Предложение!$G$38</definedName>
    <definedName name="pIns_PT_VTAR_E1_OFFER_2">Предложение!$G$103</definedName>
    <definedName name="pIns_PT_VTAR_E1_OFFER_3">Предложение!$G$166</definedName>
    <definedName name="pIns_PT_VTAR_E1_OFFER_4">Предложение!$G$229</definedName>
    <definedName name="pIns_PT_VTAR_E1_OFFER_5">Предложение!$G$292</definedName>
    <definedName name="pIns_PT_VTAR_E2">'ТС. Т-передача ТН'!$T$57</definedName>
    <definedName name="pIns_PT_VTAR_E2_OFFER_1">Предложение!$G$41</definedName>
    <definedName name="pIns_PT_VTAR_E2_OFFER_2">Предложение!$G$106</definedName>
    <definedName name="pIns_PT_VTAR_E2_OFFER_3">Предложение!$G$169</definedName>
    <definedName name="pIns_PT_VTAR_E2_OFFER_4">Предложение!$G$232</definedName>
    <definedName name="pIns_PT_VTAR_E2_OFFER_5">Предложение!$G$295</definedName>
    <definedName name="pIns_PT_VTAR_F">'ТС. Резерв мощности'!$T$57</definedName>
    <definedName name="pIns_PT_VTAR_F_OFFER_1">Предложение!$G$44</definedName>
    <definedName name="pIns_PT_VTAR_F_OFFER_2">Предложение!$G$109</definedName>
    <definedName name="pIns_PT_VTAR_F_OFFER_3">Предложение!$G$172</definedName>
    <definedName name="pIns_PT_VTAR_F_OFFER_4">Предложение!$G$235</definedName>
    <definedName name="pIns_PT_VTAR_F_OFFER_5">Предложение!$G$298</definedName>
    <definedName name="pIns_PT_VTAR_G">'ТС. Т-подкл'!$T$62</definedName>
    <definedName name="pIns_PT_VTAR_G_OFFER_1">Предложение!$G$49</definedName>
    <definedName name="pIns_PT_VTAR_G_OFFER_2">Предложение!$G$114</definedName>
    <definedName name="pIns_PT_VTAR_G_OFFER_3">Предложение!$G$177</definedName>
    <definedName name="pIns_PT_VTAR_G_OFFER_4">Предложение!$G$240</definedName>
    <definedName name="pIns_PT_VTAR_G_OFFER_5">Предложение!$G$303</definedName>
    <definedName name="pIns_PT_VTAR_H">'ТС. Т-подкл(инд)'!$T$56</definedName>
    <definedName name="pIns_PT_VTAR_H_OFFER_1">Предложение!$G$52</definedName>
    <definedName name="pIns_PT_VTAR_H_OFFER_2">Предложение!$G$117</definedName>
    <definedName name="pIns_PT_VTAR_H_OFFER_3">Предложение!$G$180</definedName>
    <definedName name="pIns_PT_VTAR_H_OFFER_4">Предложение!$G$243</definedName>
    <definedName name="pIns_PT_VTAR_H_OFFER_5">Предложение!$G$306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&gt;=25МВт'!$DF$39</definedName>
    <definedName name="pIns_ver_HEAT_TARIFF_B">'ТС. Т-ТЭ | ТСО'!$DF$39</definedName>
    <definedName name="pIns_ver_HEAT_TARIFF_C">'ТС. Т-ТН'!$DF$39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изменении'!$E$15</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Предложение!$L$340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ТП'!$H$43</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Предложение!$L$340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&gt;=25МВт'!$DF$58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ТСО'!$DF$58</definedName>
    <definedName name="tblEnd_1_TARIFF_B_COLDVSNA">'ХВС. Т-тех'!$AJ$54</definedName>
    <definedName name="tblEnd_1_TARIFF_B_HOTVSNA">'ГВС. Т-транс'!$AR$55</definedName>
    <definedName name="tblEnd_1_TARIFF_B_VOTV">'ВО. Т-транс'!$AJ$54</definedName>
    <definedName name="tblEnd_1_TARIFF_C">'ТС. Т-ТН'!$DF$58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REESTR_IP!$A$2:$I$137</definedName>
    <definedName name="VD_LIST">REESTR_VED!$A$2:$B$11</definedName>
    <definedName name="VD_ID_LIST">REESTR_VED!$A$2:$A$11</definedName>
    <definedName name="VD_NAME_LIST">REESTR_VED!$B$2:$B$11</definedName>
    <definedName name="et_B_FHD20_1">et_union_hor!$127:$135</definedName>
    <definedName name="pt_ter_30">'ТС. Т-подкл'!#REF!</definedName>
    <definedName name="pt_cs_30">'ТС. Т-подкл'!#REF!</definedName>
    <definedName name="pt_ist_te_30">'ТС. Т-подкл'!#REF!</definedName>
    <definedName name="pt_cs_31">'ТС. Т-подкл'!#REF!</definedName>
    <definedName name="pt_ist_te_31">'ТС. Т-подкл'!#REF!</definedName>
    <definedName name="pt_cs_32">'ТС. Т-подкл'!#REF!</definedName>
    <definedName name="pt_ist_te_32">'ТС. Т-подкл'!#REF!</definedName>
    <definedName name="pt_cs_33">'ТС. Т-подкл'!#REF!</definedName>
    <definedName name="pt_ist_te_33">'ТС. Т-подкл'!#REF!</definedName>
    <definedName name="pt_ist_te_34">'ТС. Т-подкл'!#REF!</definedName>
    <definedName name="pt_ist_te_35">'ТС. Т-подкл'!#REF!</definedName>
    <definedName name="pt_ist_te_36">'ТС. Т-подкл'!#REF!</definedName>
    <definedName name="pt_ist_te_37">'ТС. Т-подкл'!#REF!</definedName>
    <definedName name="pt_ist_te_38">'ТС. Т-подкл'!#REF!</definedName>
    <definedName name="pt_ist_te_39">'ТС. Т-подкл'!#REF!</definedName>
    <definedName name="pt_ist_te_40">'ТС. Т-подкл'!#REF!</definedName>
    <definedName name="pt_ist_te_41">'ТС. Т-подкл'!#REF!</definedName>
    <definedName name="pt_ist_te_42">'ТС. Т-подкл'!#REF!</definedName>
    <definedName name="pt_ist_te_43">'ТС. Т-подкл'!#REF!</definedName>
    <definedName name="pt_ist_te_44">'ТС. Т-подкл'!#REF!</definedName>
    <definedName name="pt_ist_te_45">'ТС. Т-подкл'!#REF!</definedName>
    <definedName name="pt_ist_te_46">'ТС. Т-подкл'!#REF!</definedName>
    <definedName name="pt_ist_te_47">'ТС. Т-подкл'!#REF!</definedName>
    <definedName name="pt_ist_te_48">'ТС. Т-подкл'!#REF!</definedName>
    <definedName name="pt_ist_te_49">'ТС. Т-подкл'!#REF!</definedName>
    <definedName name="pt_ist_te_50">'ТС. Т-подкл'!#REF!</definedName>
    <definedName name="pt_ist_te_51">'ТС. Т-подкл'!#REF!</definedName>
    <definedName name="pt_ist_te_52">'ТС. Т-подкл'!#REF!</definedName>
    <definedName name="pt_ist_te_53">'ТС. Т-подкл'!#REF!</definedName>
    <definedName name="pt_ist_te_54">'ТС. Т-подкл'!#REF!</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<sst xmlns="http://schemas.openxmlformats.org/spreadsheetml/2006/main" count="31888" uniqueCount="6853">
  <si>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</si>
  <si>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</si>
  <si>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</si>
  <si>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</si>
  <si>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</si>
  <si>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</si>
  <si>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</si>
  <si>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</si>
  <si>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</si>
  <si>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</si>
  <si>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</si>
  <si>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</si>
  <si>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</si>
  <si>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26504759</t>
  </si>
  <si>
    <t>Flag_Row_Size</t>
  </si>
  <si>
    <t>Субъект РФ</t>
  </si>
  <si>
    <t>Московская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</si>
  <si>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</si>
  <si>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</si>
  <si>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</si>
  <si>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</si>
  <si>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</si>
  <si>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</si>
  <si>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</si>
  <si>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</si>
  <si>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</si>
  <si>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</si>
  <si>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</si>
  <si>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</si>
  <si>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</si>
  <si>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</si>
  <si>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</si>
  <si>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</si>
  <si>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</si>
  <si>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</si>
  <si>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</si>
  <si>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</si>
  <si>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</si>
  <si>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</si>
  <si>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</si>
  <si>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</si>
  <si>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313-Р</t>
  </si>
  <si>
    <t>Наименование органа регулирования, принявшего решение об утверждении тарифов</t>
  </si>
  <si>
    <t>Комитет по ценам и тарифам Московской области</t>
  </si>
  <si>
    <t>Источник официального опубликования решения</t>
  </si>
  <si>
    <t>Сайт Комитета по ценам и тарифам Московской области  на Интернет-портале Правительства Московской области</t>
  </si>
  <si>
    <t>Открывается, если Тип отчёта "изменения в раскрытой ранее информации"</t>
  </si>
  <si>
    <t>329-Р</t>
  </si>
  <si>
    <t>Наименование органа регулирования, принявшего решение об изменении тарифов</t>
  </si>
  <si>
    <t>Филиал "Шатурская ГРЭС" ПАО "Юнипро"</t>
  </si>
  <si>
    <t>Наименование (описание) обособленного подразделения</t>
  </si>
  <si>
    <t>ИНН</t>
  </si>
  <si>
    <t>8602067092</t>
  </si>
  <si>
    <t>КПП</t>
  </si>
  <si>
    <t>504902001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</si>
  <si>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</si>
  <si>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</si>
  <si>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</si>
  <si>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</si>
  <si>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</si>
  <si>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</si>
  <si>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</si>
  <si>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</si>
  <si>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</si>
  <si>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</si>
  <si>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</si>
  <si>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</si>
  <si>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</si>
  <si>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</si>
  <si>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</si>
  <si>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</si>
  <si>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</si>
  <si>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</si>
  <si>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140700, Московская область, г.Шатура, Черноозерский проезд, д.5</t>
  </si>
  <si>
    <t>Фамилия, имя, отчество руководителя</t>
  </si>
  <si>
    <t>Овчинников Сергей Борисович</t>
  </si>
  <si>
    <t>Ответственный за заполнение формы</t>
  </si>
  <si>
    <t>Фамилия, имя, отчество</t>
  </si>
  <si>
    <t>Крапоткина Оксана Владимировна</t>
  </si>
  <si>
    <t>Должность</t>
  </si>
  <si>
    <t xml:space="preserve">начальник ПЭО </t>
  </si>
  <si>
    <t>Контактный телефон</t>
  </si>
  <si>
    <t>8 -49645-71106</t>
  </si>
  <si>
    <t>E-mail</t>
  </si>
  <si>
    <t>Krapotkina_OV@unipro.energy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</si>
  <si>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</si>
  <si>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</si>
  <si>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</si>
  <si>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</si>
  <si>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</si>
  <si>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</si>
  <si>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</si>
  <si>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</si>
  <si>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</si>
  <si>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</si>
  <si>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</si>
  <si>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</si>
  <si>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</si>
  <si>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</si>
  <si>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</si>
  <si>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</si>
  <si>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</si>
  <si>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27</t>
  </si>
  <si>
    <t>Шатура</t>
  </si>
  <si>
    <t>46786000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</si>
  <si>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</si>
  <si>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</si>
  <si>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</si>
  <si>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</si>
  <si>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</si>
  <si>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</si>
  <si>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</si>
  <si>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</si>
  <si>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</si>
  <si>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</si>
  <si>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</si>
  <si>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</si>
  <si>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</si>
  <si>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</si>
  <si>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</si>
  <si>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</si>
  <si>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</si>
  <si>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</si>
  <si>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</si>
  <si>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</si>
  <si>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</si>
  <si>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</si>
  <si>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</si>
  <si>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</si>
  <si>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</si>
  <si>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</si>
  <si>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</si>
  <si>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</si>
  <si>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</si>
  <si>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</si>
  <si>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</si>
  <si>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</si>
  <si>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</si>
  <si>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</si>
  <si>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</si>
  <si>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</si>
  <si>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</si>
  <si>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</si>
  <si>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</si>
  <si>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</si>
  <si>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</si>
  <si>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</si>
  <si>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</si>
  <si>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</si>
  <si>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</si>
  <si>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</si>
  <si>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</si>
  <si>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</si>
  <si>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</si>
  <si>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</si>
  <si>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</si>
  <si>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</si>
  <si>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</si>
  <si>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Тариф на тепловую энергию (мощность) на коллекторах источника тепловой энергии</t>
  </si>
  <si>
    <t>"4190066"</t>
  </si>
  <si>
    <t>pIns_PT_VTAR_A</t>
  </si>
  <si>
    <t>pt_ntar_1</t>
  </si>
  <si>
    <t>pt_ter_1</t>
  </si>
  <si>
    <t>pt_cs_1</t>
  </si>
  <si>
    <t>pt_ist_te_1</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</si>
  <si>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</si>
  <si>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</si>
  <si>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</si>
  <si>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</si>
  <si>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</si>
  <si>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Тариф на тепловую энергию (мощность) поставляемую потребителям</t>
  </si>
  <si>
    <t>"4190066"; "4190068"</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</si>
  <si>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</si>
  <si>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</si>
  <si>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</si>
  <si>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</si>
  <si>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</si>
  <si>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</si>
  <si>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</si>
  <si>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Тариф на теплоноситель, поставляемый потребителям</t>
  </si>
  <si>
    <t>"4190067"</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</si>
  <si>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</si>
  <si>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</si>
  <si>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</si>
  <si>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</si>
  <si>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</si>
  <si>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</si>
  <si>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</si>
  <si>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</si>
  <si>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</si>
  <si>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</si>
  <si>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</si>
  <si>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</si>
  <si>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</si>
  <si>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</si>
  <si>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</si>
  <si>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</si>
  <si>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</si>
  <si>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</si>
  <si>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</si>
  <si>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</si>
  <si>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</si>
  <si>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</si>
  <si>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</si>
  <si>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</si>
  <si>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</si>
  <si>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</si>
  <si>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</si>
  <si>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</si>
  <si>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</si>
  <si>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</si>
  <si>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</si>
  <si>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</si>
  <si>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</si>
  <si>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</si>
  <si>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</si>
  <si>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</si>
  <si>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</si>
  <si>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</si>
  <si>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</si>
  <si>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</si>
  <si>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</si>
  <si>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</si>
  <si>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</si>
  <si>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</si>
  <si>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</si>
  <si>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</si>
  <si>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</si>
  <si>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</si>
  <si>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</si>
  <si>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</si>
  <si>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</si>
  <si>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</si>
  <si>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</si>
  <si>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</si>
  <si>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</si>
  <si>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</si>
  <si>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</si>
  <si>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</si>
  <si>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</si>
  <si>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</si>
  <si>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</si>
  <si>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</si>
  <si>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</si>
  <si>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</si>
  <si>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</si>
  <si>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</si>
  <si>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</si>
  <si>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</si>
  <si>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</si>
  <si>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</si>
  <si>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</si>
  <si>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</si>
  <si>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</si>
  <si>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</si>
  <si>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</si>
  <si>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</si>
  <si>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</si>
  <si>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</si>
  <si>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</si>
  <si>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</si>
  <si>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</si>
  <si>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</si>
  <si>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</si>
  <si>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</si>
  <si>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</si>
  <si>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</si>
  <si>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</si>
  <si>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</si>
  <si>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</si>
  <si>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</si>
  <si>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</si>
  <si>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</si>
  <si>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</si>
  <si>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</si>
  <si>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</si>
  <si>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</si>
  <si>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</si>
  <si>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</si>
  <si>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</si>
  <si>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</si>
  <si>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</si>
  <si>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</si>
  <si>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</si>
  <si>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</si>
  <si>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</si>
  <si>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</si>
  <si>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</si>
  <si>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</si>
  <si>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</si>
  <si>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</si>
  <si>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</si>
  <si>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</si>
  <si>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</si>
  <si>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</si>
  <si>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</si>
  <si>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</si>
  <si>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</si>
  <si>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</si>
  <si>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</si>
  <si>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</si>
  <si>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</si>
  <si>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</si>
  <si>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</si>
  <si>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</si>
  <si>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</si>
  <si>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</si>
  <si>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</si>
  <si>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</si>
  <si>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</si>
  <si>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</si>
  <si>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</si>
  <si>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</si>
  <si>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</si>
  <si>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</si>
  <si>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</si>
  <si>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</si>
  <si>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</si>
  <si>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</si>
  <si>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</si>
  <si>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</si>
  <si>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</si>
  <si>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</si>
  <si>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</si>
  <si>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</si>
  <si>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</si>
  <si>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</si>
  <si>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</si>
  <si>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</si>
  <si>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</si>
  <si>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</si>
  <si>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</si>
  <si>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</si>
  <si>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</si>
  <si>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</si>
  <si>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</si>
  <si>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</si>
  <si>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</si>
  <si>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</si>
  <si>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</si>
  <si>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</si>
  <si>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</si>
  <si>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</si>
  <si>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</si>
  <si>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</si>
  <si>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</si>
  <si>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</si>
  <si>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</si>
  <si>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</si>
  <si>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</si>
  <si>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</si>
  <si>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</si>
  <si>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</si>
  <si>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</si>
  <si>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</si>
  <si>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</si>
  <si>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</si>
  <si>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</si>
  <si>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</si>
  <si>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</si>
  <si>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</si>
  <si>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</si>
  <si>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</si>
  <si>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</si>
  <si>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</si>
  <si>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</si>
  <si>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</si>
  <si>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</si>
  <si>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</si>
  <si>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</si>
  <si>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</si>
  <si>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</si>
  <si>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</si>
  <si>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</si>
  <si>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</si>
  <si>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</si>
  <si>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</si>
  <si>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</si>
  <si>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</si>
  <si>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</si>
  <si>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</si>
  <si>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</si>
  <si>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</si>
  <si>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</si>
  <si>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</si>
  <si>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</si>
  <si>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</si>
  <si>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</si>
  <si>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</si>
  <si>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</si>
  <si>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</si>
  <si>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</si>
  <si>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</si>
  <si>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</si>
  <si>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</si>
  <si>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</si>
  <si>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</si>
  <si>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</si>
  <si>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</si>
  <si>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</si>
  <si>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</si>
  <si>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</si>
  <si>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</si>
  <si>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</si>
  <si>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</si>
  <si>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</si>
  <si>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</si>
  <si>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</si>
  <si>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</si>
  <si>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</si>
  <si>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</si>
  <si>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</si>
  <si>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</si>
  <si>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</si>
  <si>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</si>
  <si>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</si>
  <si>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</si>
  <si>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</si>
  <si>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</si>
  <si>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</si>
  <si>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</si>
  <si>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</si>
  <si>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</si>
  <si>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</si>
  <si>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</si>
  <si>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</si>
  <si>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</si>
  <si>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</si>
  <si>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</si>
  <si>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</si>
  <si>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</si>
  <si>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</si>
  <si>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</si>
  <si>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</si>
  <si>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</si>
  <si>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</si>
  <si>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</si>
  <si>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</si>
  <si>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</si>
  <si>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</si>
  <si>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</si>
  <si>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</si>
  <si>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</si>
  <si>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</si>
  <si>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</si>
  <si>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</si>
  <si>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</si>
  <si>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</si>
  <si>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</si>
  <si>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</si>
  <si>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</si>
  <si>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</si>
  <si>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</si>
  <si>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</si>
  <si>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</si>
  <si>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</si>
  <si>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</si>
  <si>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</si>
  <si>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</si>
  <si>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прочие</t>
  </si>
  <si>
    <t>вода</t>
  </si>
  <si>
    <t>Период действия</t>
  </si>
  <si>
    <t>без дифференциации</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</si>
  <si>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</si>
  <si>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</si>
  <si>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</si>
  <si>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</si>
  <si>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</si>
  <si>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</si>
  <si>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</si>
  <si>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</si>
  <si>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</si>
  <si>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</si>
  <si>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</si>
  <si>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</si>
  <si>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</si>
  <si>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</si>
  <si>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</si>
  <si>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</si>
  <si>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</si>
  <si>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</si>
  <si>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</si>
  <si>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</si>
  <si>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</si>
  <si>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</si>
  <si>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</si>
  <si>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</si>
  <si>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</si>
  <si>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</si>
  <si>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</si>
  <si>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</si>
  <si>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тыс.руб./Гкал/ч</t>
  </si>
  <si>
    <t>с НДС</t>
  </si>
  <si>
    <t>без НДС</t>
  </si>
  <si>
    <t>Плата за подключение к системе теплоснабжения</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</si>
  <si>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</si>
  <si>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</si>
  <si>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</si>
  <si>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</si>
  <si>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</si>
  <si>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</si>
  <si>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</si>
  <si>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</si>
  <si>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</si>
  <si>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</si>
  <si>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</si>
  <si>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</si>
  <si>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</si>
  <si>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</si>
  <si>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</si>
  <si>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</si>
  <si>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</si>
  <si>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</si>
  <si>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</si>
  <si>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</si>
  <si>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</si>
  <si>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</si>
  <si>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</si>
  <si>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</si>
  <si>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</si>
  <si>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</si>
  <si>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</si>
  <si>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</si>
  <si>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</si>
  <si>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</si>
  <si>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</si>
  <si>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</si>
  <si>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</si>
  <si>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</si>
  <si>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</si>
  <si>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</si>
  <si>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</si>
  <si>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</si>
  <si>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</si>
  <si>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</si>
  <si>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</si>
  <si>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</si>
  <si>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</si>
  <si>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</si>
  <si>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</si>
  <si>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</si>
  <si>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</si>
  <si>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</si>
  <si>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</si>
  <si>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</si>
  <si>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</si>
  <si>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</si>
  <si>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</si>
  <si>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</si>
  <si>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</si>
  <si>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</si>
  <si>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</si>
  <si>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</si>
  <si>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</si>
  <si>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</si>
  <si>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</si>
  <si>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</si>
  <si>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</si>
  <si>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</si>
  <si>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</si>
  <si>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</si>
  <si>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</si>
  <si>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</si>
  <si>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</si>
  <si>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</si>
  <si>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</si>
  <si>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</si>
  <si>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</si>
  <si>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</si>
  <si>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</si>
  <si>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</si>
  <si>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</si>
  <si>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</si>
  <si>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</si>
  <si>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</si>
  <si>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</si>
  <si>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</si>
  <si>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</si>
  <si>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</si>
  <si>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</si>
  <si>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</si>
  <si>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</si>
  <si>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</si>
  <si>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</si>
  <si>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</si>
  <si>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</si>
  <si>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</si>
  <si>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</si>
  <si>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</si>
  <si>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</si>
  <si>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</si>
  <si>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</si>
  <si>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</si>
  <si>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</si>
  <si>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</si>
  <si>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</si>
  <si>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</si>
  <si>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</si>
  <si>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</si>
  <si>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</si>
  <si>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</si>
  <si>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</si>
  <si>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</si>
  <si>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</si>
  <si>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</si>
  <si>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</si>
  <si>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</si>
  <si>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</si>
  <si>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</si>
  <si>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</si>
  <si>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</si>
  <si>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</si>
  <si>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</si>
  <si>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</si>
  <si>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</si>
  <si>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</si>
  <si>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</si>
  <si>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</si>
  <si>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</si>
  <si>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</si>
  <si>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</si>
  <si>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</si>
  <si>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</si>
  <si>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</si>
  <si>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</si>
  <si>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</si>
  <si>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</si>
  <si>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</si>
  <si>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</si>
  <si>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</si>
  <si>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</si>
  <si>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</si>
  <si>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</si>
  <si>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</si>
  <si>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</si>
  <si>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</si>
  <si>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</si>
  <si>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</si>
  <si>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</si>
  <si>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</si>
  <si>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</si>
  <si>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</si>
  <si>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</si>
  <si>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</si>
  <si>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</si>
  <si>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</si>
  <si>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</si>
  <si>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</si>
  <si>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</si>
  <si>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</si>
  <si>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</si>
  <si>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</si>
  <si>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</si>
  <si>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</si>
  <si>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</si>
  <si>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</si>
  <si>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</si>
  <si>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</si>
  <si>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</si>
  <si>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</si>
  <si>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</si>
  <si>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</si>
  <si>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</si>
  <si>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</si>
  <si>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</si>
  <si>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</si>
  <si>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</si>
  <si>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</si>
  <si>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</si>
  <si>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</si>
  <si>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</si>
  <si>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</si>
  <si>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</si>
  <si>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</si>
  <si>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</si>
  <si>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</si>
  <si>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</si>
  <si>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</si>
  <si>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</si>
  <si>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</si>
  <si>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</si>
  <si>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</si>
  <si>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</si>
  <si>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</si>
  <si>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</si>
  <si>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</si>
  <si>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</si>
  <si>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</si>
  <si>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</si>
  <si>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</si>
  <si>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</si>
  <si>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</si>
  <si>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</si>
  <si>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</si>
  <si>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</si>
  <si>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</si>
  <si>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</si>
  <si>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</si>
  <si>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</si>
  <si>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</si>
  <si>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</si>
  <si>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</si>
  <si>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</si>
  <si>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</si>
  <si>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</si>
  <si>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</si>
  <si>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</si>
  <si>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</si>
  <si>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</si>
  <si>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</si>
  <si>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</si>
  <si>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</si>
  <si>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</si>
  <si>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</si>
  <si>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</si>
  <si>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</si>
  <si>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</si>
  <si>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</si>
  <si>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</si>
  <si>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</si>
  <si>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</si>
  <si>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</si>
  <si>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</si>
  <si>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</si>
  <si>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</si>
  <si>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</si>
  <si>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</si>
  <si>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</si>
  <si>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</si>
  <si>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</si>
  <si>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</si>
  <si>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</si>
  <si>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</si>
  <si>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</si>
  <si>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</si>
  <si>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</si>
  <si>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</si>
  <si>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</si>
  <si>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</si>
  <si>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</si>
  <si>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</si>
  <si>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</si>
  <si>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</si>
  <si>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</si>
  <si>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</si>
  <si>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</si>
  <si>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</si>
  <si>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</si>
  <si>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</si>
  <si>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</si>
  <si>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</si>
  <si>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</si>
  <si>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</si>
  <si>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</si>
  <si>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</si>
  <si>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</si>
  <si>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</si>
  <si>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</si>
  <si>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</si>
  <si>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</si>
  <si>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</si>
  <si>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</si>
  <si>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</si>
  <si>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</si>
  <si>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</si>
  <si>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</si>
  <si>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</si>
  <si>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</si>
  <si>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</si>
  <si>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</si>
  <si>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</si>
  <si>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</si>
  <si>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</si>
  <si>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</si>
  <si>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</si>
  <si>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</si>
  <si>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</si>
  <si>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</si>
  <si>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</si>
  <si>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</si>
  <si>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</si>
  <si>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</si>
  <si>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</si>
  <si>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</si>
  <si>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</si>
  <si>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</si>
  <si>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</si>
  <si>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</si>
  <si>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</si>
  <si>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</si>
  <si>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</si>
  <si>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</si>
  <si>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</si>
  <si>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</si>
  <si>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</si>
  <si>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</si>
  <si>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</si>
  <si>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</si>
  <si>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</si>
  <si>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</si>
  <si>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</si>
  <si>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</si>
  <si>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</si>
  <si>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</si>
  <si>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</si>
  <si>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</si>
  <si>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</si>
  <si>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</si>
  <si>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</si>
  <si>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</si>
  <si>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</si>
  <si>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</si>
  <si>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</si>
  <si>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</si>
  <si>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</si>
  <si>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</si>
  <si>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</si>
  <si>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</si>
  <si>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</si>
  <si>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</si>
  <si>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</si>
  <si>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</si>
  <si>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</si>
  <si>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</si>
  <si>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</si>
  <si>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</si>
  <si>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</si>
  <si>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</si>
  <si>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</si>
  <si>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</si>
  <si>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</si>
  <si>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</si>
  <si>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</si>
  <si>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</si>
  <si>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</si>
  <si>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</si>
  <si>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</si>
  <si>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</si>
  <si>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</si>
  <si>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</si>
  <si>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</si>
  <si>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</si>
  <si>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</si>
  <si>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</si>
  <si>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</si>
  <si>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</si>
  <si>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</si>
  <si>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</si>
  <si>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</si>
  <si>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</si>
  <si>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</si>
  <si>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</si>
  <si>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</si>
  <si>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</si>
  <si>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</si>
  <si>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</si>
  <si>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</si>
  <si>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</si>
  <si>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</si>
  <si>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</si>
  <si>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</si>
  <si>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</si>
  <si>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</si>
  <si>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</si>
  <si>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</si>
  <si>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</si>
  <si>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</si>
  <si>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</si>
  <si>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</si>
  <si>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</si>
  <si>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</si>
  <si>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</si>
  <si>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</si>
  <si>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</si>
  <si>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</si>
  <si>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</si>
  <si>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</si>
  <si>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</si>
  <si>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</si>
  <si>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</si>
  <si>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</si>
  <si>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</si>
  <si>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</si>
  <si>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</si>
  <si>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</si>
  <si>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</si>
  <si>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</si>
  <si>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</si>
  <si>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</si>
  <si>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</si>
  <si>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</si>
  <si>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</si>
  <si>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</si>
  <si>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</si>
  <si>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</si>
  <si>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</si>
  <si>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</si>
  <si>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</si>
  <si>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</si>
  <si>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</si>
  <si>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</si>
  <si>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</si>
  <si>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</si>
  <si>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</si>
  <si>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</si>
  <si>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</si>
  <si>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</si>
  <si>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</si>
  <si>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</si>
  <si>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</si>
  <si>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</si>
  <si>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</si>
  <si>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</si>
  <si>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</si>
  <si>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</si>
  <si>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</si>
  <si>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</si>
  <si>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</si>
  <si>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</si>
  <si>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</si>
  <si>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</si>
  <si>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</si>
  <si>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</si>
  <si>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</si>
  <si>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</si>
  <si>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</si>
  <si>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</si>
  <si>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</si>
  <si>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</si>
  <si>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</si>
  <si>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</si>
  <si>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</si>
  <si>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</si>
  <si>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</si>
  <si>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</si>
  <si>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</si>
  <si>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</si>
  <si>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</si>
  <si>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</si>
  <si>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</si>
  <si>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</si>
  <si>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</si>
  <si>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</si>
  <si>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</si>
  <si>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</si>
  <si>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</si>
  <si>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</si>
  <si>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</si>
  <si>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</si>
  <si>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</si>
  <si>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</si>
  <si>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</si>
  <si>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</si>
  <si>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</si>
  <si>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</si>
  <si>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</si>
  <si>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</si>
  <si>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</si>
  <si>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</si>
  <si>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</si>
  <si>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</si>
  <si>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</si>
  <si>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</si>
  <si>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</si>
  <si>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</si>
  <si>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</si>
  <si>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</si>
  <si>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</si>
  <si>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</si>
  <si>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</si>
  <si>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</si>
  <si>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</si>
  <si>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</si>
  <si>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</si>
  <si>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</si>
  <si>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</si>
  <si>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</si>
  <si>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</si>
  <si>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</si>
  <si>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</si>
  <si>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</si>
  <si>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</si>
  <si>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</si>
  <si>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</si>
  <si>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</si>
  <si>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</si>
  <si>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</si>
  <si>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</si>
  <si>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</si>
  <si>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</si>
  <si>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</si>
  <si>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</si>
  <si>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</si>
  <si>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</si>
  <si>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</si>
  <si>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</si>
  <si>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</si>
  <si>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</si>
  <si>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</si>
  <si>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</si>
  <si>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</si>
  <si>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</si>
  <si>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</si>
  <si>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</si>
  <si>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</si>
  <si>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</si>
  <si>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</si>
  <si>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</si>
  <si>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</si>
  <si>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</si>
  <si>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</si>
  <si>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</si>
  <si>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</si>
  <si>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</si>
  <si>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</si>
  <si>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</si>
  <si>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</si>
  <si>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</si>
  <si>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</si>
  <si>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</si>
  <si>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</si>
  <si>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</si>
  <si>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</si>
  <si>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</si>
  <si>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</si>
  <si>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</si>
  <si>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</si>
  <si>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</si>
  <si>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</si>
  <si>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</si>
  <si>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</si>
  <si>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</si>
  <si>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</si>
  <si>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</si>
  <si>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</si>
  <si>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</si>
  <si>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</si>
  <si>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</si>
  <si>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</si>
  <si>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</si>
  <si>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</si>
  <si>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</si>
  <si>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</si>
  <si>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</si>
  <si>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</si>
  <si>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</si>
  <si>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</si>
  <si>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</si>
  <si>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</si>
  <si>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</si>
  <si>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</si>
  <si>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</si>
  <si>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</si>
  <si>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</si>
  <si>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</si>
  <si>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</si>
  <si>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</si>
  <si>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</si>
  <si>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</si>
  <si>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</si>
  <si>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</si>
  <si>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</si>
  <si>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</si>
  <si>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</si>
  <si>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</si>
  <si>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</si>
  <si>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</si>
  <si>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</si>
  <si>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</si>
  <si>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</si>
  <si>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</si>
  <si>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</si>
  <si>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</si>
  <si>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</si>
  <si>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</si>
  <si>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</si>
  <si>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</si>
  <si>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</si>
  <si>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</si>
  <si>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</si>
  <si>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</si>
  <si>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</si>
  <si>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</si>
  <si>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</si>
  <si>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</si>
  <si>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</si>
  <si>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</si>
  <si>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</si>
  <si>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</si>
  <si>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</si>
  <si>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</si>
  <si>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</si>
  <si>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</si>
  <si>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</si>
  <si>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</si>
  <si>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</si>
  <si>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</si>
  <si>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</si>
  <si>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</si>
  <si>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</si>
  <si>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</si>
  <si>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</si>
  <si>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</si>
  <si>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</si>
  <si>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</si>
  <si>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</si>
  <si>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</si>
  <si>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</si>
  <si>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</si>
  <si>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</si>
  <si>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</si>
  <si>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</si>
  <si>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</si>
  <si>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</si>
  <si>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</si>
  <si>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</si>
  <si>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</si>
  <si>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</si>
  <si>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</si>
  <si>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</si>
  <si>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</si>
  <si>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</si>
  <si>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</si>
  <si>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</si>
  <si>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</si>
  <si>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</si>
  <si>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</si>
  <si>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</si>
  <si>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</si>
  <si>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</si>
  <si>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</si>
  <si>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</si>
  <si>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</si>
  <si>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</si>
  <si>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</si>
  <si>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</si>
  <si>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</si>
  <si>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</si>
  <si>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</si>
  <si>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</si>
  <si>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</si>
  <si>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</si>
  <si>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</si>
  <si>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</si>
  <si>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</si>
  <si>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</si>
  <si>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</si>
  <si>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</si>
  <si>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</si>
  <si>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</si>
  <si>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http://www.unipro.energy/activities/tariff/warm/shaturskaya/2025/</t>
  </si>
  <si>
    <t>https://portal.eias.ru/Portal/DownloadPage.aspx?type=12&amp;guid=a530ef06-1f5b-4156-a8cd-f095cb2addc2</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</si>
  <si>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</si>
  <si>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https://portal.eias.ru/Portal/DownloadPage.aspx?type=12&amp;guid=e7b9e985-9f93-4a17-9ff1-46f168cb151d</t>
  </si>
  <si>
    <t>Перечень документов и сведений, представляемых одновременно с заявкой о подключении к централизованной системе теплоснабжения</t>
  </si>
  <si>
    <t>https://portal.eias.ru/Portal/DownloadPage.aspx?type=12&amp;guid=15b5c5dd-402e-4df3-b5a3-5ca4f583bfda</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</si>
  <si>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</si>
  <si>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190-ФЗ от 27.07.2010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</si>
  <si>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</si>
  <si>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05 июля 2018 N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t>
  </si>
  <si>
    <t>Распоряжение Министерства Энергетики Московской области от 16.11.2022 № 362-Р «Об утверждении Порядка взаимодействия при предоставлении услуг по подключению (технологическому присоединению) объектов капитального строительства к сетям инженерно-технического обеспечения в электронной форме на территории Московской области»</t>
  </si>
  <si>
    <t>5.1.1</t>
  </si>
  <si>
    <t>+7(49645) 7-14-09, +7(49645) 7-15-19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</si>
  <si>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</si>
  <si>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</si>
  <si>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Фактическое местонахождения :140700, Московская область г.Шатура, Проспект Ильича, д.4.                                                                                                     Почтовый адрес: 140700, Московская область, г.Шатура, Черноозерский проезд, д.5</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</si>
  <si>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</si>
  <si>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</si>
  <si>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</si>
  <si>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</si>
  <si>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</si>
  <si>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</si>
  <si>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</si>
  <si>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</si>
  <si>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</si>
  <si>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</si>
  <si>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pt_ntar_30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</si>
  <si>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</si>
  <si>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</si>
  <si>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</si>
  <si>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</si>
  <si>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</si>
  <si>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</si>
  <si>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</si>
  <si>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</si>
  <si>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</si>
  <si>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</si>
  <si>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</si>
  <si>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</si>
  <si>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</si>
  <si>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</si>
  <si>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</si>
  <si>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</si>
  <si>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</si>
  <si>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</si>
  <si>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</si>
  <si>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</si>
  <si>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</si>
  <si>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</si>
  <si>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</si>
  <si>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</si>
  <si>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</si>
  <si>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</si>
  <si>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</si>
  <si>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</si>
  <si>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</si>
  <si>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</si>
  <si>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</si>
  <si>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</si>
  <si>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</si>
  <si>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</si>
  <si>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</si>
  <si>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</si>
  <si>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</si>
  <si>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</si>
  <si>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</si>
  <si>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</si>
  <si>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</si>
  <si>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</si>
  <si>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</si>
  <si>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</si>
  <si>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</si>
  <si>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</si>
  <si>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</si>
  <si>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</si>
  <si>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</si>
  <si>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</si>
  <si>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</si>
  <si>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</si>
  <si>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</si>
  <si>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</si>
  <si>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</si>
  <si>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</si>
  <si>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</si>
  <si>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</si>
  <si>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</si>
  <si>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</si>
  <si>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</si>
  <si>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</si>
  <si>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</si>
  <si>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</si>
  <si>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</si>
  <si>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</si>
  <si>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</si>
  <si>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</si>
  <si>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</si>
  <si>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</si>
  <si>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</si>
  <si>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</si>
  <si>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</si>
  <si>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</si>
  <si>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</si>
  <si>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</si>
  <si>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</si>
  <si>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</si>
  <si>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</si>
  <si>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</si>
  <si>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</si>
  <si>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</si>
  <si>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</si>
  <si>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</si>
  <si>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</si>
  <si>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</si>
  <si>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</si>
  <si>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</si>
  <si>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</si>
  <si>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</si>
  <si>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</si>
  <si>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</si>
  <si>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</si>
  <si>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</si>
  <si>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</si>
  <si>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</si>
  <si>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</si>
  <si>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</si>
  <si>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</si>
  <si>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</si>
  <si>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</si>
  <si>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</si>
  <si>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</si>
  <si>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</si>
  <si>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</si>
  <si>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</si>
  <si>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</si>
  <si>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</si>
  <si>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</si>
  <si>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</si>
  <si>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</si>
  <si>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</si>
  <si>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</si>
  <si>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</si>
  <si>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</si>
  <si>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</si>
  <si>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</si>
  <si>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</si>
  <si>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</si>
  <si>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</si>
  <si>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</si>
  <si>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</si>
  <si>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</si>
  <si>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</si>
  <si>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</si>
  <si>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</si>
  <si>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</si>
  <si>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</si>
  <si>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</si>
  <si>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</si>
  <si>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</si>
  <si>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</si>
  <si>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</si>
  <si>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</si>
  <si>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</si>
  <si>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</si>
  <si>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</si>
  <si>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</si>
  <si>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</si>
  <si>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</si>
  <si>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</si>
  <si>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</si>
  <si>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</si>
  <si>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</si>
  <si>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</si>
  <si>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</si>
  <si>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</si>
  <si>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</si>
  <si>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</si>
  <si>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</si>
  <si>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</si>
  <si>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</si>
  <si>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</si>
  <si>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</si>
  <si>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</si>
  <si>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</si>
  <si>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</si>
  <si>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</si>
  <si>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</si>
  <si>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</si>
  <si>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</si>
  <si>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</si>
  <si>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</si>
  <si>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</si>
  <si>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</si>
  <si>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</si>
  <si>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</si>
  <si>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</si>
  <si>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</si>
  <si>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</si>
  <si>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</si>
  <si>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</si>
  <si>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</si>
  <si>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</si>
  <si>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</si>
  <si>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</si>
  <si>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</si>
  <si>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</si>
  <si>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</si>
  <si>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</si>
  <si>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</si>
  <si>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</si>
  <si>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</si>
  <si>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</si>
  <si>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</si>
  <si>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</si>
  <si>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</si>
  <si>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</si>
  <si>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</si>
  <si>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</si>
  <si>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</si>
  <si>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</si>
  <si>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</si>
  <si>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</si>
  <si>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</si>
  <si>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</si>
  <si>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</si>
  <si>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</si>
  <si>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</si>
  <si>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</si>
  <si>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</si>
  <si>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</si>
  <si>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</si>
  <si>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</si>
  <si>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</si>
  <si>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</si>
  <si>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</si>
  <si>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</si>
  <si>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</si>
  <si>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</si>
  <si>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</si>
  <si>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</si>
  <si>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</si>
  <si>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</si>
  <si>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</si>
  <si>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</si>
  <si>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</si>
  <si>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</si>
  <si>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</si>
  <si>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</si>
  <si>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</si>
  <si>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</si>
  <si>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</si>
  <si>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</si>
  <si>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</si>
  <si>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</si>
  <si>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</si>
  <si>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</si>
  <si>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</si>
  <si>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</si>
  <si>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</si>
  <si>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</si>
  <si>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</si>
  <si>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</si>
  <si>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</si>
  <si>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</si>
  <si>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</si>
  <si>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</si>
  <si>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</si>
  <si>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</si>
  <si>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</si>
  <si>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</si>
  <si>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</si>
  <si>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</si>
  <si>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</si>
  <si>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</si>
  <si>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</si>
  <si>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</si>
  <si>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</si>
  <si>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</si>
  <si>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</si>
  <si>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</si>
  <si>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</si>
  <si>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</si>
  <si>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</si>
  <si>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</si>
  <si>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</si>
  <si>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</si>
  <si>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</si>
  <si>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</si>
  <si>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</si>
  <si>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</si>
  <si>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</si>
  <si>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</si>
  <si>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</si>
  <si>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</si>
  <si>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</si>
  <si>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</si>
  <si>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</si>
  <si>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</si>
  <si>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</si>
  <si>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</si>
  <si>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</si>
  <si>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</si>
  <si>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</si>
  <si>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</si>
  <si>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</si>
  <si>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</si>
  <si>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</si>
  <si>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</si>
  <si>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</si>
  <si>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</si>
  <si>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</si>
  <si>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</si>
  <si>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</si>
  <si>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</si>
  <si>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</si>
  <si>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</si>
  <si>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</si>
  <si>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</si>
  <si>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</si>
  <si>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</si>
  <si>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</si>
  <si>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</si>
  <si>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</si>
  <si>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</si>
  <si>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</si>
  <si>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</si>
  <si>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</si>
  <si>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</si>
  <si>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</si>
  <si>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</si>
  <si>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</si>
  <si>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</si>
  <si>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</si>
  <si>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</si>
  <si>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</si>
  <si>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</si>
  <si>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</si>
  <si>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</si>
  <si>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</si>
  <si>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</si>
  <si>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</si>
  <si>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</si>
  <si>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</si>
  <si>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</si>
  <si>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</si>
  <si>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</si>
  <si>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</si>
  <si>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</si>
  <si>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</si>
  <si>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</si>
  <si>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</si>
  <si>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</si>
  <si>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</si>
  <si>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</si>
  <si>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</si>
  <si>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</si>
  <si>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</si>
  <si>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</si>
  <si>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</si>
  <si>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</si>
  <si>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</si>
  <si>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</si>
  <si>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</si>
  <si>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</si>
  <si>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</si>
  <si>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</si>
  <si>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</si>
  <si>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</si>
  <si>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</si>
  <si>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</si>
  <si>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</si>
  <si>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</si>
  <si>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</si>
  <si>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</si>
  <si>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</si>
  <si>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</si>
  <si>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</si>
  <si>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</si>
  <si>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</si>
  <si>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</si>
  <si>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</si>
  <si>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</si>
  <si>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</si>
  <si>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</si>
  <si>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</si>
  <si>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</si>
  <si>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</si>
  <si>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</si>
  <si>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</si>
  <si>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</si>
  <si>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</si>
  <si>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</si>
  <si>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</si>
  <si>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</si>
  <si>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</si>
  <si>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</si>
  <si>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</si>
  <si>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</si>
  <si>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</si>
  <si>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</si>
  <si>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</si>
  <si>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</si>
  <si>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</si>
  <si>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</si>
  <si>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</si>
  <si>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</si>
  <si>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</si>
  <si>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</si>
  <si>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</si>
  <si>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</si>
  <si>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</si>
  <si>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</si>
  <si>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</si>
  <si>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</si>
  <si>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</si>
  <si>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</si>
  <si>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</si>
  <si>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</si>
  <si>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</si>
  <si>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</si>
  <si>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</si>
  <si>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</si>
  <si>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</si>
  <si>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</si>
  <si>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</si>
  <si>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</si>
  <si>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</si>
  <si>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</si>
  <si>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</si>
  <si>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</si>
  <si>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</si>
  <si>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</si>
  <si>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</si>
  <si>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</si>
  <si>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</si>
  <si>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</si>
  <si>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</si>
  <si>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</si>
  <si>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</si>
  <si>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</si>
  <si>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</si>
  <si>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</si>
  <si>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</si>
  <si>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</si>
  <si>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</si>
  <si>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</si>
  <si>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</si>
  <si>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</si>
  <si>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</si>
  <si>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</si>
  <si>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</si>
  <si>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</si>
  <si>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</si>
  <si>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</si>
  <si>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</si>
  <si>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</si>
  <si>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</si>
  <si>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</si>
  <si>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</si>
  <si>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</si>
  <si>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</si>
  <si>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</si>
  <si>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</si>
  <si>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</si>
  <si>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</si>
  <si>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</si>
  <si>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</si>
  <si>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</si>
  <si>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</si>
  <si>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</si>
  <si>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</si>
  <si>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</si>
  <si>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</si>
  <si>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</si>
  <si>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</si>
  <si>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</si>
  <si>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</si>
  <si>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</si>
  <si>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</si>
  <si>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</si>
  <si>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</si>
  <si>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</si>
  <si>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</si>
  <si>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</si>
  <si>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</si>
  <si>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</si>
  <si>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</si>
  <si>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</si>
  <si>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</si>
  <si>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</si>
  <si>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</si>
  <si>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</si>
  <si>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</si>
  <si>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</si>
  <si>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</si>
  <si>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</si>
  <si>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</si>
  <si>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</si>
  <si>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</si>
  <si>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</si>
  <si>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</si>
  <si>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</si>
  <si>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</si>
  <si>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</si>
  <si>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</si>
  <si>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</si>
  <si>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</si>
  <si>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</si>
  <si>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</si>
  <si>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</si>
  <si>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</si>
  <si>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</si>
  <si>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</si>
  <si>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</si>
  <si>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</si>
  <si>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</si>
  <si>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</si>
  <si>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</si>
  <si>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</si>
  <si>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</si>
  <si>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</si>
  <si>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</si>
  <si>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</si>
  <si>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</si>
  <si>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</si>
  <si>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</si>
  <si>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</si>
  <si>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</si>
  <si>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</si>
  <si>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</si>
  <si>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</si>
  <si>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</si>
  <si>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</si>
  <si>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</si>
  <si>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</si>
  <si>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</si>
  <si>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</si>
  <si>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</si>
  <si>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</si>
  <si>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</si>
  <si>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</si>
  <si>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</si>
  <si>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</si>
  <si>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</si>
  <si>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</si>
  <si>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</si>
  <si>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</si>
  <si>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</si>
  <si>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</si>
  <si>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</si>
  <si>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</si>
  <si>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</si>
  <si>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</si>
  <si>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</si>
  <si>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</si>
  <si>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</si>
  <si>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</si>
  <si>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</si>
  <si>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</si>
  <si>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</si>
  <si>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</si>
  <si>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</si>
  <si>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</si>
  <si>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</si>
  <si>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</si>
  <si>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</si>
  <si>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</si>
  <si>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</si>
  <si>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</si>
  <si>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</si>
  <si>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</si>
  <si>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301</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</si>
  <si>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</si>
  <si>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</si>
  <si>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</si>
  <si>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</si>
  <si>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</si>
  <si>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</si>
  <si>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</si>
  <si>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</si>
  <si>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</si>
  <si>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</si>
  <si>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</si>
  <si>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</si>
  <si>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</si>
  <si>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</si>
  <si>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</si>
  <si>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</si>
  <si>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</si>
  <si>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</si>
  <si>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</si>
  <si>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</si>
  <si>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</si>
  <si>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</si>
  <si>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</si>
  <si>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</si>
  <si>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</si>
  <si>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</si>
  <si>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</si>
  <si>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</si>
  <si>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</si>
  <si>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</si>
  <si>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</si>
  <si>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</si>
  <si>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</si>
  <si>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</si>
  <si>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</si>
  <si>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</si>
  <si>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</si>
  <si>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</si>
  <si>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</si>
  <si>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</si>
  <si>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</si>
  <si>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</si>
  <si>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</si>
  <si>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</si>
  <si>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</si>
  <si>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</si>
  <si>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</si>
  <si>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</si>
  <si>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</si>
  <si>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</si>
  <si>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</si>
  <si>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</si>
  <si>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</si>
  <si>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</si>
  <si>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</si>
  <si>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</si>
  <si>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</si>
  <si>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</si>
  <si>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</si>
  <si>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</si>
  <si>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</si>
  <si>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</si>
  <si>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</si>
  <si>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</si>
  <si>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</si>
  <si>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</si>
  <si>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</si>
  <si>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</si>
  <si>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</si>
  <si>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</si>
  <si>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</si>
  <si>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</si>
  <si>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</si>
  <si>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</si>
  <si>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</si>
  <si>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</si>
  <si>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</si>
  <si>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</si>
  <si>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</si>
  <si>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</si>
  <si>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</si>
  <si>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</si>
  <si>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</si>
  <si>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</si>
  <si>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</si>
  <si>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</si>
  <si>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</si>
  <si>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</si>
  <si>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</si>
  <si>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</si>
  <si>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</si>
  <si>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</si>
  <si>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</si>
  <si>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</si>
  <si>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</si>
  <si>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</si>
  <si>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</si>
  <si>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</si>
  <si>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</si>
  <si>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</si>
  <si>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</si>
  <si>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</si>
  <si>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</si>
  <si>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</si>
  <si>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</si>
  <si>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</si>
  <si>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</si>
  <si>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</si>
  <si>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</si>
  <si>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</si>
  <si>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</si>
  <si>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</si>
  <si>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</si>
  <si>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</si>
  <si>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</si>
  <si>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</si>
  <si>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</si>
  <si>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</si>
  <si>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</si>
  <si>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</si>
  <si>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</si>
  <si>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</si>
  <si>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</si>
  <si>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</si>
  <si>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</si>
  <si>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</si>
  <si>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</si>
  <si>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</si>
  <si>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</si>
  <si>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</si>
  <si>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</si>
  <si>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</si>
  <si>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</si>
  <si>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</si>
  <si>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</si>
  <si>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</si>
  <si>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</si>
  <si>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</si>
  <si>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</si>
  <si>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</si>
  <si>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</si>
  <si>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</si>
  <si>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</si>
  <si>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</si>
  <si>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</si>
  <si>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</si>
  <si>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</si>
  <si>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</si>
  <si>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</si>
  <si>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</si>
  <si>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</si>
  <si>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</si>
  <si>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</si>
  <si>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</si>
  <si>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</si>
  <si>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</si>
  <si>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</si>
  <si>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</si>
  <si>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</si>
  <si>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</si>
  <si>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</si>
  <si>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</si>
  <si>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</si>
  <si>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</si>
  <si>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</si>
  <si>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</si>
  <si>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</si>
  <si>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</si>
  <si>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</si>
  <si>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</si>
  <si>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</si>
  <si>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</si>
  <si>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</si>
  <si>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</si>
  <si>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</si>
  <si>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</si>
  <si>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</si>
  <si>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</si>
  <si>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</si>
  <si>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</si>
  <si>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</si>
  <si>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</si>
  <si>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</si>
  <si>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</si>
  <si>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</si>
  <si>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</si>
  <si>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</si>
  <si>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</si>
  <si>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</si>
  <si>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</si>
  <si>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</si>
  <si>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</si>
  <si>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</si>
  <si>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Корректировка тарифов с 01.01.2025 - 31.12. 2025 г. по долгосрочному периоду регулирования 2024-2028 г.г. </t>
  </si>
  <si>
    <t>Распоряжение Комитета по ценам и тарифам Московской области  "Об установлении долгосрочных параметров регулирования и  тарифов в сфере теплоснабжения на 2024 - 2028 годы" № 313-Р от 20.12.2023 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</si>
  <si>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</si>
  <si>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</si>
  <si>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</si>
  <si>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</si>
  <si>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</si>
  <si>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</si>
  <si>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</si>
  <si>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</si>
  <si>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</si>
  <si>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</si>
  <si>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</si>
  <si>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</si>
  <si>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</si>
  <si>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</si>
  <si>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</si>
  <si>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</si>
  <si>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</si>
  <si>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</si>
  <si>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</si>
  <si>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</si>
  <si>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</si>
  <si>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</si>
  <si>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</si>
  <si>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</si>
  <si>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</si>
  <si>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</si>
  <si>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</si>
  <si>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</si>
  <si>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</si>
  <si>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</si>
  <si>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</si>
  <si>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</si>
  <si>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</si>
  <si>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</si>
  <si>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</si>
  <si>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</si>
  <si>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</si>
  <si>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</si>
  <si>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</si>
  <si>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</si>
  <si>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</si>
  <si>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</si>
  <si>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</si>
  <si>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</si>
  <si>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</si>
  <si>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</si>
  <si>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</si>
  <si>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</si>
  <si>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</si>
  <si>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</si>
  <si>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</si>
  <si>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</si>
  <si>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</si>
  <si>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</si>
  <si>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</si>
  <si>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</si>
  <si>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</si>
  <si>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</si>
  <si>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</si>
  <si>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</si>
  <si>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</si>
  <si>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</si>
  <si>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</si>
  <si>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</si>
  <si>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</si>
  <si>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</si>
  <si>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</si>
  <si>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</si>
  <si>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</si>
  <si>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</si>
  <si>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</si>
  <si>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</si>
  <si>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</si>
  <si>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</si>
  <si>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</si>
  <si>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</si>
  <si>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</si>
  <si>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</si>
  <si>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</si>
  <si>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</si>
  <si>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</si>
  <si>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</si>
  <si>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</si>
  <si>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</si>
  <si>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</si>
  <si>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</si>
  <si>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</si>
  <si>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</si>
  <si>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</si>
  <si>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</si>
  <si>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</si>
  <si>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</si>
  <si>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</si>
  <si>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</si>
  <si>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</si>
  <si>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</si>
  <si>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</si>
  <si>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</si>
  <si>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</si>
  <si>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</si>
  <si>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</si>
  <si>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</si>
  <si>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</si>
  <si>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</si>
  <si>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</si>
  <si>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</si>
  <si>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</si>
  <si>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</si>
  <si>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</si>
  <si>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</si>
  <si>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</si>
  <si>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</si>
  <si>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</si>
  <si>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</si>
  <si>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</si>
  <si>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</si>
  <si>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</si>
  <si>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</si>
  <si>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</si>
  <si>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</si>
  <si>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</si>
  <si>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</si>
  <si>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</si>
  <si>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</si>
  <si>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</si>
  <si>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</si>
  <si>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</si>
  <si>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</si>
  <si>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</si>
  <si>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</si>
  <si>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</si>
  <si>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</si>
  <si>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</si>
  <si>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</si>
  <si>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</si>
  <si>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</si>
  <si>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</si>
  <si>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</si>
  <si>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</si>
  <si>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</si>
  <si>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</si>
  <si>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</si>
  <si>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</si>
  <si>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</si>
  <si>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</si>
  <si>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</si>
  <si>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</si>
  <si>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</si>
  <si>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</si>
  <si>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</si>
  <si>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</si>
  <si>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</si>
  <si>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</si>
  <si>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</si>
  <si>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</si>
  <si>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</si>
  <si>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</si>
  <si>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</si>
  <si>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</si>
  <si>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</si>
  <si>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</si>
  <si>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</si>
  <si>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</si>
  <si>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</si>
  <si>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</si>
  <si>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</si>
  <si>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</si>
  <si>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</si>
  <si>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</si>
  <si>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</si>
  <si>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</si>
  <si>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</si>
  <si>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</si>
  <si>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</si>
  <si>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</si>
  <si>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</si>
  <si>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</si>
  <si>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</si>
  <si>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</si>
  <si>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</si>
  <si>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</si>
  <si>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</si>
  <si>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</si>
  <si>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</si>
  <si>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</si>
  <si>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</si>
  <si>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</si>
  <si>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</si>
  <si>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</si>
  <si>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</si>
  <si>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</si>
  <si>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</si>
  <si>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</si>
  <si>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</si>
  <si>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</si>
  <si>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</si>
  <si>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</si>
  <si>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</si>
  <si>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</si>
  <si>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</si>
  <si>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</si>
  <si>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</si>
  <si>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</si>
  <si>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</si>
  <si>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</si>
  <si>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</si>
  <si>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</si>
  <si>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</si>
  <si>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</si>
  <si>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</si>
  <si>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</si>
  <si>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</si>
  <si>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</si>
  <si>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</si>
  <si>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</si>
  <si>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</si>
  <si>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</si>
  <si>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</si>
  <si>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</si>
  <si>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</si>
  <si>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</si>
  <si>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</si>
  <si>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</si>
  <si>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</si>
  <si>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</si>
  <si>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</si>
  <si>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</si>
  <si>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</si>
  <si>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</si>
  <si>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</si>
  <si>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</si>
  <si>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</si>
  <si>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</si>
  <si>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</si>
  <si>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</si>
  <si>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</si>
  <si>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</si>
  <si>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</si>
  <si>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</si>
  <si>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</si>
  <si>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</si>
  <si>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</si>
  <si>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</si>
  <si>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</si>
  <si>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</si>
  <si>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</si>
  <si>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</si>
  <si>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</si>
  <si>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</si>
  <si>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</si>
  <si>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</si>
  <si>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</si>
  <si>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</si>
  <si>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</si>
  <si>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</si>
  <si>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</si>
  <si>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</si>
  <si>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</si>
  <si>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</si>
  <si>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</si>
  <si>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</si>
  <si>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</si>
  <si>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</si>
  <si>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</si>
  <si>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</si>
  <si>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</si>
  <si>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</si>
  <si>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</si>
  <si>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</si>
  <si>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</si>
  <si>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</si>
  <si>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</si>
  <si>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</si>
  <si>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</si>
  <si>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</si>
  <si>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</si>
  <si>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</si>
  <si>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</si>
  <si>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</si>
  <si>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</si>
  <si>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</si>
  <si>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</si>
  <si>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</si>
  <si>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</si>
  <si>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</si>
  <si>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</si>
  <si>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</si>
  <si>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</si>
  <si>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</si>
  <si>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</si>
  <si>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</si>
  <si>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</si>
  <si>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</si>
  <si>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</si>
  <si>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</si>
  <si>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</si>
  <si>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</si>
  <si>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</si>
  <si>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</si>
  <si>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</si>
  <si>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</si>
  <si>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</si>
  <si>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</si>
  <si>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</si>
  <si>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</si>
  <si>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</si>
  <si>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</si>
  <si>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</si>
  <si>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</si>
  <si>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</si>
  <si>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</si>
  <si>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</si>
  <si>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</si>
  <si>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</si>
  <si>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</si>
  <si>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</si>
  <si>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</si>
  <si>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</si>
  <si>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</si>
  <si>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</si>
  <si>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</si>
  <si>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</si>
  <si>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</si>
  <si>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</si>
  <si>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</si>
  <si>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</si>
  <si>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</si>
  <si>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</si>
  <si>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</si>
  <si>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</si>
  <si>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</si>
  <si>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</si>
  <si>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</si>
  <si>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</si>
  <si>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</si>
  <si>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</si>
  <si>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</si>
  <si>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</si>
  <si>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</si>
  <si>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</si>
  <si>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</si>
  <si>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</si>
  <si>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</si>
  <si>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</si>
  <si>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</si>
  <si>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</si>
  <si>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</si>
  <si>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</si>
  <si>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</si>
  <si>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</si>
  <si>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2596</t>
  </si>
  <si>
    <t>31335815</t>
  </si>
  <si>
    <t>А/К  1791</t>
  </si>
  <si>
    <t>5047227020</t>
  </si>
  <si>
    <t>504243001</t>
  </si>
  <si>
    <t>01-06-2019 00:00:00</t>
  </si>
  <si>
    <t>31366000</t>
  </si>
  <si>
    <t>АНО "РСВ"</t>
  </si>
  <si>
    <t>9710063040</t>
  </si>
  <si>
    <t>504445001</t>
  </si>
  <si>
    <t>21-06-2018 00:00:00</t>
  </si>
  <si>
    <t>26357851</t>
  </si>
  <si>
    <t>АО "121 АРЗ"</t>
  </si>
  <si>
    <t>5032168904</t>
  </si>
  <si>
    <t>503201001</t>
  </si>
  <si>
    <t>07-05-2007 00:00:00</t>
  </si>
  <si>
    <t>26774699</t>
  </si>
  <si>
    <t>АО "175 ДОК"</t>
  </si>
  <si>
    <t>5024060150</t>
  </si>
  <si>
    <t>502401001</t>
  </si>
  <si>
    <t>11-08-2003 00:00:00</t>
  </si>
  <si>
    <t>26357765</t>
  </si>
  <si>
    <t>АО "198 КЖИ"</t>
  </si>
  <si>
    <t>5028002208</t>
  </si>
  <si>
    <t>502801001</t>
  </si>
  <si>
    <t>29-10-1998 00:00:00</t>
  </si>
  <si>
    <t>26505018</t>
  </si>
  <si>
    <t>АО "22 БТРЗ"</t>
  </si>
  <si>
    <t>5031087177</t>
  </si>
  <si>
    <t>503101001</t>
  </si>
  <si>
    <t>27-08-2009 00:00:00</t>
  </si>
  <si>
    <t>26357541</t>
  </si>
  <si>
    <t>АО "345 Механический завод"</t>
  </si>
  <si>
    <t>5001000059</t>
  </si>
  <si>
    <t>500101001</t>
  </si>
  <si>
    <t>26357816</t>
  </si>
  <si>
    <t>АО "Агрокомплекс Горки-2"</t>
  </si>
  <si>
    <t>5032000193</t>
  </si>
  <si>
    <t>26357799</t>
  </si>
  <si>
    <t>АО "БЭЗ"</t>
  </si>
  <si>
    <t>5031013256</t>
  </si>
  <si>
    <t>20-06-2002 00:00:00</t>
  </si>
  <si>
    <t>26548015</t>
  </si>
  <si>
    <t>АО "Бецема"</t>
  </si>
  <si>
    <t>5024012580</t>
  </si>
  <si>
    <t>22-03-1991 00:00:00</t>
  </si>
  <si>
    <t>29649705</t>
  </si>
  <si>
    <t>АО "Бронницкий ТВК"</t>
  </si>
  <si>
    <t>5002004144</t>
  </si>
  <si>
    <t>500201001</t>
  </si>
  <si>
    <t>04-08-2015 00:00:00</t>
  </si>
  <si>
    <t>30991677</t>
  </si>
  <si>
    <t>АО "ВКС"</t>
  </si>
  <si>
    <t>5053039931</t>
  </si>
  <si>
    <t>505301001</t>
  </si>
  <si>
    <t>11-11-2015 00:00:00</t>
  </si>
  <si>
    <t>26357652</t>
  </si>
  <si>
    <t>АО "ВПК "НПО машиностроения"</t>
  </si>
  <si>
    <t>5012039795</t>
  </si>
  <si>
    <t>504101001</t>
  </si>
  <si>
    <t>28-02-2007 00:00:00</t>
  </si>
  <si>
    <t>26508615</t>
  </si>
  <si>
    <t>АО "ВТС"</t>
  </si>
  <si>
    <t>5005043328</t>
  </si>
  <si>
    <t>500501001</t>
  </si>
  <si>
    <t>07-06-2006 00:00:00</t>
  </si>
  <si>
    <t>26355858</t>
  </si>
  <si>
    <t>АО "Владимирская газовая компания"</t>
  </si>
  <si>
    <t>3302003469</t>
  </si>
  <si>
    <t>332701001</t>
  </si>
  <si>
    <t>26357825</t>
  </si>
  <si>
    <t>АО "Внуковский завод огнеупорных изделий"</t>
  </si>
  <si>
    <t>5032018384</t>
  </si>
  <si>
    <t>26510853</t>
  </si>
  <si>
    <t>АО "Волоколамское ПТП РЖКХ"</t>
  </si>
  <si>
    <t>5004021787</t>
  </si>
  <si>
    <t>500401001</t>
  </si>
  <si>
    <t>31-12-2008 00:00:00</t>
  </si>
  <si>
    <t>26357605</t>
  </si>
  <si>
    <t>АО "ГАММА"</t>
  </si>
  <si>
    <t>5007006378</t>
  </si>
  <si>
    <t>500701001</t>
  </si>
  <si>
    <t>23-04-1993 00:00:00</t>
  </si>
  <si>
    <t>28796046</t>
  </si>
  <si>
    <t>АО "ГТ Энерго"</t>
  </si>
  <si>
    <t>7703806647</t>
  </si>
  <si>
    <t>772801001</t>
  </si>
  <si>
    <t>30335229</t>
  </si>
  <si>
    <t>АО "ГУ ЖКХ"</t>
  </si>
  <si>
    <t>5116000922</t>
  </si>
  <si>
    <t>770401001</t>
  </si>
  <si>
    <t>26511491</t>
  </si>
  <si>
    <t>АО "Газпромнефть МЗСМ"</t>
  </si>
  <si>
    <t>5052012550</t>
  </si>
  <si>
    <t>505001001</t>
  </si>
  <si>
    <t>30872564</t>
  </si>
  <si>
    <t>АО "Главное управление обустройства войск"</t>
  </si>
  <si>
    <t>7703702341</t>
  </si>
  <si>
    <t>23-01-2017 00:00:00</t>
  </si>
  <si>
    <t>26357634</t>
  </si>
  <si>
    <t>АО "ДМЗ" им. Н.П.Федорова"</t>
  </si>
  <si>
    <t>5010030050</t>
  </si>
  <si>
    <t>501001001</t>
  </si>
  <si>
    <t>26357672</t>
  </si>
  <si>
    <t>АО "ДП "Истра-Нутриция"</t>
  </si>
  <si>
    <t>5017014392</t>
  </si>
  <si>
    <t>501701001</t>
  </si>
  <si>
    <t>12-07-1995 00:00:00</t>
  </si>
  <si>
    <t>26357906</t>
  </si>
  <si>
    <t>АО "Делфин груп"</t>
  </si>
  <si>
    <t>5038021231</t>
  </si>
  <si>
    <t>503801001</t>
  </si>
  <si>
    <t>05-10-1992 00:00:00</t>
  </si>
  <si>
    <t>26357601</t>
  </si>
  <si>
    <t>АО "Дмитров-Холдинг"</t>
  </si>
  <si>
    <t>5006006664</t>
  </si>
  <si>
    <t>26357619</t>
  </si>
  <si>
    <t>АО "ДоКон"</t>
  </si>
  <si>
    <t>5009003446</t>
  </si>
  <si>
    <t>500901001</t>
  </si>
  <si>
    <t>13-05-1994 00:00:00</t>
  </si>
  <si>
    <t>30983740</t>
  </si>
  <si>
    <t>АО "ЖИЛСЕРВИС"</t>
  </si>
  <si>
    <t>5075369524</t>
  </si>
  <si>
    <t>507501001</t>
  </si>
  <si>
    <t>11-12-2008 00:00:00</t>
  </si>
  <si>
    <t>26357819</t>
  </si>
  <si>
    <t>АО "Заречье" им.С.А.Кушнарева</t>
  </si>
  <si>
    <t>5032001366</t>
  </si>
  <si>
    <t>29-12-1993 00:00:00</t>
  </si>
  <si>
    <t>26511085</t>
  </si>
  <si>
    <t>АО "ЗиО-Подольск"</t>
  </si>
  <si>
    <t>5036040729</t>
  </si>
  <si>
    <t>503601001</t>
  </si>
  <si>
    <t>04-10-1999 00:00:00</t>
  </si>
  <si>
    <t>31462818</t>
  </si>
  <si>
    <t>АО "Ивантеевская Теплосеть"</t>
  </si>
  <si>
    <t>5038156503</t>
  </si>
  <si>
    <t>01-01-2021 00:00:00</t>
  </si>
  <si>
    <t>26357686</t>
  </si>
  <si>
    <t>АО "Истринская теплосеть"</t>
  </si>
  <si>
    <t>5017067757</t>
  </si>
  <si>
    <t>11-01-2007 00:00:00</t>
  </si>
  <si>
    <t>26357694</t>
  </si>
  <si>
    <t>АО "КЗМК"</t>
  </si>
  <si>
    <t>5019003188</t>
  </si>
  <si>
    <t>501901001</t>
  </si>
  <si>
    <t>16-07-1998 00:00:00</t>
  </si>
  <si>
    <t>31686643</t>
  </si>
  <si>
    <t>АО "КРОКУС ИНТЕРНЭШНЛ"</t>
  </si>
  <si>
    <t>7728115183</t>
  </si>
  <si>
    <t>10-12-1993 00:00:00</t>
  </si>
  <si>
    <t>30985860</t>
  </si>
  <si>
    <t>АО "КСИ"</t>
  </si>
  <si>
    <t>5038117416</t>
  </si>
  <si>
    <t>12-11-2015 00:00:00</t>
  </si>
  <si>
    <t>26357862</t>
  </si>
  <si>
    <t>АО "Карболит"</t>
  </si>
  <si>
    <t>5034050168</t>
  </si>
  <si>
    <t>503401001</t>
  </si>
  <si>
    <t>07-10-1992 00:00:00</t>
  </si>
  <si>
    <t>26548291</t>
  </si>
  <si>
    <t>АО "Клинический санаторий "Валуево"</t>
  </si>
  <si>
    <t>7710013582</t>
  </si>
  <si>
    <t>775101001</t>
  </si>
  <si>
    <t>26358075</t>
  </si>
  <si>
    <t>АО "Корпорация "Тактическое ракетное вооружение"</t>
  </si>
  <si>
    <t>5099000013</t>
  </si>
  <si>
    <t>997850001</t>
  </si>
  <si>
    <t>26357732</t>
  </si>
  <si>
    <t>АО "Красногорская теплосеть"</t>
  </si>
  <si>
    <t>5024047494</t>
  </si>
  <si>
    <t>26357958</t>
  </si>
  <si>
    <t>АО "ЛЕПСЕ"</t>
  </si>
  <si>
    <t>5044000014</t>
  </si>
  <si>
    <t>504401001</t>
  </si>
  <si>
    <t>11-06-1999 00:00:00</t>
  </si>
  <si>
    <t>26357736</t>
  </si>
  <si>
    <t>АО "ЛЗСФ"</t>
  </si>
  <si>
    <t>5025001397</t>
  </si>
  <si>
    <t>504701001</t>
  </si>
  <si>
    <t>04-03-1992 00:00:00</t>
  </si>
  <si>
    <t>26514150</t>
  </si>
  <si>
    <t>АО "Люберецкая теплосеть"</t>
  </si>
  <si>
    <t>5027130221</t>
  </si>
  <si>
    <t>502701001</t>
  </si>
  <si>
    <t>28-12-2007 00:00:00</t>
  </si>
  <si>
    <t>26358045</t>
  </si>
  <si>
    <t>АО "МАНП"</t>
  </si>
  <si>
    <t>5074002308</t>
  </si>
  <si>
    <t>26505074</t>
  </si>
  <si>
    <t>АО "МАШ"</t>
  </si>
  <si>
    <t>7712094033</t>
  </si>
  <si>
    <t>09-07-1996 00:00:00</t>
  </si>
  <si>
    <t>26361033</t>
  </si>
  <si>
    <t>АО "МВЗ им. М.Л. Миля"</t>
  </si>
  <si>
    <t>7718016666</t>
  </si>
  <si>
    <t>509950001</t>
  </si>
  <si>
    <t>08-02-1993 00:00:00</t>
  </si>
  <si>
    <t>31401287</t>
  </si>
  <si>
    <t>АО "МОСМЕК Недвижимость"</t>
  </si>
  <si>
    <t>5003137066</t>
  </si>
  <si>
    <t>500301001</t>
  </si>
  <si>
    <t>09-12-2019 00:00:00</t>
  </si>
  <si>
    <t>28007395</t>
  </si>
  <si>
    <t>АО "МОЭГ"</t>
  </si>
  <si>
    <t>5012070724</t>
  </si>
  <si>
    <t>501201001</t>
  </si>
  <si>
    <t>12-12-2011 00:00:00</t>
  </si>
  <si>
    <t>26509676</t>
  </si>
  <si>
    <t>АО "МСИ"</t>
  </si>
  <si>
    <t>7708000794</t>
  </si>
  <si>
    <t>504802001</t>
  </si>
  <si>
    <t>28073137</t>
  </si>
  <si>
    <t>АО "МСК Инжиниринг"</t>
  </si>
  <si>
    <t>5027188045</t>
  </si>
  <si>
    <t>07-08-2012 00:00:00</t>
  </si>
  <si>
    <t>26357711</t>
  </si>
  <si>
    <t>АО "Мебельщик"</t>
  </si>
  <si>
    <t>5022013387</t>
  </si>
  <si>
    <t>502201001</t>
  </si>
  <si>
    <t>10-10-1992 00:00:00</t>
  </si>
  <si>
    <t>26358026</t>
  </si>
  <si>
    <t>АО "Металлургический завод "Электросталь"</t>
  </si>
  <si>
    <t>5053000797</t>
  </si>
  <si>
    <t>28-01-1993 00:00:00</t>
  </si>
  <si>
    <t>26357771</t>
  </si>
  <si>
    <t>АО "Метровагонмаш"</t>
  </si>
  <si>
    <t>5029006702</t>
  </si>
  <si>
    <t>997450001</t>
  </si>
  <si>
    <t>26769803</t>
  </si>
  <si>
    <t>АО "Мобильные ГТЭС"</t>
  </si>
  <si>
    <t>7706627050</t>
  </si>
  <si>
    <t>770601001</t>
  </si>
  <si>
    <t>30987408</t>
  </si>
  <si>
    <t>АО "Молодёжный"</t>
  </si>
  <si>
    <t>5030091131</t>
  </si>
  <si>
    <t>503001001</t>
  </si>
  <si>
    <t>16-05-2017 00:00:00</t>
  </si>
  <si>
    <t>26357546</t>
  </si>
  <si>
    <t>АО "Московский АРЗ ДОСААФ"</t>
  </si>
  <si>
    <t>5001020016</t>
  </si>
  <si>
    <t>25-06-1999 00:00:00</t>
  </si>
  <si>
    <t>26548439</t>
  </si>
  <si>
    <t>АО "Москокс"</t>
  </si>
  <si>
    <t>5003003915</t>
  </si>
  <si>
    <t>27-08-1992 00:00:00</t>
  </si>
  <si>
    <t>31335738</t>
  </si>
  <si>
    <t>АО "Мострансавто"</t>
  </si>
  <si>
    <t>26357775</t>
  </si>
  <si>
    <t>АО "Мытищинская теплосеть"</t>
  </si>
  <si>
    <t>5029004624</t>
  </si>
  <si>
    <t>502901001</t>
  </si>
  <si>
    <t>04-07-2002 00:00:00</t>
  </si>
  <si>
    <t>26357702</t>
  </si>
  <si>
    <t>АО "Мясокомбинат Клинский"</t>
  </si>
  <si>
    <t>5020002260</t>
  </si>
  <si>
    <t>10-12-1991 00:00:00</t>
  </si>
  <si>
    <t>26361058</t>
  </si>
  <si>
    <t>АО "НАТЭК Инвест-Энерго"</t>
  </si>
  <si>
    <t>7724554013</t>
  </si>
  <si>
    <t>08-09-2005 00:00:00</t>
  </si>
  <si>
    <t>28054902</t>
  </si>
  <si>
    <t>АО "НПК "КБМ"</t>
  </si>
  <si>
    <t>5022039177</t>
  </si>
  <si>
    <t>02-07-2012 00:00:00</t>
  </si>
  <si>
    <t>26357901</t>
  </si>
  <si>
    <t>АО "НПО Дормаш"</t>
  </si>
  <si>
    <t>5038012452</t>
  </si>
  <si>
    <t>26774481</t>
  </si>
  <si>
    <t>АО "НПО ИТ"</t>
  </si>
  <si>
    <t>5018139517</t>
  </si>
  <si>
    <t>501801001</t>
  </si>
  <si>
    <t>05-08-2009 00:00:00</t>
  </si>
  <si>
    <t>26357959</t>
  </si>
  <si>
    <t>АО "НПО Стеклопластик"</t>
  </si>
  <si>
    <t>5044000039</t>
  </si>
  <si>
    <t>30-12-1992 00:00:00</t>
  </si>
  <si>
    <t>26505040</t>
  </si>
  <si>
    <t>АО "НПО ЭНЕРГОМАШ"</t>
  </si>
  <si>
    <t>5047008220</t>
  </si>
  <si>
    <t>13-02-1998 00:00:00</t>
  </si>
  <si>
    <t>26357809</t>
  </si>
  <si>
    <t>АО "НПТО ЖКХ"</t>
  </si>
  <si>
    <t>5031100117</t>
  </si>
  <si>
    <t>26357777</t>
  </si>
  <si>
    <t>АО "Наро-Фоминский хладокомбинат"</t>
  </si>
  <si>
    <t>5030004410</t>
  </si>
  <si>
    <t>26622347</t>
  </si>
  <si>
    <t>АО "Научно-производственное предприятие "Исток" имени А.И. Шокина</t>
  </si>
  <si>
    <t>5050108496</t>
  </si>
  <si>
    <t>26357727</t>
  </si>
  <si>
    <t>АО "Никольское"</t>
  </si>
  <si>
    <t>5024013512</t>
  </si>
  <si>
    <t>13-12-1991 00:00:00</t>
  </si>
  <si>
    <t>31490855</t>
  </si>
  <si>
    <t>АО "Ногинское ПОГАТ"</t>
  </si>
  <si>
    <t>5031000514</t>
  </si>
  <si>
    <t>26506321</t>
  </si>
  <si>
    <t>АО "ОКТЕКС"</t>
  </si>
  <si>
    <t>5027070068</t>
  </si>
  <si>
    <t>05-08-1998 00:00:00</t>
  </si>
  <si>
    <t>26358004</t>
  </si>
  <si>
    <t>АО "ОМК Маркет"</t>
  </si>
  <si>
    <t>5050008290</t>
  </si>
  <si>
    <t>26357878</t>
  </si>
  <si>
    <t>АО "ПЗЭМИ"</t>
  </si>
  <si>
    <t>5036003332</t>
  </si>
  <si>
    <t>30-09-1992 00:00:00</t>
  </si>
  <si>
    <t>26504765</t>
  </si>
  <si>
    <t>АО "ПРОТЭП"</t>
  </si>
  <si>
    <t>5037002934</t>
  </si>
  <si>
    <t>503701001</t>
  </si>
  <si>
    <t>02-11-2005 00:00:00</t>
  </si>
  <si>
    <t>26357669</t>
  </si>
  <si>
    <t>АО "ПСО-13"</t>
  </si>
  <si>
    <t>5017000079</t>
  </si>
  <si>
    <t>501750001</t>
  </si>
  <si>
    <t>07-12-2005 00:00:00</t>
  </si>
  <si>
    <t>26357844</t>
  </si>
  <si>
    <t>АО "Парк-отель "Ершово"</t>
  </si>
  <si>
    <t>5032053886</t>
  </si>
  <si>
    <t>08-07-1999 00:00:00</t>
  </si>
  <si>
    <t>26357917</t>
  </si>
  <si>
    <t>АО "РАТЕКС"</t>
  </si>
  <si>
    <t>5040007918</t>
  </si>
  <si>
    <t>504001001</t>
  </si>
  <si>
    <t>26357951</t>
  </si>
  <si>
    <t>АО "РАТЕП"</t>
  </si>
  <si>
    <t>5043000212</t>
  </si>
  <si>
    <t>507701001</t>
  </si>
  <si>
    <t>31265968</t>
  </si>
  <si>
    <t>АО "РЕСУРС"</t>
  </si>
  <si>
    <t>5032293020</t>
  </si>
  <si>
    <t>25-01-2018 00:00:00</t>
  </si>
  <si>
    <t>31449373</t>
  </si>
  <si>
    <t>АО "РИР"</t>
  </si>
  <si>
    <t>7706757331</t>
  </si>
  <si>
    <t>06-06-2011 00:00:00</t>
  </si>
  <si>
    <t>26357916</t>
  </si>
  <si>
    <t>АО "РПКБ"</t>
  </si>
  <si>
    <t>5040007594</t>
  </si>
  <si>
    <t>26357792</t>
  </si>
  <si>
    <t>АО "РТИ"</t>
  </si>
  <si>
    <t>5031005664</t>
  </si>
  <si>
    <t>31-10-1993 00:00:00</t>
  </si>
  <si>
    <t>27671430</t>
  </si>
  <si>
    <t>АО "РЭУ"</t>
  </si>
  <si>
    <t>7714783092</t>
  </si>
  <si>
    <t>503243003</t>
  </si>
  <si>
    <t>26838066</t>
  </si>
  <si>
    <t>26513524</t>
  </si>
  <si>
    <t>АО "Раменская теплосеть"</t>
  </si>
  <si>
    <t>5040109331</t>
  </si>
  <si>
    <t>29-07-2011 00:00:00</t>
  </si>
  <si>
    <t>31480313</t>
  </si>
  <si>
    <t>АО "СПЕЦВЫСОТСТРОЙ"</t>
  </si>
  <si>
    <t>9731021838</t>
  </si>
  <si>
    <t>773101001</t>
  </si>
  <si>
    <t>17-01-2019 00:00:00</t>
  </si>
  <si>
    <t>26357949</t>
  </si>
  <si>
    <t>АО "СТЭК"</t>
  </si>
  <si>
    <t>5042080504</t>
  </si>
  <si>
    <t>504201001</t>
  </si>
  <si>
    <t>04-04-2005 00:00:00</t>
  </si>
  <si>
    <t>26357894</t>
  </si>
  <si>
    <t>АО "Санаторий Зеленый городок"</t>
  </si>
  <si>
    <t>5038004010</t>
  </si>
  <si>
    <t>21-07-2015 00:00:00</t>
  </si>
  <si>
    <t>26510967</t>
  </si>
  <si>
    <t>АО "Санаторий Истра"</t>
  </si>
  <si>
    <t>5017003947</t>
  </si>
  <si>
    <t>09-08-2002 00:00:00</t>
  </si>
  <si>
    <t>26357955</t>
  </si>
  <si>
    <t>АО "Серпуховский завод "Металлист"</t>
  </si>
  <si>
    <t>5043012881</t>
  </si>
  <si>
    <t>504301001</t>
  </si>
  <si>
    <t>16-03-1995 00:00:00</t>
  </si>
  <si>
    <t>26357674</t>
  </si>
  <si>
    <t>АО "Сокол"</t>
  </si>
  <si>
    <t>5017014522</t>
  </si>
  <si>
    <t>08-12-1999 00:00:00</t>
  </si>
  <si>
    <t>26357821</t>
  </si>
  <si>
    <t>АО "Стройполимер"</t>
  </si>
  <si>
    <t>5032010000</t>
  </si>
  <si>
    <t>20-07-2021 00:00:00</t>
  </si>
  <si>
    <t>26357977</t>
  </si>
  <si>
    <t>АО "Ступинская металлургичекая компания"</t>
  </si>
  <si>
    <t>5045023416</t>
  </si>
  <si>
    <t>504501001</t>
  </si>
  <si>
    <t>26509227</t>
  </si>
  <si>
    <t>АО "ТЭИК"</t>
  </si>
  <si>
    <t>5036064448</t>
  </si>
  <si>
    <t>24-02-2005 00:00:00</t>
  </si>
  <si>
    <t>31781115</t>
  </si>
  <si>
    <t>АО "ТЭК-24"</t>
  </si>
  <si>
    <t>9704237228</t>
  </si>
  <si>
    <t>30839292</t>
  </si>
  <si>
    <t>АО "ТЭП"</t>
  </si>
  <si>
    <t>5029191766</t>
  </si>
  <si>
    <t>20-11-2014 00:00:00</t>
  </si>
  <si>
    <t>28797488</t>
  </si>
  <si>
    <t>АО "Теплогенерирующая компания-7"</t>
  </si>
  <si>
    <t>5024139265</t>
  </si>
  <si>
    <t>26357692</t>
  </si>
  <si>
    <t>АО "Теплосеть"</t>
  </si>
  <si>
    <t>5018134438</t>
  </si>
  <si>
    <t>31322693</t>
  </si>
  <si>
    <t>5052021890</t>
  </si>
  <si>
    <t>22-11-2010 00:00:00</t>
  </si>
  <si>
    <t>26357980</t>
  </si>
  <si>
    <t>АО "Троицкая камвольная фабрика"</t>
  </si>
  <si>
    <t>5046005770</t>
  </si>
  <si>
    <t>682901001</t>
  </si>
  <si>
    <t>28506272</t>
  </si>
  <si>
    <t>АО "ФПЛК"</t>
  </si>
  <si>
    <t>5024070944</t>
  </si>
  <si>
    <t>20-04-2005 00:00:00</t>
  </si>
  <si>
    <t>26783753</t>
  </si>
  <si>
    <t>АО "Фряновская фабрика"</t>
  </si>
  <si>
    <t>5050007378</t>
  </si>
  <si>
    <t>19-06-1996 00:00:00</t>
  </si>
  <si>
    <t>26357935</t>
  </si>
  <si>
    <t>АО "ЦНИИСМ"</t>
  </si>
  <si>
    <t>5042003203</t>
  </si>
  <si>
    <t>11-05-1993 00:00:00</t>
  </si>
  <si>
    <t>31519514</t>
  </si>
  <si>
    <t>АО "ЦНИИмаш"</t>
  </si>
  <si>
    <t>5018200994</t>
  </si>
  <si>
    <t>01-08-2019 00:00:00</t>
  </si>
  <si>
    <t>26357664</t>
  </si>
  <si>
    <t>АО "ЦНИП СДМ"</t>
  </si>
  <si>
    <t>5016000132</t>
  </si>
  <si>
    <t>501601001</t>
  </si>
  <si>
    <t>08-06-1994 00:00:00</t>
  </si>
  <si>
    <t>26814724</t>
  </si>
  <si>
    <t>АО "ЭКК"</t>
  </si>
  <si>
    <t>5024113605</t>
  </si>
  <si>
    <t>20-07-2010 00:00:00</t>
  </si>
  <si>
    <t>26357631</t>
  </si>
  <si>
    <t>АО "ЭНЕРГОТЕН"</t>
  </si>
  <si>
    <t>5010003793</t>
  </si>
  <si>
    <t>27581214</t>
  </si>
  <si>
    <t>АО "Эталон Стандарт"</t>
  </si>
  <si>
    <t>5024099693</t>
  </si>
  <si>
    <t>15-10-2008 00:00:00</t>
  </si>
  <si>
    <t>31540261</t>
  </si>
  <si>
    <t>АО «ЖИЛЭНЕРГО»</t>
  </si>
  <si>
    <t>5047248800</t>
  </si>
  <si>
    <t>05-03-2021 00:00:00</t>
  </si>
  <si>
    <t>26504912</t>
  </si>
  <si>
    <t>АО «ЛИИ им. М.М.Громова»</t>
  </si>
  <si>
    <t>5040114973</t>
  </si>
  <si>
    <t>24-04-2012 00:00:00</t>
  </si>
  <si>
    <t>31541446</t>
  </si>
  <si>
    <t>АО «НИИ НПО «ЛУЧ»</t>
  </si>
  <si>
    <t>5074070474</t>
  </si>
  <si>
    <t>507401001</t>
  </si>
  <si>
    <t>26-07-2021 00:00:00</t>
  </si>
  <si>
    <t>31041690</t>
  </si>
  <si>
    <t>АО «ОЭЗ ТВТ «Дубна»</t>
  </si>
  <si>
    <t>5010034054</t>
  </si>
  <si>
    <t>28-11-2006 00:00:00</t>
  </si>
  <si>
    <t>26357842</t>
  </si>
  <si>
    <t>АО «Одинцовская теплосеть»</t>
  </si>
  <si>
    <t>5032199740</t>
  </si>
  <si>
    <t>26-12-2008 00:00:00</t>
  </si>
  <si>
    <t>31507215</t>
  </si>
  <si>
    <t>АО «Риал Ком»</t>
  </si>
  <si>
    <t>5074018467</t>
  </si>
  <si>
    <t>31507351</t>
  </si>
  <si>
    <t>АО «Тепло Шатуры»</t>
  </si>
  <si>
    <t>5049025358</t>
  </si>
  <si>
    <t>504901001</t>
  </si>
  <si>
    <t>31711156</t>
  </si>
  <si>
    <t>АО НПП "КлАСС"</t>
  </si>
  <si>
    <t>7724032017</t>
  </si>
  <si>
    <t>29-06-1994 00:00:00</t>
  </si>
  <si>
    <t>26783681</t>
  </si>
  <si>
    <t>772001001</t>
  </si>
  <si>
    <t>26357930</t>
  </si>
  <si>
    <t>АО ФНПЦ "НИИ прикладной химии"</t>
  </si>
  <si>
    <t>5042120394</t>
  </si>
  <si>
    <t>01-08-2011 00:00:00</t>
  </si>
  <si>
    <t>31775021</t>
  </si>
  <si>
    <t>АО" ЦУГИ"</t>
  </si>
  <si>
    <t>9722088628</t>
  </si>
  <si>
    <t>772201001</t>
  </si>
  <si>
    <t>26360931</t>
  </si>
  <si>
    <t>АПК "Шатурский"</t>
  </si>
  <si>
    <t>7705035012</t>
  </si>
  <si>
    <t>504902013</t>
  </si>
  <si>
    <t>26409912</t>
  </si>
  <si>
    <t>Академия ГПС МЧС России</t>
  </si>
  <si>
    <t>7717035419</t>
  </si>
  <si>
    <t>771701001</t>
  </si>
  <si>
    <t>26-06-2013 00:00:00</t>
  </si>
  <si>
    <t>26775075</t>
  </si>
  <si>
    <t>Белоусовское управление магистральных газопроводов филиал ООО "Газпром трансгаз Москва"</t>
  </si>
  <si>
    <t>5003028028</t>
  </si>
  <si>
    <t>400743001</t>
  </si>
  <si>
    <t>26361060</t>
  </si>
  <si>
    <t>Богородский филиал АО "НПО "Прибор"</t>
  </si>
  <si>
    <t>7726700943</t>
  </si>
  <si>
    <t>503143001</t>
  </si>
  <si>
    <t>12-07-2012 00:00:00</t>
  </si>
  <si>
    <t>26357545</t>
  </si>
  <si>
    <t>Войсковая часть 3492</t>
  </si>
  <si>
    <t>5001018070</t>
  </si>
  <si>
    <t>23-01-1996 00:00:00</t>
  </si>
  <si>
    <t>26649290</t>
  </si>
  <si>
    <t>Войсковая часть 3641</t>
  </si>
  <si>
    <t>5038019183</t>
  </si>
  <si>
    <t>02-11-2016 00:00:00</t>
  </si>
  <si>
    <t>31508987</t>
  </si>
  <si>
    <t>ГАПОУ МО "МЦК - Техникум имени С.П. Королева"</t>
  </si>
  <si>
    <t>5018160999</t>
  </si>
  <si>
    <t>14-01-2014 00:00:00</t>
  </si>
  <si>
    <t>26548122</t>
  </si>
  <si>
    <t>ГАСУСО МО «Добрый дом «Коломенский»</t>
  </si>
  <si>
    <t>5070000719</t>
  </si>
  <si>
    <t>01-09-1994 00:00:00</t>
  </si>
  <si>
    <t>26357539</t>
  </si>
  <si>
    <t>ГАСУСО МО «ПАНСИОНАТ «ПОДОЛЬСКИЙ»</t>
  </si>
  <si>
    <t>5021004407</t>
  </si>
  <si>
    <t>502101001</t>
  </si>
  <si>
    <t>17-07-1996 00:00:00</t>
  </si>
  <si>
    <t>31501512</t>
  </si>
  <si>
    <t>ГАУ МО "ЦСП №1"</t>
  </si>
  <si>
    <t>5075012595</t>
  </si>
  <si>
    <t>25-08-1999 00:00:00</t>
  </si>
  <si>
    <t>31618344</t>
  </si>
  <si>
    <t>ГАУСО МО "КЦСОиР "Егорьевский"</t>
  </si>
  <si>
    <t>5011023295</t>
  </si>
  <si>
    <t>501101001</t>
  </si>
  <si>
    <t>31-03-2004 00:00:00</t>
  </si>
  <si>
    <t>26510879</t>
  </si>
  <si>
    <t>ГБПОУ МО "ВАТ "ХОЛМОГОРКА"</t>
  </si>
  <si>
    <t>5004000160</t>
  </si>
  <si>
    <t>16-02-2001 00:00:00</t>
  </si>
  <si>
    <t>30355814</t>
  </si>
  <si>
    <t>ГБПОУ МО "Коломенский аграрный колледж"</t>
  </si>
  <si>
    <t>5022021620</t>
  </si>
  <si>
    <t>05-08-2002 00:00:00</t>
  </si>
  <si>
    <t>31295766</t>
  </si>
  <si>
    <t>ГБПОУ МО "Павлово-Посадский техникум"</t>
  </si>
  <si>
    <t>5035039128</t>
  </si>
  <si>
    <t>503501001</t>
  </si>
  <si>
    <t>28799285</t>
  </si>
  <si>
    <t>ГБПОУ МО "ШЭТ"</t>
  </si>
  <si>
    <t>5049003675</t>
  </si>
  <si>
    <t>17-05-2012 00:00:00</t>
  </si>
  <si>
    <t>26511079</t>
  </si>
  <si>
    <t>ГБСУ СО МО "Добрый дом"Куровской"</t>
  </si>
  <si>
    <t>5073065270</t>
  </si>
  <si>
    <t>07-04-1969 00:00:00</t>
  </si>
  <si>
    <t>26513744</t>
  </si>
  <si>
    <t>ГБСУСО МО "Добрый дом "Егорьевский"</t>
  </si>
  <si>
    <t>5011006941</t>
  </si>
  <si>
    <t>06-02-1995 00:00:00</t>
  </si>
  <si>
    <t>26808476</t>
  </si>
  <si>
    <t>ГБСУСО МО "Добрый дом "Чеховский"</t>
  </si>
  <si>
    <t>5048051186</t>
  </si>
  <si>
    <t>504801001</t>
  </si>
  <si>
    <t>22-06-1994 00:00:00</t>
  </si>
  <si>
    <t>26357919</t>
  </si>
  <si>
    <t>ГБСУСО МО «Добрый дом «Раменский»</t>
  </si>
  <si>
    <t>5040036267</t>
  </si>
  <si>
    <t>29-07-1996 00:00:00</t>
  </si>
  <si>
    <t>26511483</t>
  </si>
  <si>
    <t>ГБУ "Реабилитационный центр для инвалидов по зрению"</t>
  </si>
  <si>
    <t>5045032690</t>
  </si>
  <si>
    <t>29-06-2004 00:00:00</t>
  </si>
  <si>
    <t>26357607</t>
  </si>
  <si>
    <t>ГБУ Геролонтогический центр "Дмитровский"</t>
  </si>
  <si>
    <t>5007008294</t>
  </si>
  <si>
    <t>24-12-1994 00:00:00</t>
  </si>
  <si>
    <t>26357625</t>
  </si>
  <si>
    <t>ГБУ НПГЦ</t>
  </si>
  <si>
    <t>5009014328</t>
  </si>
  <si>
    <t>772301001</t>
  </si>
  <si>
    <t>13-03-1995 00:00:00</t>
  </si>
  <si>
    <t>26631434</t>
  </si>
  <si>
    <t>ГБУ СО МО "Центр социально-медицинской реабилитации инвалидов и ветеранов боевых действий "Ясенки"</t>
  </si>
  <si>
    <t>5074035310</t>
  </si>
  <si>
    <t>26548148</t>
  </si>
  <si>
    <t>ГБУ Социальный дом "Данки"</t>
  </si>
  <si>
    <t>5077000796</t>
  </si>
  <si>
    <t>07-09-1999 00:00:00</t>
  </si>
  <si>
    <t>26784943</t>
  </si>
  <si>
    <t>ГБУ Социальный дом «Ступино»</t>
  </si>
  <si>
    <t>5045015550</t>
  </si>
  <si>
    <t>22-01-2001 00:00:00</t>
  </si>
  <si>
    <t>26647766</t>
  </si>
  <si>
    <t>ГБУ ЦРИ "Красная Пахра"</t>
  </si>
  <si>
    <t>5046021524</t>
  </si>
  <si>
    <t>26548116</t>
  </si>
  <si>
    <t>ГБУ г. Москвы дом социального обслуживания "Филимонки" г. Москвы</t>
  </si>
  <si>
    <t>5003009280</t>
  </si>
  <si>
    <t>26357724</t>
  </si>
  <si>
    <t>ГБУЗ "МГОБ №62 ДЗМ"</t>
  </si>
  <si>
    <t>5024001482</t>
  </si>
  <si>
    <t>26357990</t>
  </si>
  <si>
    <t>ГБУЗ "ПБ № 5 ДЗМ"</t>
  </si>
  <si>
    <t>5048050866</t>
  </si>
  <si>
    <t>04-04-1994 00:00:00</t>
  </si>
  <si>
    <t>26509093</t>
  </si>
  <si>
    <t>ГБУЗ МО "Психиатрическая больница №8"</t>
  </si>
  <si>
    <t>5034083364</t>
  </si>
  <si>
    <t>23-11-1995 00:00:00</t>
  </si>
  <si>
    <t>28059175</t>
  </si>
  <si>
    <t>ГБУЗ МО «Санаторий Пушкино»</t>
  </si>
  <si>
    <t>5038005670</t>
  </si>
  <si>
    <t>28977988</t>
  </si>
  <si>
    <t>ГБУЗ ТКБ № 3 ДЗМ</t>
  </si>
  <si>
    <t>7733054120</t>
  </si>
  <si>
    <t>773301001</t>
  </si>
  <si>
    <t>15-05-2005 00:00:00</t>
  </si>
  <si>
    <t>26357963</t>
  </si>
  <si>
    <t>ГБУЗ Туберкулезная больница имени А.Е. Рабухина ДЗМ</t>
  </si>
  <si>
    <t>5044015638</t>
  </si>
  <si>
    <t>31601353</t>
  </si>
  <si>
    <t>ГКОУ МО "Каширская спецшкола "</t>
  </si>
  <si>
    <t>5019002787</t>
  </si>
  <si>
    <t>16-12-2002 00:00:00</t>
  </si>
  <si>
    <t>31507130</t>
  </si>
  <si>
    <t>ГКУ "Соцэнерго"</t>
  </si>
  <si>
    <t>7719253518</t>
  </si>
  <si>
    <t>771001001</t>
  </si>
  <si>
    <t>19-07-2021 00:00:00</t>
  </si>
  <si>
    <t>26796753</t>
  </si>
  <si>
    <t>ГУП МО "КС МО"</t>
  </si>
  <si>
    <t>5034065171</t>
  </si>
  <si>
    <t>23-12-1994 00:00:00</t>
  </si>
  <si>
    <t>26775083</t>
  </si>
  <si>
    <t>Гавриловское линейное производственное управление магистральных газопроводов - филиал ООО “Газпром трансгаз Москва”</t>
  </si>
  <si>
    <t>507203001</t>
  </si>
  <si>
    <t>26357621</t>
  </si>
  <si>
    <t>Госфильмофонд России</t>
  </si>
  <si>
    <t>5009007137</t>
  </si>
  <si>
    <t>23-04-1997 00:00:00</t>
  </si>
  <si>
    <t>26357746</t>
  </si>
  <si>
    <t>ДМУП "ЭКПО"</t>
  </si>
  <si>
    <t>5027033059</t>
  </si>
  <si>
    <t>14-04-1995 00:00:00</t>
  </si>
  <si>
    <t>26573320</t>
  </si>
  <si>
    <t>ДОЦ "Старая Руза" Дирекции социальной сферы Моск. ж.д. ОАО "РЖД"</t>
  </si>
  <si>
    <t>7708503727</t>
  </si>
  <si>
    <t>507545013</t>
  </si>
  <si>
    <t>09-03-2007 00:00:00</t>
  </si>
  <si>
    <t>26548185</t>
  </si>
  <si>
    <t>Дирекция по тепло-водоснабжению Московской железной дороги филиала ОАО"РЖД"</t>
  </si>
  <si>
    <t>27674693</t>
  </si>
  <si>
    <t>ЖЭУ ЗАО "Мособлстрой №20"</t>
  </si>
  <si>
    <t>5038012910</t>
  </si>
  <si>
    <t>503802003</t>
  </si>
  <si>
    <t>12-01-1993 00:00:00</t>
  </si>
  <si>
    <t>26358051</t>
  </si>
  <si>
    <t>ЗАО " Санаторий "Ерино"</t>
  </si>
  <si>
    <t>5074017181</t>
  </si>
  <si>
    <t>30877358</t>
  </si>
  <si>
    <t>ЗАО "ВИК "Тензо-М"</t>
  </si>
  <si>
    <t>5027048351</t>
  </si>
  <si>
    <t>22-08-1996 00:00:00</t>
  </si>
  <si>
    <t>26358037</t>
  </si>
  <si>
    <t>ЗАО "ГОРАК"</t>
  </si>
  <si>
    <t>5072701075</t>
  </si>
  <si>
    <t>507201001</t>
  </si>
  <si>
    <t>26357944</t>
  </si>
  <si>
    <t>ЗАО "ЗОЗП"</t>
  </si>
  <si>
    <t>5042015689</t>
  </si>
  <si>
    <t>17-10-2002 00:00:00</t>
  </si>
  <si>
    <t>30384074</t>
  </si>
  <si>
    <t>ЗАО "ЗиО-Здоровье"</t>
  </si>
  <si>
    <t>5036046054</t>
  </si>
  <si>
    <t>05-06-2001 00:00:00</t>
  </si>
  <si>
    <t>26549209</t>
  </si>
  <si>
    <t>ЗАО "КСПЗ"</t>
  </si>
  <si>
    <t>5021011845</t>
  </si>
  <si>
    <t>401801001</t>
  </si>
  <si>
    <t>26357709</t>
  </si>
  <si>
    <t>ЗАО "Климовский специализированный патронный завод" ("КСПЗ")</t>
  </si>
  <si>
    <t>502103001</t>
  </si>
  <si>
    <t>26357893</t>
  </si>
  <si>
    <t>ЗАО "ЛВЗ "Топаз"</t>
  </si>
  <si>
    <t>5038002790</t>
  </si>
  <si>
    <t>997350001</t>
  </si>
  <si>
    <t>30359419</t>
  </si>
  <si>
    <t>ЗАО "МБМ Центр Лимитед"</t>
  </si>
  <si>
    <t>7730095544</t>
  </si>
  <si>
    <t>24-06-1997 00:00:00</t>
  </si>
  <si>
    <t>27554202</t>
  </si>
  <si>
    <t>ЗАО "Новая усадьба"</t>
  </si>
  <si>
    <t>7728587940</t>
  </si>
  <si>
    <t>26357864</t>
  </si>
  <si>
    <t>ЗАО "ПО "Берег"</t>
  </si>
  <si>
    <t>5035001332</t>
  </si>
  <si>
    <t>30-01-1992 00:00:00</t>
  </si>
  <si>
    <t>26357817</t>
  </si>
  <si>
    <t>ЗАО "Петелинская птицефабрика"</t>
  </si>
  <si>
    <t>5032000235</t>
  </si>
  <si>
    <t>10-02-1999 00:00:00</t>
  </si>
  <si>
    <t>26357866</t>
  </si>
  <si>
    <t>ЗАО "Рахмановский шелковый комбинат"</t>
  </si>
  <si>
    <t>5035002671</t>
  </si>
  <si>
    <t>26357948</t>
  </si>
  <si>
    <t>ЗАО "СТРОЙГРУППА СП"</t>
  </si>
  <si>
    <t>5042074571</t>
  </si>
  <si>
    <t>26-09-2003 00:00:00</t>
  </si>
  <si>
    <t>26548177</t>
  </si>
  <si>
    <t>ЗАО "Совхоз имени Ленина"</t>
  </si>
  <si>
    <t>5003009032</t>
  </si>
  <si>
    <t>31026430</t>
  </si>
  <si>
    <t>ЗАО "Союзэнерго"</t>
  </si>
  <si>
    <t>7719535689</t>
  </si>
  <si>
    <t>501501001</t>
  </si>
  <si>
    <t>26357636</t>
  </si>
  <si>
    <t>ЗАО "ТЕХОС"</t>
  </si>
  <si>
    <t>5011002143</t>
  </si>
  <si>
    <t>26786346</t>
  </si>
  <si>
    <t>ЗАО "Фрязинская Теплосеть"</t>
  </si>
  <si>
    <t>5052020960</t>
  </si>
  <si>
    <t>505201001</t>
  </si>
  <si>
    <t>24-03-2010 00:00:00</t>
  </si>
  <si>
    <t>26357683</t>
  </si>
  <si>
    <t>ЗАО "ЭНО"</t>
  </si>
  <si>
    <t>5017032666</t>
  </si>
  <si>
    <t>02-12-1996 00:00:00</t>
  </si>
  <si>
    <t>26357929</t>
  </si>
  <si>
    <t>ЗАО "Электроизолит"</t>
  </si>
  <si>
    <t>5042000530</t>
  </si>
  <si>
    <t>26357726</t>
  </si>
  <si>
    <t>ЗАО"Бецема"</t>
  </si>
  <si>
    <t>31656362</t>
  </si>
  <si>
    <t>ИП СИДОРОВ АЛЕКСАНДР АНАТОЛЬЕВИЧ</t>
  </si>
  <si>
    <t>774399496500</t>
  </si>
  <si>
    <t>25-06-2009 00:00:00</t>
  </si>
  <si>
    <t>31518267</t>
  </si>
  <si>
    <t>ИП Саталин Александр андреевич</t>
  </si>
  <si>
    <t>504004459205</t>
  </si>
  <si>
    <t>26-11-2007 00:00:00</t>
  </si>
  <si>
    <t>31652209</t>
  </si>
  <si>
    <t>ИП Факин Виталий Александрович</t>
  </si>
  <si>
    <t>501208187603</t>
  </si>
  <si>
    <t>10-05-2017 00:00:00</t>
  </si>
  <si>
    <t>КОМИТЕТ ПО ЦЕНАМ И ТАРИФАМ МОСКОВСКОЙ ОБЛАСТИ</t>
  </si>
  <si>
    <t>5024125640</t>
  </si>
  <si>
    <t>26649472</t>
  </si>
  <si>
    <t>ЛПУ санаторий "Озеры"</t>
  </si>
  <si>
    <t>5033002210</t>
  </si>
  <si>
    <t>503301001</t>
  </si>
  <si>
    <t>05-08-1992 00:00:00</t>
  </si>
  <si>
    <t>26357907</t>
  </si>
  <si>
    <t>Лечебно-профилактическое учреждение "Санаторий "Правда"</t>
  </si>
  <si>
    <t>5038036051</t>
  </si>
  <si>
    <t>31710439</t>
  </si>
  <si>
    <t>МБУ «Ликино-Дулевский КБ»</t>
  </si>
  <si>
    <t>5034051122</t>
  </si>
  <si>
    <t>26357772</t>
  </si>
  <si>
    <t>МГТУ им. Н.Э. БАУМАНА МФ</t>
  </si>
  <si>
    <t>7701002520</t>
  </si>
  <si>
    <t>770101001</t>
  </si>
  <si>
    <t>20-10-2016 00:00:00</t>
  </si>
  <si>
    <t>30358385</t>
  </si>
  <si>
    <t>МКП "ИКЖКХ"</t>
  </si>
  <si>
    <t>5044046731</t>
  </si>
  <si>
    <t>02-02-2005 00:00:00</t>
  </si>
  <si>
    <t>28054885</t>
  </si>
  <si>
    <t>МКП "Лотошинское ЖКХ"</t>
  </si>
  <si>
    <t>5071005886</t>
  </si>
  <si>
    <t>507101001</t>
  </si>
  <si>
    <t>26357992</t>
  </si>
  <si>
    <t>МП "ЖКХ " Чеховского района</t>
  </si>
  <si>
    <t>5048052077</t>
  </si>
  <si>
    <t>21-06-1996 00:00:00</t>
  </si>
  <si>
    <t>28462523</t>
  </si>
  <si>
    <t>МП "Звенигородские инженерные сети"</t>
  </si>
  <si>
    <t>5015249617</t>
  </si>
  <si>
    <t>28044250</t>
  </si>
  <si>
    <t>МП "ЛП КТВС"</t>
  </si>
  <si>
    <t>5050097808</t>
  </si>
  <si>
    <t>06-06-2012 00:00:00</t>
  </si>
  <si>
    <t>26357738</t>
  </si>
  <si>
    <t>МП "Лыткаринская теплосеть"</t>
  </si>
  <si>
    <t>5026000406</t>
  </si>
  <si>
    <t>01-10-1992 00:00:00</t>
  </si>
  <si>
    <t>26357654</t>
  </si>
  <si>
    <t>МП "Теплоцентраль"</t>
  </si>
  <si>
    <t>5013006792</t>
  </si>
  <si>
    <t>28-12-1993 00:00:00</t>
  </si>
  <si>
    <t>26358015</t>
  </si>
  <si>
    <t>МП ГОЩ "Щёлковская Теплосеть"</t>
  </si>
  <si>
    <t>5050026684</t>
  </si>
  <si>
    <t>27709982</t>
  </si>
  <si>
    <t>МП ГПМ "МИК"</t>
  </si>
  <si>
    <t>5050092408</t>
  </si>
  <si>
    <t>02-05-2012 00:00:00</t>
  </si>
  <si>
    <t>26358074</t>
  </si>
  <si>
    <t>МПКХ "Шаховская"</t>
  </si>
  <si>
    <t>5079000720</t>
  </si>
  <si>
    <t>507901001</t>
  </si>
  <si>
    <t>26357752</t>
  </si>
  <si>
    <t>МУЖКП "Котельники"</t>
  </si>
  <si>
    <t>5027048658</t>
  </si>
  <si>
    <t>26548083</t>
  </si>
  <si>
    <t>МУП "БКС"</t>
  </si>
  <si>
    <t>5012091227</t>
  </si>
  <si>
    <t>18-02-2016 00:00:00</t>
  </si>
  <si>
    <t>26508619</t>
  </si>
  <si>
    <t>МУП "Белоозерское ЖКХ"</t>
  </si>
  <si>
    <t>5005038631</t>
  </si>
  <si>
    <t>19-05-2004 00:00:00</t>
  </si>
  <si>
    <t>26647127</t>
  </si>
  <si>
    <t>МУП "Благоустройство и развитие" городского округа Власиха</t>
  </si>
  <si>
    <t>5032223658</t>
  </si>
  <si>
    <t>02-06-2010 00:00:00</t>
  </si>
  <si>
    <t>26548211</t>
  </si>
  <si>
    <t>МУП "Большие Вязёмы"</t>
  </si>
  <si>
    <t>5032199148</t>
  </si>
  <si>
    <t>26514988</t>
  </si>
  <si>
    <t>МУП "ВИДНОВСКОЕ ПТО ГХ"</t>
  </si>
  <si>
    <t>5003002816</t>
  </si>
  <si>
    <t>18-04-2017 00:00:00</t>
  </si>
  <si>
    <t>26354067</t>
  </si>
  <si>
    <t>МУП "ВОДОКАНАЛ"</t>
  </si>
  <si>
    <t>5034028109</t>
  </si>
  <si>
    <t>13-09-2018 00:00:00</t>
  </si>
  <si>
    <t>30359822</t>
  </si>
  <si>
    <t>МУП "Водоканал"</t>
  </si>
  <si>
    <t>5019025953</t>
  </si>
  <si>
    <t>04-08-2014 00:00:00</t>
  </si>
  <si>
    <t>26548317</t>
  </si>
  <si>
    <t>МУП "Водоканал" г. Подольска</t>
  </si>
  <si>
    <t>5036029468</t>
  </si>
  <si>
    <t>30358464</t>
  </si>
  <si>
    <t>МУП "Восход-Сервис"</t>
  </si>
  <si>
    <t>5017106011</t>
  </si>
  <si>
    <t>17-04-2015 00:00:00</t>
  </si>
  <si>
    <t>31415574</t>
  </si>
  <si>
    <t>МУП "ДУ ЖКХ"</t>
  </si>
  <si>
    <t>5007105604</t>
  </si>
  <si>
    <t>10-09-2018 00:00:00</t>
  </si>
  <si>
    <t>26357658</t>
  </si>
  <si>
    <t>МУП "ЕСКХ Зарайского района"</t>
  </si>
  <si>
    <t>5014008866</t>
  </si>
  <si>
    <t>501401001</t>
  </si>
  <si>
    <t>05-06-2003 00:00:00</t>
  </si>
  <si>
    <t>28506241</t>
  </si>
  <si>
    <t>МУП "ЖКХ Назарьево"</t>
  </si>
  <si>
    <t>5032272535</t>
  </si>
  <si>
    <t>11-11-2013 00:00:00</t>
  </si>
  <si>
    <t>26357618</t>
  </si>
  <si>
    <t>МУП "Инженерные сети г.Долгопрудного"</t>
  </si>
  <si>
    <t>5008032317</t>
  </si>
  <si>
    <t>500801001</t>
  </si>
  <si>
    <t>11-12-2001 00:00:00</t>
  </si>
  <si>
    <t>30832028</t>
  </si>
  <si>
    <t>МУП "КЛИНТЕПЛОСЕТЬ"</t>
  </si>
  <si>
    <t>5020079505</t>
  </si>
  <si>
    <t>502001001</t>
  </si>
  <si>
    <t>05-11-2015 00:00:00</t>
  </si>
  <si>
    <t>30834016</t>
  </si>
  <si>
    <t>МУП "Леонтьевское ЖКХ"</t>
  </si>
  <si>
    <t>5045055577</t>
  </si>
  <si>
    <t>22-04-2014 00:00:00</t>
  </si>
  <si>
    <t>26548323</t>
  </si>
  <si>
    <t>МУП "Лесной"</t>
  </si>
  <si>
    <t>5038070260</t>
  </si>
  <si>
    <t>27-07-2009 00:00:00</t>
  </si>
  <si>
    <t>26645400</t>
  </si>
  <si>
    <t>МУП "ПТО ЖКХ"</t>
  </si>
  <si>
    <t>5045003106</t>
  </si>
  <si>
    <t>03-11-1998 00:00:00</t>
  </si>
  <si>
    <t>26504820</t>
  </si>
  <si>
    <t>МУП "ПТП ГХ"</t>
  </si>
  <si>
    <t>5053006284</t>
  </si>
  <si>
    <t>26357877</t>
  </si>
  <si>
    <t>МУП "Подольская  теплосеть"</t>
  </si>
  <si>
    <t>5036002770</t>
  </si>
  <si>
    <t>11-08-1992 00:00:00</t>
  </si>
  <si>
    <t>30922714</t>
  </si>
  <si>
    <t>МУП "РКС"</t>
  </si>
  <si>
    <t>5042143553</t>
  </si>
  <si>
    <t>22-12-2016 00:00:00</t>
  </si>
  <si>
    <t>26358063</t>
  </si>
  <si>
    <t>МУП "РСО го Серебряные Пруды"</t>
  </si>
  <si>
    <t>5019027534</t>
  </si>
  <si>
    <t>29-03-2016 00:00:00</t>
  </si>
  <si>
    <t>26357719</t>
  </si>
  <si>
    <t>МУП "СКИ"</t>
  </si>
  <si>
    <t>5023010332</t>
  </si>
  <si>
    <t>502301001</t>
  </si>
  <si>
    <t>09-02-2009 00:00:00</t>
  </si>
  <si>
    <t>26357976</t>
  </si>
  <si>
    <t>МУП "ТАТАРИНОВСКОЕ ЖКХ"</t>
  </si>
  <si>
    <t>5045019755</t>
  </si>
  <si>
    <t>01-10-1996 00:00:00</t>
  </si>
  <si>
    <t>31723903</t>
  </si>
  <si>
    <t>МУП "ТЕПЛОСЕТЬ"</t>
  </si>
  <si>
    <t>5045069918</t>
  </si>
  <si>
    <t>25-05-2023 00:00:00</t>
  </si>
  <si>
    <t>26358073</t>
  </si>
  <si>
    <t>МУП "Талдомсервис" г.Талдом</t>
  </si>
  <si>
    <t>5078015918</t>
  </si>
  <si>
    <t>507801001</t>
  </si>
  <si>
    <t>23-11-2006 00:00:00</t>
  </si>
  <si>
    <t>26357717</t>
  </si>
  <si>
    <t>МУП "Тепло Коломны"</t>
  </si>
  <si>
    <t>5022030985</t>
  </si>
  <si>
    <t>05-12-2001 00:00:00</t>
  </si>
  <si>
    <t>26357914</t>
  </si>
  <si>
    <t>МУП "Тепловодоканал"</t>
  </si>
  <si>
    <t>5039008071</t>
  </si>
  <si>
    <t>503901001</t>
  </si>
  <si>
    <t>30913834</t>
  </si>
  <si>
    <t>МУП "Теплосеть Наро-Фоминского городского округа"</t>
  </si>
  <si>
    <t>5030015490</t>
  </si>
  <si>
    <t>04-09-1992 00:00:00</t>
  </si>
  <si>
    <t>26357627</t>
  </si>
  <si>
    <t>МУП "Теплосеть" г.о Домодедово</t>
  </si>
  <si>
    <t>5009022752</t>
  </si>
  <si>
    <t>26357981</t>
  </si>
  <si>
    <t>МУП "Троицктеплоэнерго"</t>
  </si>
  <si>
    <t>5046049865</t>
  </si>
  <si>
    <t>504601001</t>
  </si>
  <si>
    <t>26783107</t>
  </si>
  <si>
    <t>МУП "УЭ"</t>
  </si>
  <si>
    <t>5031007809</t>
  </si>
  <si>
    <t>31305053</t>
  </si>
  <si>
    <t>МУП "ЭЦУ"</t>
  </si>
  <si>
    <t>5053041031</t>
  </si>
  <si>
    <t>20-07-2005 00:00:00</t>
  </si>
  <si>
    <t>26357753</t>
  </si>
  <si>
    <t>МУП ЖКХ ГП Малаховка</t>
  </si>
  <si>
    <t>5027052196</t>
  </si>
  <si>
    <t>26357646</t>
  </si>
  <si>
    <t>МУП КХ "Егорьевские инженерные сети"</t>
  </si>
  <si>
    <t>5011025214</t>
  </si>
  <si>
    <t>26358040</t>
  </si>
  <si>
    <t>МУП ПТО ЖХ №8 Орехово-Зуевского района</t>
  </si>
  <si>
    <t>5073006726</t>
  </si>
  <si>
    <t>507301001</t>
  </si>
  <si>
    <t>26357602</t>
  </si>
  <si>
    <t>МУП ТХ "Теплосервис"</t>
  </si>
  <si>
    <t>5006011488</t>
  </si>
  <si>
    <t>500601001</t>
  </si>
  <si>
    <t>26548331</t>
  </si>
  <si>
    <t>МУП ЩМР "Межрайонный Щелковский Водоканал"</t>
  </si>
  <si>
    <t>5050025306</t>
  </si>
  <si>
    <t>26584307</t>
  </si>
  <si>
    <t>МУП г.п.Загорянский "Загорянская муниципальная служба ЖКХ"</t>
  </si>
  <si>
    <t>5050061713</t>
  </si>
  <si>
    <t>06-02-2007 00:00:00</t>
  </si>
  <si>
    <t>28236959</t>
  </si>
  <si>
    <t>МФТИ</t>
  </si>
  <si>
    <t>5008006211</t>
  </si>
  <si>
    <t>772701001</t>
  </si>
  <si>
    <t>26361356</t>
  </si>
  <si>
    <t>Международная межправительственная научно-исследовательская организация Объединенный институт ядерных исследований</t>
  </si>
  <si>
    <t>9909125356</t>
  </si>
  <si>
    <t>501063001</t>
  </si>
  <si>
    <t>26360982</t>
  </si>
  <si>
    <t>Московская дирекция по тепловодоснабжению - структурное подразделение Центральной дирекции по тепловодоснабжению - филиала ОАО "РЖД"</t>
  </si>
  <si>
    <t>770845068</t>
  </si>
  <si>
    <t>27435083</t>
  </si>
  <si>
    <t>Московская дирекция по тепловодоснабжению СП ЦДТВ –филиал ОАО «РЖД»</t>
  </si>
  <si>
    <t>770845069</t>
  </si>
  <si>
    <t>05-12-2017 00:00:00</t>
  </si>
  <si>
    <t>26357598</t>
  </si>
  <si>
    <t>НИТУ "МИСИС"</t>
  </si>
  <si>
    <t>7706019535</t>
  </si>
  <si>
    <t>770601005</t>
  </si>
  <si>
    <t>28145252</t>
  </si>
  <si>
    <t>НИЦ "Курчатовский институт"- ИФВЭ</t>
  </si>
  <si>
    <t>5037007869</t>
  </si>
  <si>
    <t>17-04-2012 00:00:00</t>
  </si>
  <si>
    <t>26773461</t>
  </si>
  <si>
    <t>НУ "Учебный центр Московского областного  объединения организаций профсоюзов"</t>
  </si>
  <si>
    <t>5003003520</t>
  </si>
  <si>
    <t>26774939</t>
  </si>
  <si>
    <t>Научно-исследовательский центр эксплуатации и ремонта авиационной техники (НИЦ ЭРАТ) (г. Люберцы) ФГУ "4 ЦНИИ Минобороны России"</t>
  </si>
  <si>
    <t>5054086684</t>
  </si>
  <si>
    <t>505401001</t>
  </si>
  <si>
    <t>26514101</t>
  </si>
  <si>
    <t>ОАО "АК "Рубин"</t>
  </si>
  <si>
    <t>5001000034</t>
  </si>
  <si>
    <t>26357696</t>
  </si>
  <si>
    <t>ОАО "Агросервис"</t>
  </si>
  <si>
    <t>5019007746</t>
  </si>
  <si>
    <t>26357693</t>
  </si>
  <si>
    <t>ОАО "Байсад-Кашира"</t>
  </si>
  <si>
    <t>5019002730</t>
  </si>
  <si>
    <t>26506459</t>
  </si>
  <si>
    <t>ОАО "Вешки"</t>
  </si>
  <si>
    <t>5029004007</t>
  </si>
  <si>
    <t>26508621</t>
  </si>
  <si>
    <t>ОАО "Воскресенск-Техноткань"</t>
  </si>
  <si>
    <t>5005000518</t>
  </si>
  <si>
    <t>26357815</t>
  </si>
  <si>
    <t>ОАО "ГКЗ"</t>
  </si>
  <si>
    <t>5032000108</t>
  </si>
  <si>
    <t>26-10-1992 00:00:00</t>
  </si>
  <si>
    <t>26508864</t>
  </si>
  <si>
    <t>ОАО "Даном"</t>
  </si>
  <si>
    <t>7727208050</t>
  </si>
  <si>
    <t>26358041</t>
  </si>
  <si>
    <t>ОАО "Демиховский машиностроительный завод"</t>
  </si>
  <si>
    <t>5073050010</t>
  </si>
  <si>
    <t>774550001</t>
  </si>
  <si>
    <t>26358053</t>
  </si>
  <si>
    <t>ОАО "Дубровицы"</t>
  </si>
  <si>
    <t>5074030168</t>
  </si>
  <si>
    <t>26357788</t>
  </si>
  <si>
    <t>ОАО "Караваево"</t>
  </si>
  <si>
    <t>5031002293</t>
  </si>
  <si>
    <t>26361015</t>
  </si>
  <si>
    <t>ОАО "Климатехника"</t>
  </si>
  <si>
    <t>7710088186</t>
  </si>
  <si>
    <t>13-01-1993 00:00:00</t>
  </si>
  <si>
    <t>26357542</t>
  </si>
  <si>
    <t>ОАО "Криогенмаш"</t>
  </si>
  <si>
    <t>5001000066</t>
  </si>
  <si>
    <t>500995001</t>
  </si>
  <si>
    <t>26357761</t>
  </si>
  <si>
    <t>ОАО "ЛЗП"</t>
  </si>
  <si>
    <t>5027100964</t>
  </si>
  <si>
    <t>18-05-2004 00:00:00</t>
  </si>
  <si>
    <t>26357737</t>
  </si>
  <si>
    <t>ОАО "Лыткаринский завод оптического стекла"</t>
  </si>
  <si>
    <t>5026000300</t>
  </si>
  <si>
    <t>502601001</t>
  </si>
  <si>
    <t>26508638</t>
  </si>
  <si>
    <t>ОАО "Московский завод "Кристалл" филиал "Корыстово"</t>
  </si>
  <si>
    <t>7722019116</t>
  </si>
  <si>
    <t>501902001</t>
  </si>
  <si>
    <t>26785344</t>
  </si>
  <si>
    <t>ОАО "НИИРП"</t>
  </si>
  <si>
    <t>5042013804</t>
  </si>
  <si>
    <t>28-10-1992 00:00:00</t>
  </si>
  <si>
    <t>26357794</t>
  </si>
  <si>
    <t>ОАО "НИИЭИ"</t>
  </si>
  <si>
    <t>5031099373</t>
  </si>
  <si>
    <t>26586236</t>
  </si>
  <si>
    <t>ОАО "НКС"</t>
  </si>
  <si>
    <t>5031078359</t>
  </si>
  <si>
    <t>28252425</t>
  </si>
  <si>
    <t>ОАО "Новомосковский Технопарк"</t>
  </si>
  <si>
    <t>5003004676</t>
  </si>
  <si>
    <t>26357802</t>
  </si>
  <si>
    <t>ОАО "Ногинский хлебокомбинат"</t>
  </si>
  <si>
    <t>5031020302</t>
  </si>
  <si>
    <t>28819493</t>
  </si>
  <si>
    <t>ОАО "Огниково"</t>
  </si>
  <si>
    <t>5017003880</t>
  </si>
  <si>
    <t>06-03-1997 00:00:00</t>
  </si>
  <si>
    <t>28441737</t>
  </si>
  <si>
    <t>ОАО "ПМК-15"</t>
  </si>
  <si>
    <t>5074001230</t>
  </si>
  <si>
    <t>26357614</t>
  </si>
  <si>
    <t>ОАО "ПО "ТОС"</t>
  </si>
  <si>
    <t>5008000202</t>
  </si>
  <si>
    <t>26357827</t>
  </si>
  <si>
    <t>ОАО "Пансионат с лечением Солнечная поляна"</t>
  </si>
  <si>
    <t>5032022630</t>
  </si>
  <si>
    <t>26548339</t>
  </si>
  <si>
    <t>ОАО "Песковский комбинат строительных материалов"</t>
  </si>
  <si>
    <t>5070000042</t>
  </si>
  <si>
    <t>507001001</t>
  </si>
  <si>
    <t>26358043</t>
  </si>
  <si>
    <t>ОАО "Подольская  механизированная колонна №15"</t>
  </si>
  <si>
    <t>26357888</t>
  </si>
  <si>
    <t>ОАО "Подольская теплоэнергетическая компания"</t>
  </si>
  <si>
    <t>5036056101</t>
  </si>
  <si>
    <t>28817352</t>
  </si>
  <si>
    <t>ОАО "Прогресс"</t>
  </si>
  <si>
    <t>5049021561</t>
  </si>
  <si>
    <t>505501001</t>
  </si>
  <si>
    <t>28237030</t>
  </si>
  <si>
    <t>ОАО "Пушкинская Теплосеть"</t>
  </si>
  <si>
    <t>5038088317</t>
  </si>
  <si>
    <t>01-02-2012 00:00:00</t>
  </si>
  <si>
    <t>26357899</t>
  </si>
  <si>
    <t>ОАО "Пушкинский электромеханический завод"</t>
  </si>
  <si>
    <t>5038010790</t>
  </si>
  <si>
    <t>26772226</t>
  </si>
  <si>
    <t>ОАО "РЖД" филиал Московской дирекции по ремонту пути ПМС №4</t>
  </si>
  <si>
    <t>770831027</t>
  </si>
  <si>
    <t>28076876</t>
  </si>
  <si>
    <t>ОАО "Сычевское ПТП ЖКХ"</t>
  </si>
  <si>
    <t>5004024481</t>
  </si>
  <si>
    <t>24-02-2012 00:00:00</t>
  </si>
  <si>
    <t>26548124</t>
  </si>
  <si>
    <t>ОАО "Текстильная фирма "Возрождение"</t>
  </si>
  <si>
    <t>5003001178</t>
  </si>
  <si>
    <t>01-11-1999 00:00:00</t>
  </si>
  <si>
    <t>26358022</t>
  </si>
  <si>
    <t>ОАО "Теплосеть-Инвест"</t>
  </si>
  <si>
    <t>5050055205</t>
  </si>
  <si>
    <t>26357703</t>
  </si>
  <si>
    <t>ОАО "Термоприбор"</t>
  </si>
  <si>
    <t>5020002728</t>
  </si>
  <si>
    <t>26508597</t>
  </si>
  <si>
    <t>ОАО "Фетр"</t>
  </si>
  <si>
    <t>5005001180</t>
  </si>
  <si>
    <t>26361080</t>
  </si>
  <si>
    <t>ОАО "Химволокно"</t>
  </si>
  <si>
    <t>5043000117</t>
  </si>
  <si>
    <t>26357983</t>
  </si>
  <si>
    <t>ОАО "Экспериментальный керамический завод"</t>
  </si>
  <si>
    <t>5047001778</t>
  </si>
  <si>
    <t>14-11-2002 00:00:00</t>
  </si>
  <si>
    <t>26357905</t>
  </si>
  <si>
    <t>ОАО "Энергия"</t>
  </si>
  <si>
    <t>5038016104</t>
  </si>
  <si>
    <t>23-12-1993 00:00:00</t>
  </si>
  <si>
    <t>26358019</t>
  </si>
  <si>
    <t>ОАО "Энергоресурсы"</t>
  </si>
  <si>
    <t>5050046112</t>
  </si>
  <si>
    <t>26504866</t>
  </si>
  <si>
    <t>ОАО «342 Механический завод»</t>
  </si>
  <si>
    <t>5009002001</t>
  </si>
  <si>
    <t>27614901</t>
  </si>
  <si>
    <t>ОАО ЛЗОС</t>
  </si>
  <si>
    <t>26504922</t>
  </si>
  <si>
    <t>ОАО ХК «Коломенский завод»</t>
  </si>
  <si>
    <t>5022013517</t>
  </si>
  <si>
    <t>31644312</t>
  </si>
  <si>
    <t>ОБЩЕСТВО С ОГРАНИЧЕННОЙ ОТВЕТСТВЕННОСТЬЮ "ГОЛИЦЫНСКАЯ УПРАВЛЯЮЩАЯ КОМПАНИЯ"</t>
  </si>
  <si>
    <t>5032236181</t>
  </si>
  <si>
    <t>31778741</t>
  </si>
  <si>
    <t>ОБЩЕСТВО С ОГРАНИЧЕННОЙ ОТВЕТСТВЕННОСТЬЮ СПЕЦИАЛИЗИРОВАННЫЙ ЗАСТРОЙЩИК «НАУЧНЫЙ ИССЛЕДОВАТЕЛЬСКИЙ ИНСТИТУТ МЕТАЛЕР»</t>
  </si>
  <si>
    <t>5075016751</t>
  </si>
  <si>
    <t>770501001</t>
  </si>
  <si>
    <t>28058525</t>
  </si>
  <si>
    <t>ООО  "ЖК-Ресурс"</t>
  </si>
  <si>
    <t>5032254141</t>
  </si>
  <si>
    <t>03-07-2012 00:00:00</t>
  </si>
  <si>
    <t>28059164</t>
  </si>
  <si>
    <t>ООО  «ТехноАльянсИнвест»</t>
  </si>
  <si>
    <t>5001083979</t>
  </si>
  <si>
    <t>28877677</t>
  </si>
  <si>
    <t>ООО " Жостовская фабрика"</t>
  </si>
  <si>
    <t>5029081227</t>
  </si>
  <si>
    <t>31665118</t>
  </si>
  <si>
    <t>ООО " КСП"</t>
  </si>
  <si>
    <t>5034059160</t>
  </si>
  <si>
    <t>08-09-2020 00:00:00</t>
  </si>
  <si>
    <t>30913847</t>
  </si>
  <si>
    <t>ООО "54 ПК"</t>
  </si>
  <si>
    <t>5007094720</t>
  </si>
  <si>
    <t>02-07-2015 00:00:00</t>
  </si>
  <si>
    <t>30871480</t>
  </si>
  <si>
    <t>ООО "858 УНР"</t>
  </si>
  <si>
    <t>5032145382</t>
  </si>
  <si>
    <t>04-04-2006 00:00:00</t>
  </si>
  <si>
    <t>30797934</t>
  </si>
  <si>
    <t>ООО "АДС СЕРВИС"</t>
  </si>
  <si>
    <t>5075020934</t>
  </si>
  <si>
    <t>31685256</t>
  </si>
  <si>
    <t>ООО "АМБ-ГРУПП"</t>
  </si>
  <si>
    <t>6639016140</t>
  </si>
  <si>
    <t>667001001</t>
  </si>
  <si>
    <t>20-04-2007 00:00:00</t>
  </si>
  <si>
    <t>28423875</t>
  </si>
  <si>
    <t>ООО "АвангардЪ-Контракт"</t>
  </si>
  <si>
    <t>7706231115</t>
  </si>
  <si>
    <t>26-04-2001 00:00:00</t>
  </si>
  <si>
    <t>30839215</t>
  </si>
  <si>
    <t>ООО "Агрокомплекс "Иванисово"</t>
  </si>
  <si>
    <t>5053067248</t>
  </si>
  <si>
    <t>26357730</t>
  </si>
  <si>
    <t>ООО "Акватория"</t>
  </si>
  <si>
    <t>5024033942</t>
  </si>
  <si>
    <t>17-04-1998 00:00:00</t>
  </si>
  <si>
    <t>26357781</t>
  </si>
  <si>
    <t>ООО "Алабинский опытный завод"</t>
  </si>
  <si>
    <t>5030019255</t>
  </si>
  <si>
    <t>30869570</t>
  </si>
  <si>
    <t>ООО "Альянс"</t>
  </si>
  <si>
    <t>5035028944</t>
  </si>
  <si>
    <t>13-04-2015 00:00:00</t>
  </si>
  <si>
    <t>26360938</t>
  </si>
  <si>
    <t>ООО "Апраксин Центр"</t>
  </si>
  <si>
    <t>7705481426</t>
  </si>
  <si>
    <t>26513733</t>
  </si>
  <si>
    <t>ООО "Атлант"</t>
  </si>
  <si>
    <t>5011027927</t>
  </si>
  <si>
    <t>31284237</t>
  </si>
  <si>
    <t>ООО "БКС"</t>
  </si>
  <si>
    <t>5031114871</t>
  </si>
  <si>
    <t>26357811</t>
  </si>
  <si>
    <t>503110001</t>
  </si>
  <si>
    <t>27-04-2015 00:00:00</t>
  </si>
  <si>
    <t>31434425</t>
  </si>
  <si>
    <t>ООО "БТС"</t>
  </si>
  <si>
    <t>5031133360</t>
  </si>
  <si>
    <t>04-03-2019 00:00:00</t>
  </si>
  <si>
    <t>26357552</t>
  </si>
  <si>
    <t>ООО "БХПФ"</t>
  </si>
  <si>
    <t>5001059045</t>
  </si>
  <si>
    <t>21-11-2006 00:00:00</t>
  </si>
  <si>
    <t>31435239</t>
  </si>
  <si>
    <t>ООО "БШФ"</t>
  </si>
  <si>
    <t>5072007036</t>
  </si>
  <si>
    <t>01-06-2020 00:00:00</t>
  </si>
  <si>
    <t>26357849</t>
  </si>
  <si>
    <t>ООО "Баковский завод"</t>
  </si>
  <si>
    <t>5032228582</t>
  </si>
  <si>
    <t>26357549</t>
  </si>
  <si>
    <t>ООО "Балашихинское коммунальное хозяйство"</t>
  </si>
  <si>
    <t>5001042852</t>
  </si>
  <si>
    <t>31644632</t>
  </si>
  <si>
    <t>ООО "Бауцентр"</t>
  </si>
  <si>
    <t>7707837396</t>
  </si>
  <si>
    <t>770701001</t>
  </si>
  <si>
    <t>25-06-2014 00:00:00</t>
  </si>
  <si>
    <t>31249207</t>
  </si>
  <si>
    <t>ООО "Большое Домодедово"</t>
  </si>
  <si>
    <t>5009064512</t>
  </si>
  <si>
    <t>28149509</t>
  </si>
  <si>
    <t>ООО "ВТКХ"</t>
  </si>
  <si>
    <t>5072003225</t>
  </si>
  <si>
    <t>31334932</t>
  </si>
  <si>
    <t>ООО "ВТЭ"</t>
  </si>
  <si>
    <t>7736316207</t>
  </si>
  <si>
    <t>773601001</t>
  </si>
  <si>
    <t>26504761</t>
  </si>
  <si>
    <t>ООО "Веста-НТК"</t>
  </si>
  <si>
    <t>5012042396</t>
  </si>
  <si>
    <t>30836838</t>
  </si>
  <si>
    <t>ООО "ГРАД"</t>
  </si>
  <si>
    <t>5038088109</t>
  </si>
  <si>
    <t>17-01-2012 00:00:00</t>
  </si>
  <si>
    <t>26357580</t>
  </si>
  <si>
    <t>ООО "ГазпромПХГ"</t>
  </si>
  <si>
    <t>5003065767</t>
  </si>
  <si>
    <t>505002001</t>
  </si>
  <si>
    <t>26508866</t>
  </si>
  <si>
    <t>ООО "ГеоТЭК"</t>
  </si>
  <si>
    <t>7704540206</t>
  </si>
  <si>
    <t>31469739</t>
  </si>
  <si>
    <t>ООО "Геруда"</t>
  </si>
  <si>
    <t>7715383058</t>
  </si>
  <si>
    <t>07-06-2003 00:00:00</t>
  </si>
  <si>
    <t>31026396</t>
  </si>
  <si>
    <t>ООО "Гефест-Инжиниринг"</t>
  </si>
  <si>
    <t>5047156838</t>
  </si>
  <si>
    <t>10-07-2014 00:00:00</t>
  </si>
  <si>
    <t>26627387</t>
  </si>
  <si>
    <t>ООО "ГрадИнвест"</t>
  </si>
  <si>
    <t>7729609724</t>
  </si>
  <si>
    <t>28982603</t>
  </si>
  <si>
    <t>ООО "Гранель Инжиниринг"</t>
  </si>
  <si>
    <t>5001091909</t>
  </si>
  <si>
    <t>24-12-2012 00:00:00</t>
  </si>
  <si>
    <t>26508708</t>
  </si>
  <si>
    <t>ООО "Гринэкс"</t>
  </si>
  <si>
    <t>5022033680</t>
  </si>
  <si>
    <t>15-07-2003 00:00:00</t>
  </si>
  <si>
    <t>31742350</t>
  </si>
  <si>
    <t>ООО "Д-Тепло"</t>
  </si>
  <si>
    <t>9703167507</t>
  </si>
  <si>
    <t>770301001</t>
  </si>
  <si>
    <t>26504864</t>
  </si>
  <si>
    <t>ООО "ДОЗАКЛ"</t>
  </si>
  <si>
    <t>5007057012</t>
  </si>
  <si>
    <t>31008158</t>
  </si>
  <si>
    <t>ООО "ДОМОДЕДОВО ЭРФИЛД"</t>
  </si>
  <si>
    <t>5009097148</t>
  </si>
  <si>
    <t>05-02-2015 00:00:00</t>
  </si>
  <si>
    <t>31615776</t>
  </si>
  <si>
    <t>ООО "ДОС"</t>
  </si>
  <si>
    <t>5042158415</t>
  </si>
  <si>
    <t>31231979</t>
  </si>
  <si>
    <t>ООО "Диском Сервис"</t>
  </si>
  <si>
    <t>5036124344</t>
  </si>
  <si>
    <t>31024872</t>
  </si>
  <si>
    <t>ООО "Дмитровский трикотаж"</t>
  </si>
  <si>
    <t>5007102314</t>
  </si>
  <si>
    <t>14-09-2017 00:00:00</t>
  </si>
  <si>
    <t>26357629</t>
  </si>
  <si>
    <t>ООО "Дом и К"</t>
  </si>
  <si>
    <t>5009040215</t>
  </si>
  <si>
    <t>17-12-2002 00:00:00</t>
  </si>
  <si>
    <t>31603536</t>
  </si>
  <si>
    <t>ООО "Дом отдыха "Высокое"</t>
  </si>
  <si>
    <t>5020046490</t>
  </si>
  <si>
    <t>10-08-1999 00:00:00</t>
  </si>
  <si>
    <t>31350492</t>
  </si>
  <si>
    <t>ООО "ЕСЭ-Кубань"</t>
  </si>
  <si>
    <t>2373002188</t>
  </si>
  <si>
    <t>237301001</t>
  </si>
  <si>
    <t>06-09-2012 00:00:00</t>
  </si>
  <si>
    <t>28459773</t>
  </si>
  <si>
    <t>ООО "ЕвроТЭК-Пушкино"</t>
  </si>
  <si>
    <t>5038092909</t>
  </si>
  <si>
    <t>24-08-2012 00:00:00</t>
  </si>
  <si>
    <t>26357645</t>
  </si>
  <si>
    <t>ООО "Егорьевская птицефабрика"</t>
  </si>
  <si>
    <t>5011020449</t>
  </si>
  <si>
    <t>28266903</t>
  </si>
  <si>
    <t>ООО "ЖЕМЧУЖИНА-СЕРВИС"</t>
  </si>
  <si>
    <t>5032087229</t>
  </si>
  <si>
    <t>10-09-2013 00:00:00</t>
  </si>
  <si>
    <t>28546954</t>
  </si>
  <si>
    <t>ООО "ЖКО"</t>
  </si>
  <si>
    <t>7729775249</t>
  </si>
  <si>
    <t>504545001</t>
  </si>
  <si>
    <t>28049497</t>
  </si>
  <si>
    <t>ООО "ЖКХ Н. Ступино"</t>
  </si>
  <si>
    <t>5045052079</t>
  </si>
  <si>
    <t>28257193</t>
  </si>
  <si>
    <t>ООО "ЖКХ"</t>
  </si>
  <si>
    <t>5045053717</t>
  </si>
  <si>
    <t>31-05-2013 00:00:00</t>
  </si>
  <si>
    <t>26357785</t>
  </si>
  <si>
    <t>ООО "Жилкомсервис мкр. Восточный"</t>
  </si>
  <si>
    <t>5030049130</t>
  </si>
  <si>
    <t>30854925</t>
  </si>
  <si>
    <t>ООО "Жилремстрой"</t>
  </si>
  <si>
    <t>5044043360</t>
  </si>
  <si>
    <t>11-06-2004 00:00:00</t>
  </si>
  <si>
    <t>26639020</t>
  </si>
  <si>
    <t>ООО "Жилресурс"</t>
  </si>
  <si>
    <t>5019019276</t>
  </si>
  <si>
    <t>28136954</t>
  </si>
  <si>
    <t>ООО "Жилстрой"</t>
  </si>
  <si>
    <t>5011025655</t>
  </si>
  <si>
    <t>26776060</t>
  </si>
  <si>
    <t>ООО "Жильё-XXI"</t>
  </si>
  <si>
    <t>5022091530</t>
  </si>
  <si>
    <t>30946760</t>
  </si>
  <si>
    <t>ООО "ЗМД Подмосковье"</t>
  </si>
  <si>
    <t>5032231747</t>
  </si>
  <si>
    <t>26-02-2016 00:00:00</t>
  </si>
  <si>
    <t>31768293</t>
  </si>
  <si>
    <t>ООО "Загородный дом"</t>
  </si>
  <si>
    <t>5017098280</t>
  </si>
  <si>
    <t>31471900</t>
  </si>
  <si>
    <t>ООО "ИКС Орехово-Зуево"</t>
  </si>
  <si>
    <t>7608037021</t>
  </si>
  <si>
    <t>28-05-2019 00:00:00</t>
  </si>
  <si>
    <t>30877556</t>
  </si>
  <si>
    <t>ООО "ИНВЕСТСТРОЙКОМ-Т"</t>
  </si>
  <si>
    <t>5012040222</t>
  </si>
  <si>
    <t>20-03-2007 00:00:00</t>
  </si>
  <si>
    <t>26357667</t>
  </si>
  <si>
    <t>ООО "ИТ Энергосбыт"</t>
  </si>
  <si>
    <t>5038120345</t>
  </si>
  <si>
    <t>22-03-2016 00:00:00</t>
  </si>
  <si>
    <t>31740508</t>
  </si>
  <si>
    <t>ООО "Импульс"</t>
  </si>
  <si>
    <t>5043050446</t>
  </si>
  <si>
    <t>19-12-2013 00:00:00</t>
  </si>
  <si>
    <t>26361052</t>
  </si>
  <si>
    <t>ООО "Инжтрасс-строй"</t>
  </si>
  <si>
    <t>7723159532</t>
  </si>
  <si>
    <t>26984269</t>
  </si>
  <si>
    <t>ООО "ИнтерКапСтрой"</t>
  </si>
  <si>
    <t>7729561783</t>
  </si>
  <si>
    <t>772901001</t>
  </si>
  <si>
    <t>26357967</t>
  </si>
  <si>
    <t>ООО "Инфракомплекс-Сервис"</t>
  </si>
  <si>
    <t>5044047580</t>
  </si>
  <si>
    <t>26357890</t>
  </si>
  <si>
    <t>ООО "Искож"</t>
  </si>
  <si>
    <t>5036070240</t>
  </si>
  <si>
    <t>18-01-2006 00:00:00</t>
  </si>
  <si>
    <t>31365894</t>
  </si>
  <si>
    <t>ООО "К-ЖБИ"</t>
  </si>
  <si>
    <t>5042134439</t>
  </si>
  <si>
    <t>11-11-2014 00:00:00</t>
  </si>
  <si>
    <t>31078100</t>
  </si>
  <si>
    <t>ООО "КАРФАКС"</t>
  </si>
  <si>
    <t>9705061721</t>
  </si>
  <si>
    <t>02-03-2016 00:00:00</t>
  </si>
  <si>
    <t>31652187</t>
  </si>
  <si>
    <t>ООО "КВАРТАЛ-НЕДВИЖИМОСТЬ"</t>
  </si>
  <si>
    <t>5050120260</t>
  </si>
  <si>
    <t>20-08-2015 00:00:00</t>
  </si>
  <si>
    <t>26548140</t>
  </si>
  <si>
    <t>ООО "КСК "Регион"</t>
  </si>
  <si>
    <t>5042097272</t>
  </si>
  <si>
    <t>07-12-2007 00:00:00</t>
  </si>
  <si>
    <t>27367507</t>
  </si>
  <si>
    <t>ООО "КТС"</t>
  </si>
  <si>
    <t>5024115112</t>
  </si>
  <si>
    <t>26583859</t>
  </si>
  <si>
    <t>ООО "КТТ-Дубки"</t>
  </si>
  <si>
    <t>5032126728</t>
  </si>
  <si>
    <t>18-03-2005 00:00:00</t>
  </si>
  <si>
    <t>30812297</t>
  </si>
  <si>
    <t>ООО "КТТ-Островцы"</t>
  </si>
  <si>
    <t>5032200428</t>
  </si>
  <si>
    <t>19-03-2015 00:00:00</t>
  </si>
  <si>
    <t>26358021</t>
  </si>
  <si>
    <t>ООО "Калорис"</t>
  </si>
  <si>
    <t>5050052645</t>
  </si>
  <si>
    <t>14-06-2005 00:00:00</t>
  </si>
  <si>
    <t>28984640</t>
  </si>
  <si>
    <t>ООО "Катуар-Инвест"</t>
  </si>
  <si>
    <t>5007091341</t>
  </si>
  <si>
    <t>10-09-2014 00:00:00</t>
  </si>
  <si>
    <t>26357706</t>
  </si>
  <si>
    <t>ООО "Клинтеплоэнергосервис"</t>
  </si>
  <si>
    <t>5020039630</t>
  </si>
  <si>
    <t>31223233</t>
  </si>
  <si>
    <t>ООО "Компьюлинк Инфраструктра Ликино-Дулево"</t>
  </si>
  <si>
    <t>5034053754</t>
  </si>
  <si>
    <t>17-04-2017 00:00:00</t>
  </si>
  <si>
    <t>30802850</t>
  </si>
  <si>
    <t>ООО "Конвент-Плюс"</t>
  </si>
  <si>
    <t>7710245657</t>
  </si>
  <si>
    <t>773001001</t>
  </si>
  <si>
    <t>16-06-1997 00:00:00</t>
  </si>
  <si>
    <t>28049171</t>
  </si>
  <si>
    <t>ООО "Контакт-Ресурс"</t>
  </si>
  <si>
    <t>7705504151</t>
  </si>
  <si>
    <t>26631338</t>
  </si>
  <si>
    <t>ООО "Контур ресурс"</t>
  </si>
  <si>
    <t>5042106992</t>
  </si>
  <si>
    <t>08-06-2009 00:00:00</t>
  </si>
  <si>
    <t>30353734</t>
  </si>
  <si>
    <t>ООО "Котельная-Павшино"</t>
  </si>
  <si>
    <t>5032209999</t>
  </si>
  <si>
    <t>07-07-2015 00:00:00</t>
  </si>
  <si>
    <t>28425534</t>
  </si>
  <si>
    <t>ООО "ЛОГОПАРК МЕНЕДЖМЕНТ"</t>
  </si>
  <si>
    <t>5040071960</t>
  </si>
  <si>
    <t>15-06-2006 00:00:00</t>
  </si>
  <si>
    <t>28128472</t>
  </si>
  <si>
    <t>ООО "Ленинвест-Холдинг"</t>
  </si>
  <si>
    <t>5003061642</t>
  </si>
  <si>
    <t>26358056</t>
  </si>
  <si>
    <t>ООО "Лечебно-профилактическое учреждение "Санаторий Дорохово"</t>
  </si>
  <si>
    <t>5075023100</t>
  </si>
  <si>
    <t>26511070</t>
  </si>
  <si>
    <t>ООО "Ликинский автобус"</t>
  </si>
  <si>
    <t>5073006518</t>
  </si>
  <si>
    <t>503450001</t>
  </si>
  <si>
    <t>26511050</t>
  </si>
  <si>
    <t>ООО "Лирсот"</t>
  </si>
  <si>
    <t>7712026280</t>
  </si>
  <si>
    <t>26627359</t>
  </si>
  <si>
    <t>ООО "Логопарк Чехов"</t>
  </si>
  <si>
    <t>5048014875</t>
  </si>
  <si>
    <t>26358035</t>
  </si>
  <si>
    <t>ООО "Лотошинский автодор"</t>
  </si>
  <si>
    <t>5071006495</t>
  </si>
  <si>
    <t>28828992</t>
  </si>
  <si>
    <t>ООО "Луневобытсервис"</t>
  </si>
  <si>
    <t>5044092880</t>
  </si>
  <si>
    <t>17-10-2014 00:00:00</t>
  </si>
  <si>
    <t>26504932</t>
  </si>
  <si>
    <t>ООО "Любэнергоснаб"</t>
  </si>
  <si>
    <t>5027098306</t>
  </si>
  <si>
    <t>25-12-2003 00:00:00</t>
  </si>
  <si>
    <t>26515847</t>
  </si>
  <si>
    <t>ООО "МЕЧЕЛ-ЭНЕРГО"</t>
  </si>
  <si>
    <t>7722245108</t>
  </si>
  <si>
    <t>771401001</t>
  </si>
  <si>
    <t>26773203</t>
  </si>
  <si>
    <t>ООО "МЖК "Люберцы-2"</t>
  </si>
  <si>
    <t>5027126306</t>
  </si>
  <si>
    <t>31560509</t>
  </si>
  <si>
    <t>ООО "МОЯ Жилищная Компания"</t>
  </si>
  <si>
    <t>5027021790</t>
  </si>
  <si>
    <t>16-02-2016 00:00:00</t>
  </si>
  <si>
    <t>31726081</t>
  </si>
  <si>
    <t>ООО "МЭК"</t>
  </si>
  <si>
    <t>7727307527</t>
  </si>
  <si>
    <t>21-12-2016 00:00:00</t>
  </si>
  <si>
    <t>26508851</t>
  </si>
  <si>
    <t>ООО "Маркет Трейд Центр"</t>
  </si>
  <si>
    <t>5024043965</t>
  </si>
  <si>
    <t>24-10-2000 00:00:00</t>
  </si>
  <si>
    <t>31290833</t>
  </si>
  <si>
    <t>ООО "Мечел-Энерго"</t>
  </si>
  <si>
    <t>746001001</t>
  </si>
  <si>
    <t>10-07-2002 00:00:00</t>
  </si>
  <si>
    <t>26567656</t>
  </si>
  <si>
    <t>ООО "Монолитстройсервис"</t>
  </si>
  <si>
    <t>7719284153</t>
  </si>
  <si>
    <t>770801001</t>
  </si>
  <si>
    <t>20-10-2003 00:00:00</t>
  </si>
  <si>
    <t>28463181</t>
  </si>
  <si>
    <t>ООО "Мортон-РСО"</t>
  </si>
  <si>
    <t>7714192290</t>
  </si>
  <si>
    <t>774501001</t>
  </si>
  <si>
    <t>12-03-2003 00:00:00</t>
  </si>
  <si>
    <t>26357848</t>
  </si>
  <si>
    <t>ООО "Московский насосный завод"</t>
  </si>
  <si>
    <t>5032084860</t>
  </si>
  <si>
    <t>30848622</t>
  </si>
  <si>
    <t>ООО "Мультисервис"</t>
  </si>
  <si>
    <t>7729641213</t>
  </si>
  <si>
    <t>09-10-2009 00:00:00</t>
  </si>
  <si>
    <t>28957655</t>
  </si>
  <si>
    <t>ООО "НАРПРОМЭНЕРГО"</t>
  </si>
  <si>
    <t>5030081006</t>
  </si>
  <si>
    <t>11-09-2013 00:00:00</t>
  </si>
  <si>
    <t>28869428</t>
  </si>
  <si>
    <t>ООО "НИГО-М"</t>
  </si>
  <si>
    <t>5024045200</t>
  </si>
  <si>
    <t>16-01-2001 00:00:00</t>
  </si>
  <si>
    <t>26511134</t>
  </si>
  <si>
    <t>ООО "НКН"</t>
  </si>
  <si>
    <t>5036137343</t>
  </si>
  <si>
    <t>26357789</t>
  </si>
  <si>
    <t>ООО "НОЗМП"</t>
  </si>
  <si>
    <t>5031086543</t>
  </si>
  <si>
    <t>31297753</t>
  </si>
  <si>
    <t>ООО "Новое Тишково"</t>
  </si>
  <si>
    <t>5038998281</t>
  </si>
  <si>
    <t>25-06-2012 00:00:00</t>
  </si>
  <si>
    <t>31604584</t>
  </si>
  <si>
    <t>ООО "ОПЫТ"</t>
  </si>
  <si>
    <t>5042114552</t>
  </si>
  <si>
    <t>27-08-2010 00:00:00</t>
  </si>
  <si>
    <t>26357986</t>
  </si>
  <si>
    <t>ООО "ОУСЦ "Планерная"</t>
  </si>
  <si>
    <t>5047035706</t>
  </si>
  <si>
    <t>07-12-1999 00:00:00</t>
  </si>
  <si>
    <t>26509751</t>
  </si>
  <si>
    <t>ООО "ОЭЗМК"ЭКСК"</t>
  </si>
  <si>
    <t>5053042740</t>
  </si>
  <si>
    <t>31463810</t>
  </si>
  <si>
    <t>ООО "Осташевское ЖКХ"</t>
  </si>
  <si>
    <t>5004029994</t>
  </si>
  <si>
    <t>31520461</t>
  </si>
  <si>
    <t>ООО "ПК"</t>
  </si>
  <si>
    <t>5031095153</t>
  </si>
  <si>
    <t>24-02-2011 00:00:00</t>
  </si>
  <si>
    <t>30854309</t>
  </si>
  <si>
    <t>ООО "ПК"СКБМ"</t>
  </si>
  <si>
    <t>5043055589</t>
  </si>
  <si>
    <t>11-08-2015 00:00:00</t>
  </si>
  <si>
    <t>27746856</t>
  </si>
  <si>
    <t>ООО "ПКФ Стройбетон"</t>
  </si>
  <si>
    <t>5018059580</t>
  </si>
  <si>
    <t>31597182</t>
  </si>
  <si>
    <t>ООО "ПЛЮС ДЕВЕЛОПМЕНТ РЕГИОН"</t>
  </si>
  <si>
    <t>7727837620</t>
  </si>
  <si>
    <t>26-06-2014 00:00:00</t>
  </si>
  <si>
    <t>29648127</t>
  </si>
  <si>
    <t>ООО "ПОЛИГОН-СЕРВИС+"</t>
  </si>
  <si>
    <t>5049020938</t>
  </si>
  <si>
    <t>22-10-2012 00:00:00</t>
  </si>
  <si>
    <t>26357871</t>
  </si>
  <si>
    <t>ООО "Павлово-Посадский шелк"</t>
  </si>
  <si>
    <t>5035022477</t>
  </si>
  <si>
    <t>30917791</t>
  </si>
  <si>
    <t>ООО "Павловские тепловые сети"</t>
  </si>
  <si>
    <t>7731286277</t>
  </si>
  <si>
    <t>29-06-2015 00:00:00</t>
  </si>
  <si>
    <t>26357588</t>
  </si>
  <si>
    <t>ООО "Пансионат "Ласточка"</t>
  </si>
  <si>
    <t>5004017540</t>
  </si>
  <si>
    <t>30876749</t>
  </si>
  <si>
    <t>ООО "Пансионат "Лесной городок"</t>
  </si>
  <si>
    <t>5032093504</t>
  </si>
  <si>
    <t>22-08-2003 00:00:00</t>
  </si>
  <si>
    <t>28423260</t>
  </si>
  <si>
    <t>ООО "Пансионат"</t>
  </si>
  <si>
    <t>5001087042</t>
  </si>
  <si>
    <t>05-03-2012 00:00:00</t>
  </si>
  <si>
    <t>28872292</t>
  </si>
  <si>
    <t>ООО "Подольский мукомольный завод"</t>
  </si>
  <si>
    <t>5036134335</t>
  </si>
  <si>
    <t>26357886</t>
  </si>
  <si>
    <t>ООО "Подольский энергетический завод имени Калинина"</t>
  </si>
  <si>
    <t>5036050290</t>
  </si>
  <si>
    <t>28869408</t>
  </si>
  <si>
    <t>ООО "Проектстройальянс"</t>
  </si>
  <si>
    <t>7723512839</t>
  </si>
  <si>
    <t>14-01-2015 00:00:00</t>
  </si>
  <si>
    <t>28221849</t>
  </si>
  <si>
    <t>ООО "ПромСтройБетон"</t>
  </si>
  <si>
    <t>7715340230</t>
  </si>
  <si>
    <t>500245001</t>
  </si>
  <si>
    <t>27-01-2003 00:00:00</t>
  </si>
  <si>
    <t>26357713</t>
  </si>
  <si>
    <t>ООО "Промэнергопродукт"</t>
  </si>
  <si>
    <t>5022028922</t>
  </si>
  <si>
    <t>28465925</t>
  </si>
  <si>
    <t>ООО "РИГЭК"</t>
  </si>
  <si>
    <t>5048028765</t>
  </si>
  <si>
    <t>13-04-2012 00:00:00</t>
  </si>
  <si>
    <t>26504944</t>
  </si>
  <si>
    <t>ООО "РОСАЛКО-ИНТЕЛЛЕКТ"</t>
  </si>
  <si>
    <t>5009070724</t>
  </si>
  <si>
    <t>31638683</t>
  </si>
  <si>
    <t>ООО "РОСИНКА МЕНЕДЖМЕНТ"</t>
  </si>
  <si>
    <t>5024148750</t>
  </si>
  <si>
    <t>02-10-2014 00:00:00</t>
  </si>
  <si>
    <t>26550887</t>
  </si>
  <si>
    <t>ООО "РСК"</t>
  </si>
  <si>
    <t>5012055109</t>
  </si>
  <si>
    <t>31771107</t>
  </si>
  <si>
    <t>ООО "РСО Электрогорск"</t>
  </si>
  <si>
    <t>5034068091</t>
  </si>
  <si>
    <t>31402417</t>
  </si>
  <si>
    <t>ООО "РУШ"</t>
  </si>
  <si>
    <t>5032269645</t>
  </si>
  <si>
    <t>20-08-2013 00:00:00</t>
  </si>
  <si>
    <t>31740489</t>
  </si>
  <si>
    <t>ООО "РЭК "НИКА"</t>
  </si>
  <si>
    <t>7707461129</t>
  </si>
  <si>
    <t>17-01-2022 00:00:00</t>
  </si>
  <si>
    <t>26639023</t>
  </si>
  <si>
    <t>ООО "РЭО"</t>
  </si>
  <si>
    <t>5036069580</t>
  </si>
  <si>
    <t>26357734</t>
  </si>
  <si>
    <t>ООО "РЭП Красногорье"</t>
  </si>
  <si>
    <t>5024073776</t>
  </si>
  <si>
    <t>27758296</t>
  </si>
  <si>
    <t>ООО "РЭС"</t>
  </si>
  <si>
    <t>5032159515</t>
  </si>
  <si>
    <t>17-11-2006 00:00:00</t>
  </si>
  <si>
    <t>28874544</t>
  </si>
  <si>
    <t>ООО "Радуга-ХИТ"</t>
  </si>
  <si>
    <t>5036030047</t>
  </si>
  <si>
    <t>29-12-1995 00:00:00</t>
  </si>
  <si>
    <t>26511413</t>
  </si>
  <si>
    <t>ООО "Раменская эксплуатационная энергетическая компания"</t>
  </si>
  <si>
    <t>5040055140</t>
  </si>
  <si>
    <t>31464621</t>
  </si>
  <si>
    <t>ООО "Рублевское предместье-3"</t>
  </si>
  <si>
    <t>5024093596</t>
  </si>
  <si>
    <t>31-01-2008 00:00:00</t>
  </si>
  <si>
    <t>26358060</t>
  </si>
  <si>
    <t>ООО "Рузская эксплуатационная компания"</t>
  </si>
  <si>
    <t>5075035352</t>
  </si>
  <si>
    <t>30359191</t>
  </si>
  <si>
    <t>ООО "РусБизнесГрупп"</t>
  </si>
  <si>
    <t>7706589983</t>
  </si>
  <si>
    <t>23-08-2005 00:00:00</t>
  </si>
  <si>
    <t>31536122</t>
  </si>
  <si>
    <t>ООО "Русский хлеб"</t>
  </si>
  <si>
    <t>5036169754</t>
  </si>
  <si>
    <t>26-01-2018 00:00:00</t>
  </si>
  <si>
    <t>26357915</t>
  </si>
  <si>
    <t>ООО "СГ"Инфинити"</t>
  </si>
  <si>
    <t>7743603058</t>
  </si>
  <si>
    <t>11-07-2006 00:00:00</t>
  </si>
  <si>
    <t>31616017</t>
  </si>
  <si>
    <t>ООО "СИБЖИЛСТРОЙ"</t>
  </si>
  <si>
    <t>5044078807</t>
  </si>
  <si>
    <t>08-04-2021 00:00:00</t>
  </si>
  <si>
    <t>31463014</t>
  </si>
  <si>
    <t>ООО "СКС"</t>
  </si>
  <si>
    <t>5007048515</t>
  </si>
  <si>
    <t>28983529</t>
  </si>
  <si>
    <t>ООО "СМ-Теплоресурс"</t>
  </si>
  <si>
    <t>5050106964</t>
  </si>
  <si>
    <t>04-10-2013 00:00:00</t>
  </si>
  <si>
    <t>30358956</t>
  </si>
  <si>
    <t>ООО "СОЛСТЕК"</t>
  </si>
  <si>
    <t>5044093227</t>
  </si>
  <si>
    <t>03-02-2015 00:00:00</t>
  </si>
  <si>
    <t>30390865</t>
  </si>
  <si>
    <t>ООО "СП-СанТехМонтаж"</t>
  </si>
  <si>
    <t>5050047525</t>
  </si>
  <si>
    <t>16-04-2004 00:00:00</t>
  </si>
  <si>
    <t>31655803</t>
  </si>
  <si>
    <t>ООО "СТС"</t>
  </si>
  <si>
    <t>5018133868</t>
  </si>
  <si>
    <t>31341252</t>
  </si>
  <si>
    <t>ООО "СЭТ"</t>
  </si>
  <si>
    <t>5010046451</t>
  </si>
  <si>
    <t>23-05-2013 00:00:00</t>
  </si>
  <si>
    <t>26357768</t>
  </si>
  <si>
    <t>ООО "Санаторий "Подлипки"</t>
  </si>
  <si>
    <t>5029998609</t>
  </si>
  <si>
    <t>31031661</t>
  </si>
  <si>
    <t>ООО "Сапфир"</t>
  </si>
  <si>
    <t>7751001762</t>
  </si>
  <si>
    <t>31397037</t>
  </si>
  <si>
    <t>ООО "Серпуховская бумага"</t>
  </si>
  <si>
    <t>5043064752</t>
  </si>
  <si>
    <t>15-08-2018 00:00:00</t>
  </si>
  <si>
    <t>27554086</t>
  </si>
  <si>
    <t>ООО "Синди-М"</t>
  </si>
  <si>
    <t>5027073076</t>
  </si>
  <si>
    <t>29-07-1999 00:00:00</t>
  </si>
  <si>
    <t>28816128</t>
  </si>
  <si>
    <t>ООО "СкайградТеплоСервис"</t>
  </si>
  <si>
    <t>501813386</t>
  </si>
  <si>
    <t>26357688</t>
  </si>
  <si>
    <t>ООО "Славяне"</t>
  </si>
  <si>
    <t>5018008313</t>
  </si>
  <si>
    <t>26548099</t>
  </si>
  <si>
    <t>ООО "Современные технологии"</t>
  </si>
  <si>
    <t>7708229993</t>
  </si>
  <si>
    <t>31215594</t>
  </si>
  <si>
    <t>ООО "Союз-Химки"</t>
  </si>
  <si>
    <t>5047160224</t>
  </si>
  <si>
    <t>31686443</t>
  </si>
  <si>
    <t>ООО "Спецэнергомаш"</t>
  </si>
  <si>
    <t>7328070851</t>
  </si>
  <si>
    <t>772401001</t>
  </si>
  <si>
    <t>12-12-2012 00:00:00</t>
  </si>
  <si>
    <t>31780902</t>
  </si>
  <si>
    <t>ООО "Стеллар Гласс"</t>
  </si>
  <si>
    <t>5024201837</t>
  </si>
  <si>
    <t>31633109</t>
  </si>
  <si>
    <t>ООО "СтройЛидер"</t>
  </si>
  <si>
    <t>5040124900</t>
  </si>
  <si>
    <t>771801001</t>
  </si>
  <si>
    <t>05-08-2013 00:00:00</t>
  </si>
  <si>
    <t>28267885</t>
  </si>
  <si>
    <t>ООО "Стройрегистр"</t>
  </si>
  <si>
    <t>5054010340</t>
  </si>
  <si>
    <t>31448322</t>
  </si>
  <si>
    <t>ООО "ТВС"</t>
  </si>
  <si>
    <t>7728493770</t>
  </si>
  <si>
    <t>31649335</t>
  </si>
  <si>
    <t>ООО "ТЕПЛО-ИНЖИНИРИНГ"</t>
  </si>
  <si>
    <t>5029268948</t>
  </si>
  <si>
    <t>31256953</t>
  </si>
  <si>
    <t>ООО "ТЕПЛОКОМФОРТ"</t>
  </si>
  <si>
    <t>5027216447</t>
  </si>
  <si>
    <t>15-09-2014 00:00:00</t>
  </si>
  <si>
    <t>31362974</t>
  </si>
  <si>
    <t>ООО "ТЕПЛОРЕСУРС"</t>
  </si>
  <si>
    <t>7733822974</t>
  </si>
  <si>
    <t>21-11-2012 00:00:00</t>
  </si>
  <si>
    <t>31257781</t>
  </si>
  <si>
    <t>ООО "ТЕПЛОСЕРВИС"</t>
  </si>
  <si>
    <t>5018182801</t>
  </si>
  <si>
    <t>11-01-2016 00:00:00</t>
  </si>
  <si>
    <t>26357928</t>
  </si>
  <si>
    <t>5041024698</t>
  </si>
  <si>
    <t>27-10-2004 00:00:00</t>
  </si>
  <si>
    <t>28455200</t>
  </si>
  <si>
    <t>ООО "ТЕПЛОЭНЕРГОРЕСУРС СП"</t>
  </si>
  <si>
    <t>5042114150</t>
  </si>
  <si>
    <t>26357763</t>
  </si>
  <si>
    <t>ООО "ТОМЭГ"</t>
  </si>
  <si>
    <t>5027116330</t>
  </si>
  <si>
    <t>07-04-2006 00:00:00</t>
  </si>
  <si>
    <t>30898119</t>
  </si>
  <si>
    <t>ООО "ТСК Мосэнерго"</t>
  </si>
  <si>
    <t>7729698690</t>
  </si>
  <si>
    <t>15-12-2011 00:00:00</t>
  </si>
  <si>
    <t>30953338</t>
  </si>
  <si>
    <t>ООО "ТСК Мосэнерго" (обособленное подразделение № 7)</t>
  </si>
  <si>
    <t>772145001</t>
  </si>
  <si>
    <t>08-12-2011 00:00:00</t>
  </si>
  <si>
    <t>31080902</t>
  </si>
  <si>
    <t>ООО "ТСК"</t>
  </si>
  <si>
    <t>5007097223</t>
  </si>
  <si>
    <t>10-03-2016 00:00:00</t>
  </si>
  <si>
    <t>31465994</t>
  </si>
  <si>
    <t>5044114646</t>
  </si>
  <si>
    <t>31780908</t>
  </si>
  <si>
    <t>ООО "ТСО "РИВЕРХАУС"</t>
  </si>
  <si>
    <t>5050156620</t>
  </si>
  <si>
    <t>31746229</t>
  </si>
  <si>
    <t>ООО "ТЭК-10"</t>
  </si>
  <si>
    <t>5029268730</t>
  </si>
  <si>
    <t>29-03-2022 00:00:00</t>
  </si>
  <si>
    <t>28982580</t>
  </si>
  <si>
    <t>ООО "ТЭСИС"</t>
  </si>
  <si>
    <t>5024092137</t>
  </si>
  <si>
    <t>01-04-2014 00:00:00</t>
  </si>
  <si>
    <t>31038470</t>
  </si>
  <si>
    <t>ООО "Тепло Гарант"</t>
  </si>
  <si>
    <t>5050131985</t>
  </si>
  <si>
    <t>04-05-2017 00:00:00</t>
  </si>
  <si>
    <t>31507076</t>
  </si>
  <si>
    <t>ООО "Тепло-Сервис"</t>
  </si>
  <si>
    <t>7721781963</t>
  </si>
  <si>
    <t>28284500</t>
  </si>
  <si>
    <t>ООО "ТеплоВиК"</t>
  </si>
  <si>
    <t>5032230567</t>
  </si>
  <si>
    <t>10-11-2010 00:00:00</t>
  </si>
  <si>
    <t>28858999</t>
  </si>
  <si>
    <t>ООО "ТеплоГрад"</t>
  </si>
  <si>
    <t>5003102553</t>
  </si>
  <si>
    <t>28442529</t>
  </si>
  <si>
    <t>ООО "ТеплоИнвест"</t>
  </si>
  <si>
    <t>5049021191</t>
  </si>
  <si>
    <t>26-04-2013 00:00:00</t>
  </si>
  <si>
    <t>31243823</t>
  </si>
  <si>
    <t>ООО "ТеплоРемСервис"</t>
  </si>
  <si>
    <t>5031123918</t>
  </si>
  <si>
    <t>26-01-2017 00:00:00</t>
  </si>
  <si>
    <t>28977025</t>
  </si>
  <si>
    <t>ООО "ТеплоЭнерго"</t>
  </si>
  <si>
    <t>7709959600</t>
  </si>
  <si>
    <t>770901001</t>
  </si>
  <si>
    <t>31250343</t>
  </si>
  <si>
    <t>ООО "ТеплоЭнергоРесурс"</t>
  </si>
  <si>
    <t>5047176496</t>
  </si>
  <si>
    <t>02-11-2015 00:00:00</t>
  </si>
  <si>
    <t>28943024</t>
  </si>
  <si>
    <t>ООО "ТеплоЭнергоСервис"</t>
  </si>
  <si>
    <t>7715821801</t>
  </si>
  <si>
    <t>771501001</t>
  </si>
  <si>
    <t>30-07-2010 00:00:00</t>
  </si>
  <si>
    <t>28978783</t>
  </si>
  <si>
    <t>ООО "Тепловодоканал Сергиево-Посадского района"</t>
  </si>
  <si>
    <t>5042135993</t>
  </si>
  <si>
    <t>27-03-2015 00:00:00</t>
  </si>
  <si>
    <t>26357547</t>
  </si>
  <si>
    <t>ООО "Тепловые сети Балашихи"</t>
  </si>
  <si>
    <t>5001036552</t>
  </si>
  <si>
    <t>26583837</t>
  </si>
  <si>
    <t>ООО "Теплоинжсервис"</t>
  </si>
  <si>
    <t>5032187311</t>
  </si>
  <si>
    <t>16-04-2008 00:00:00</t>
  </si>
  <si>
    <t>26568935</t>
  </si>
  <si>
    <t>ООО "Теплосервис"</t>
  </si>
  <si>
    <t>5004018174</t>
  </si>
  <si>
    <t>31229273</t>
  </si>
  <si>
    <t>5034055127</t>
  </si>
  <si>
    <t>15-01-2018 00:00:00</t>
  </si>
  <si>
    <t>28492395</t>
  </si>
  <si>
    <t>ООО "Теплосервис-М"</t>
  </si>
  <si>
    <t>5001086627</t>
  </si>
  <si>
    <t>30809196</t>
  </si>
  <si>
    <t>ООО "Теплоцентраль"</t>
  </si>
  <si>
    <t>7723437701</t>
  </si>
  <si>
    <t>23-03-2016 00:00:00</t>
  </si>
  <si>
    <t>26625937</t>
  </si>
  <si>
    <t>ООО "Теплоэнергосервис"</t>
  </si>
  <si>
    <t>5027099317</t>
  </si>
  <si>
    <t>772101001</t>
  </si>
  <si>
    <t>30802627</t>
  </si>
  <si>
    <t>ООО "ТермоТрон"</t>
  </si>
  <si>
    <t>5024159342</t>
  </si>
  <si>
    <t>31021810</t>
  </si>
  <si>
    <t>ООО "Термологистика"</t>
  </si>
  <si>
    <t>9701062918</t>
  </si>
  <si>
    <t>02-02-2017 00:00:00</t>
  </si>
  <si>
    <t>30873114</t>
  </si>
  <si>
    <t>ООО "Торговый дом ММК"</t>
  </si>
  <si>
    <t>7445042181</t>
  </si>
  <si>
    <t>745501001</t>
  </si>
  <si>
    <t>06-11-2008 00:00:00</t>
  </si>
  <si>
    <t>26774967</t>
  </si>
  <si>
    <t>ООО "УК "Комфорт"</t>
  </si>
  <si>
    <t>5072725478</t>
  </si>
  <si>
    <t>28799301</t>
  </si>
  <si>
    <t>ООО "УК "Кунцево"</t>
  </si>
  <si>
    <t>5032281716</t>
  </si>
  <si>
    <t>16-06-2014 00:00:00</t>
  </si>
  <si>
    <t>28463196</t>
  </si>
  <si>
    <t>ООО "УК "ПАРК-СИТИ"</t>
  </si>
  <si>
    <t>5013056867</t>
  </si>
  <si>
    <t>22-01-2008 00:00:00</t>
  </si>
  <si>
    <t>27367487</t>
  </si>
  <si>
    <t>ООО "УК "Экосервис"</t>
  </si>
  <si>
    <t>5012047813</t>
  </si>
  <si>
    <t>30363306</t>
  </si>
  <si>
    <t>ООО "УК Бисерово Сервис"</t>
  </si>
  <si>
    <t>5031103140</t>
  </si>
  <si>
    <t>01-10-2012 00:00:00</t>
  </si>
  <si>
    <t>31247070</t>
  </si>
  <si>
    <t>ООО "УК Рублевский"</t>
  </si>
  <si>
    <t>5029117258</t>
  </si>
  <si>
    <t>31614658</t>
  </si>
  <si>
    <t>ООО "УК"ЛАКОКРАСКА"</t>
  </si>
  <si>
    <t>9718124369</t>
  </si>
  <si>
    <t>06-08-2021 00:00:00</t>
  </si>
  <si>
    <t>31339276</t>
  </si>
  <si>
    <t>ООО "УК-Энергоцентр"</t>
  </si>
  <si>
    <t>5015283657</t>
  </si>
  <si>
    <t>30854919</t>
  </si>
  <si>
    <t>ООО "УКС"</t>
  </si>
  <si>
    <t>5042094384</t>
  </si>
  <si>
    <t>11-07-2007 00:00:00</t>
  </si>
  <si>
    <t>28047171</t>
  </si>
  <si>
    <t>ООО "Управляющая компания Щуровский комбинат"</t>
  </si>
  <si>
    <t>5022558550</t>
  </si>
  <si>
    <t>26-04-2010 00:00:00</t>
  </si>
  <si>
    <t>31540070</t>
  </si>
  <si>
    <t>ООО "ФОКСА"</t>
  </si>
  <si>
    <t>5024056266</t>
  </si>
  <si>
    <t>14-01-2003 00:00:00</t>
  </si>
  <si>
    <t>26552746</t>
  </si>
  <si>
    <t>ООО "Фаворит-Сервис"</t>
  </si>
  <si>
    <t>5031083091</t>
  </si>
  <si>
    <t>30875646</t>
  </si>
  <si>
    <t>ООО "ХАНТ-ХОЛДИНГ"</t>
  </si>
  <si>
    <t>5006004770</t>
  </si>
  <si>
    <t>11-02-1998 00:00:00</t>
  </si>
  <si>
    <t>31652215</t>
  </si>
  <si>
    <t>ООО "ХОРВИЦ РЕСУРС"</t>
  </si>
  <si>
    <t>9701193935</t>
  </si>
  <si>
    <t>19-01-2022 00:00:00</t>
  </si>
  <si>
    <t>31391284</t>
  </si>
  <si>
    <t>ООО "Хухтамаки С.Н.Г."</t>
  </si>
  <si>
    <t>7724000760</t>
  </si>
  <si>
    <t>28-06-2002 00:00:00</t>
  </si>
  <si>
    <t>26639008</t>
  </si>
  <si>
    <t>ООО "ЦЕНТРОМЕБЕЛЬ" ДОЦ "Пушкино"</t>
  </si>
  <si>
    <t>9705004530</t>
  </si>
  <si>
    <t>503845001</t>
  </si>
  <si>
    <t>28791649</t>
  </si>
  <si>
    <t>ООО "ЦИТ Транс М"</t>
  </si>
  <si>
    <t>7709298076</t>
  </si>
  <si>
    <t>11-01-2000 00:00:00</t>
  </si>
  <si>
    <t>31413316</t>
  </si>
  <si>
    <t>ООО "ЦМПТ"</t>
  </si>
  <si>
    <t>7724855081</t>
  </si>
  <si>
    <t>26-11-2012 00:00:00</t>
  </si>
  <si>
    <t>28461440</t>
  </si>
  <si>
    <t>ООО "ЦСС"</t>
  </si>
  <si>
    <t>7718514100</t>
  </si>
  <si>
    <t>24-05-2004 00:00:00</t>
  </si>
  <si>
    <t>31600354</t>
  </si>
  <si>
    <t>ООО "ЦЭП"</t>
  </si>
  <si>
    <t>5042143521</t>
  </si>
  <si>
    <t>01-07-2022 00:00:00</t>
  </si>
  <si>
    <t>31587115</t>
  </si>
  <si>
    <t>ООО "Центр отдыха Зеленый городок"</t>
  </si>
  <si>
    <t>7718669440</t>
  </si>
  <si>
    <t>01-05-2022 00:00:00</t>
  </si>
  <si>
    <t>31413323</t>
  </si>
  <si>
    <t>ООО "ЧИСТАЯ ЭНЕРГИЯ"</t>
  </si>
  <si>
    <t>9705109331</t>
  </si>
  <si>
    <t>06-10-2017 00:00:00</t>
  </si>
  <si>
    <t>30873864</t>
  </si>
  <si>
    <t>ООО "Шаляпинская усадьба"</t>
  </si>
  <si>
    <t>5047136341</t>
  </si>
  <si>
    <t>04-10-2012 00:00:00</t>
  </si>
  <si>
    <t>27580934</t>
  </si>
  <si>
    <t>ООО "ЭК "Довиль"</t>
  </si>
  <si>
    <t>5032190353</t>
  </si>
  <si>
    <t>17-06-2008 00:00:00</t>
  </si>
  <si>
    <t>31247083</t>
  </si>
  <si>
    <t>ООО "ЭК "Мишино"</t>
  </si>
  <si>
    <t>7709922520</t>
  </si>
  <si>
    <t>18-02-2013 00:00:00</t>
  </si>
  <si>
    <t>26357759</t>
  </si>
  <si>
    <t>ООО "ЭНЕРГОСЕРВИС"</t>
  </si>
  <si>
    <t>5027098352</t>
  </si>
  <si>
    <t>19-12-2003 00:00:00</t>
  </si>
  <si>
    <t>31543004</t>
  </si>
  <si>
    <t>ООО "ЭНЕРГОСТАНДАРТ"</t>
  </si>
  <si>
    <t>5047225143</t>
  </si>
  <si>
    <t>30363189</t>
  </si>
  <si>
    <t>7718303540</t>
  </si>
  <si>
    <t>16-10-2014 00:00:00</t>
  </si>
  <si>
    <t>30363057</t>
  </si>
  <si>
    <t>ООО "ЭНЕРГОСТРОЙРЕСУРС"</t>
  </si>
  <si>
    <t>5075032489</t>
  </si>
  <si>
    <t>03-08-2006 00:00:00</t>
  </si>
  <si>
    <t>26357705</t>
  </si>
  <si>
    <t>ООО "ЭНЕРГОЦЕНТР"</t>
  </si>
  <si>
    <t>5020052207</t>
  </si>
  <si>
    <t>30358319</t>
  </si>
  <si>
    <t>ООО "ЭС-СЖ"</t>
  </si>
  <si>
    <t>5038097840</t>
  </si>
  <si>
    <t>18-04-2003 00:00:00</t>
  </si>
  <si>
    <t>30992266</t>
  </si>
  <si>
    <t>ООО "ЭТС "Воздвиженское"</t>
  </si>
  <si>
    <t>5043052764</t>
  </si>
  <si>
    <t>26-09-2014 00:00:00</t>
  </si>
  <si>
    <t>31025863</t>
  </si>
  <si>
    <t>ООО "ЭТС"</t>
  </si>
  <si>
    <t>5024138127</t>
  </si>
  <si>
    <t>13-07-2013 00:00:00</t>
  </si>
  <si>
    <t>31581375</t>
  </si>
  <si>
    <t>ООО "ЭЮТСК 1"</t>
  </si>
  <si>
    <t>5053061334</t>
  </si>
  <si>
    <t>26358049</t>
  </si>
  <si>
    <t>ООО "Эврика-2"</t>
  </si>
  <si>
    <t>5074013469</t>
  </si>
  <si>
    <t>28868883</t>
  </si>
  <si>
    <t>ООО "Элком"</t>
  </si>
  <si>
    <t>7729731749</t>
  </si>
  <si>
    <t>31341244</t>
  </si>
  <si>
    <t>ООО "Элком+"</t>
  </si>
  <si>
    <t>7727401880</t>
  </si>
  <si>
    <t>12-12-2018 00:00:00</t>
  </si>
  <si>
    <t>26357810</t>
  </si>
  <si>
    <t>ООО "Энергия Плюс"</t>
  </si>
  <si>
    <t>5031052745</t>
  </si>
  <si>
    <t>30358487</t>
  </si>
  <si>
    <t>ООО "Энерго Инвест"</t>
  </si>
  <si>
    <t>5042093101</t>
  </si>
  <si>
    <t>10-05-2007 00:00:00</t>
  </si>
  <si>
    <t>28979613</t>
  </si>
  <si>
    <t>ООО "ЭнергоИнвест"</t>
  </si>
  <si>
    <t>7841378040</t>
  </si>
  <si>
    <t>780201001</t>
  </si>
  <si>
    <t>28054636</t>
  </si>
  <si>
    <t>ООО "ЭнергоСтандарт"</t>
  </si>
  <si>
    <t>5047128541</t>
  </si>
  <si>
    <t>11-11-2011 00:00:00</t>
  </si>
  <si>
    <t>28445908</t>
  </si>
  <si>
    <t>ООО "ЭнергоСтрой"</t>
  </si>
  <si>
    <t>7706771230</t>
  </si>
  <si>
    <t>26-03-2012 00:00:00</t>
  </si>
  <si>
    <t>31528168</t>
  </si>
  <si>
    <t>ООО "ЭнергоСтройМех"</t>
  </si>
  <si>
    <t>5032266179</t>
  </si>
  <si>
    <t>20-12-2016 00:00:00</t>
  </si>
  <si>
    <t>27573591</t>
  </si>
  <si>
    <t>ООО "Энергопартнер"</t>
  </si>
  <si>
    <t>5007061629</t>
  </si>
  <si>
    <t>28009039</t>
  </si>
  <si>
    <t>ООО "Энергоресурс"</t>
  </si>
  <si>
    <t>5042088983</t>
  </si>
  <si>
    <t>28857540</t>
  </si>
  <si>
    <t>5044090882</t>
  </si>
  <si>
    <t>09-06-2014 00:00:00</t>
  </si>
  <si>
    <t>30802616</t>
  </si>
  <si>
    <t>ООО "Энергоцентр-Н"</t>
  </si>
  <si>
    <t>5027110056</t>
  </si>
  <si>
    <t>05-08-2005 00:00:00</t>
  </si>
  <si>
    <t>27993118</t>
  </si>
  <si>
    <t>ООО "Юнихолд"</t>
  </si>
  <si>
    <t>5011033039</t>
  </si>
  <si>
    <t>11-04-2002 00:00:00</t>
  </si>
  <si>
    <t>31230090</t>
  </si>
  <si>
    <t>ООО  «ИК «ЭС»</t>
  </si>
  <si>
    <t>5042146650</t>
  </si>
  <si>
    <t>30-10-2017 00:00:00</t>
  </si>
  <si>
    <t>31518585</t>
  </si>
  <si>
    <t>ООО «АВР Строймонтаж»</t>
  </si>
  <si>
    <t>5027275964</t>
  </si>
  <si>
    <t>26-04-2019 00:00:00</t>
  </si>
  <si>
    <t>26504906</t>
  </si>
  <si>
    <t>ООО «Газпром ВНИИГАЗ»</t>
  </si>
  <si>
    <t>5003028155</t>
  </si>
  <si>
    <t>31229282</t>
  </si>
  <si>
    <t>ООО «Газпром теплоэнерго МО»</t>
  </si>
  <si>
    <t>5007101649</t>
  </si>
  <si>
    <t>23-06-2017 00:00:00</t>
  </si>
  <si>
    <t>28821278</t>
  </si>
  <si>
    <t>ООО «Глобус»</t>
  </si>
  <si>
    <t>5031075380</t>
  </si>
  <si>
    <t>13-10-2007 00:00:00</t>
  </si>
  <si>
    <t>31644674</t>
  </si>
  <si>
    <t>ООО «КОМПАНИЯ «ПРОМТЕХНОЛОГИЯ»</t>
  </si>
  <si>
    <t>5031047456</t>
  </si>
  <si>
    <t>30-10-2003 00:00:00</t>
  </si>
  <si>
    <t>31755036</t>
  </si>
  <si>
    <t>ООО «КРУФ-2001»</t>
  </si>
  <si>
    <t>5024048674</t>
  </si>
  <si>
    <t>17-08-2001 00:00:00</t>
  </si>
  <si>
    <t>27524318</t>
  </si>
  <si>
    <t>ООО «КомЭнерго»</t>
  </si>
  <si>
    <t>5044077264</t>
  </si>
  <si>
    <t>31171841</t>
  </si>
  <si>
    <t>ООО «Компьюлинк Инфраструктура Кашира»</t>
  </si>
  <si>
    <t>5019028390</t>
  </si>
  <si>
    <t>14-04-2017 00:00:00</t>
  </si>
  <si>
    <t>31616021</t>
  </si>
  <si>
    <t>ООО «КриптонИнвест»</t>
  </si>
  <si>
    <t>7728352508</t>
  </si>
  <si>
    <t>01-11-2016 00:00:00</t>
  </si>
  <si>
    <t>31716338</t>
  </si>
  <si>
    <t>ООО «МП-НЕДВИЖИМОСТЬ»</t>
  </si>
  <si>
    <t>5003136880</t>
  </si>
  <si>
    <t>28982589</t>
  </si>
  <si>
    <t>ООО «Негреско»</t>
  </si>
  <si>
    <t>7702555310</t>
  </si>
  <si>
    <t>770201001</t>
  </si>
  <si>
    <t>25-02-2005 00:00:00</t>
  </si>
  <si>
    <t>31461765</t>
  </si>
  <si>
    <t>ООО «РКС»</t>
  </si>
  <si>
    <t>5012039114</t>
  </si>
  <si>
    <t>31528906</t>
  </si>
  <si>
    <t>ООО «Реабилитационный центр Вязёмы»</t>
  </si>
  <si>
    <t>9710087877</t>
  </si>
  <si>
    <t>31330046</t>
  </si>
  <si>
    <t>ООО «САМОЛЕТ ЭНЕРГО»</t>
  </si>
  <si>
    <t>5003126480</t>
  </si>
  <si>
    <t>11-01-2018 00:00:00</t>
  </si>
  <si>
    <t>31667343</t>
  </si>
  <si>
    <t>ООО «СЗ «Группа компаний «СУ 22»</t>
  </si>
  <si>
    <t>5050079654</t>
  </si>
  <si>
    <t>31762166</t>
  </si>
  <si>
    <t>ООО «СПЕЦИАЛИЗИРОВАННЫЙ ЗАСТРОЙЩИК «РД ЛЮБЕРЦЫ»</t>
  </si>
  <si>
    <t>5027252886</t>
  </si>
  <si>
    <t>31768556</t>
  </si>
  <si>
    <t>ООО «СПЕЦТЕХНИКА»</t>
  </si>
  <si>
    <t>7716738401</t>
  </si>
  <si>
    <t>31520341</t>
  </si>
  <si>
    <t>ООО «Саб-Урбан»</t>
  </si>
  <si>
    <t>5024176549</t>
  </si>
  <si>
    <t>31528512</t>
  </si>
  <si>
    <t>ООО «Смарт Энерго»</t>
  </si>
  <si>
    <t>5047252034</t>
  </si>
  <si>
    <t>27-05-2021 00:00:00</t>
  </si>
  <si>
    <t>28868900</t>
  </si>
  <si>
    <t>ООО «ТЕПЛОГЕНЕРАЦИЯ»</t>
  </si>
  <si>
    <t>5047153185</t>
  </si>
  <si>
    <t>774301001</t>
  </si>
  <si>
    <t>31742337</t>
  </si>
  <si>
    <t>9703135368</t>
  </si>
  <si>
    <t>28981613</t>
  </si>
  <si>
    <t>ООО «ТСК МОСЭНЕРГО» филиал Сколковский</t>
  </si>
  <si>
    <t>31577708</t>
  </si>
  <si>
    <t>ООО «ТЭК - 9»</t>
  </si>
  <si>
    <t>5017126748</t>
  </si>
  <si>
    <t>06-10-2021 00:00:00</t>
  </si>
  <si>
    <t>28451478</t>
  </si>
  <si>
    <t>ООО «Теплосервис»</t>
  </si>
  <si>
    <t>5008051528</t>
  </si>
  <si>
    <t>31601762</t>
  </si>
  <si>
    <t>ООО «Техностром-Центр»</t>
  </si>
  <si>
    <t>5022060179</t>
  </si>
  <si>
    <t>30-04-2020 00:00:00</t>
  </si>
  <si>
    <t>28821045</t>
  </si>
  <si>
    <t>ООО «ЭК Солид»</t>
  </si>
  <si>
    <t>5027129723</t>
  </si>
  <si>
    <t>31762790</t>
  </si>
  <si>
    <t>ООО «ЭЛМА-ШЕРЕМЕТЬЕВО»</t>
  </si>
  <si>
    <t>5047293753</t>
  </si>
  <si>
    <t>30838588</t>
  </si>
  <si>
    <t>ООО «Энерго Трансфер»</t>
  </si>
  <si>
    <t>5053031065</t>
  </si>
  <si>
    <t>26357854</t>
  </si>
  <si>
    <t>ООО МЗ "Тонар"</t>
  </si>
  <si>
    <t>5034016022</t>
  </si>
  <si>
    <t>25-06-1998 00:00:00</t>
  </si>
  <si>
    <t>26360921</t>
  </si>
  <si>
    <t>ООО НПО "Союз-М"</t>
  </si>
  <si>
    <t>7701048405</t>
  </si>
  <si>
    <t>04-04-1995 00:00:00</t>
  </si>
  <si>
    <t>26773009</t>
  </si>
  <si>
    <t>ООО Охранно-юридическое бюро"ПАРТНЕР"</t>
  </si>
  <si>
    <t>5027131666</t>
  </si>
  <si>
    <t>13-08-2008 00:00:00</t>
  </si>
  <si>
    <t>31628264</t>
  </si>
  <si>
    <t>ООО СК "Сосны"</t>
  </si>
  <si>
    <t>9710084604</t>
  </si>
  <si>
    <t>30-07-2020 00:00:00</t>
  </si>
  <si>
    <t>31542876</t>
  </si>
  <si>
    <t>ООО Специализированный застройщик "Олимп-Альянс"</t>
  </si>
  <si>
    <t>5050050415</t>
  </si>
  <si>
    <t>21-12-2004 00:00:00</t>
  </si>
  <si>
    <t>31343642</t>
  </si>
  <si>
    <t>ООО УК "ВАРЕЖКИ"</t>
  </si>
  <si>
    <t>5050094797</t>
  </si>
  <si>
    <t>16-01-2012 00:00:00</t>
  </si>
  <si>
    <t>31391216</t>
  </si>
  <si>
    <t>ООО УК «ПРОФИ-КОМФОРТ»</t>
  </si>
  <si>
    <t>5038133785</t>
  </si>
  <si>
    <t>31225170</t>
  </si>
  <si>
    <t>ООО Фирма"Здоровье"</t>
  </si>
  <si>
    <t>7730713208</t>
  </si>
  <si>
    <t>25-09-2014 00:00:00</t>
  </si>
  <si>
    <t>26357630</t>
  </si>
  <si>
    <t>ООО племзавод "Барыбино"</t>
  </si>
  <si>
    <t>5009041258</t>
  </si>
  <si>
    <t>28797135</t>
  </si>
  <si>
    <t>ООО"АрДиАй Ресурс"</t>
  </si>
  <si>
    <t>5030055180</t>
  </si>
  <si>
    <t>05-09-2006 00:00:00</t>
  </si>
  <si>
    <t>31528959</t>
  </si>
  <si>
    <t>ООО"Константиново"</t>
  </si>
  <si>
    <t>7724023982</t>
  </si>
  <si>
    <t>15-07-1996 00:00:00</t>
  </si>
  <si>
    <t>31777294</t>
  </si>
  <si>
    <t>Общества с ограниченной ответственностью "Луховицкая сетевая компания"</t>
  </si>
  <si>
    <t>5022078835</t>
  </si>
  <si>
    <t>31776724</t>
  </si>
  <si>
    <t>Общество с ограниченной ответственностью "Индивидуальные Застройщики "ИНТО"</t>
  </si>
  <si>
    <t>5032194380</t>
  </si>
  <si>
    <t>26509167</t>
  </si>
  <si>
    <t>Оздоровительное объединение "Солнечный городок" Банка России</t>
  </si>
  <si>
    <t>7702235133</t>
  </si>
  <si>
    <t>770245016</t>
  </si>
  <si>
    <t>17-01-2001 00:00:00</t>
  </si>
  <si>
    <t>26785891</t>
  </si>
  <si>
    <t>Отделение филиала "РТРС" "МРЦ" - Радиоцентр № 9</t>
  </si>
  <si>
    <t>7717127211</t>
  </si>
  <si>
    <t>503131001</t>
  </si>
  <si>
    <t>26511072</t>
  </si>
  <si>
    <t>Отделение филиала "РТРС" "МРЦ" Радиоцентр №7</t>
  </si>
  <si>
    <t>503432001</t>
  </si>
  <si>
    <t>26357615</t>
  </si>
  <si>
    <t>ПАО "Долгопрудненское научно-производственное предприятие"</t>
  </si>
  <si>
    <t>5008000322</t>
  </si>
  <si>
    <t>31531000</t>
  </si>
  <si>
    <t>ПАО "Ил"</t>
  </si>
  <si>
    <t>7714027882</t>
  </si>
  <si>
    <t>11-11-1994 00:00:00</t>
  </si>
  <si>
    <t>26324387</t>
  </si>
  <si>
    <t>ПАО "МОЭК"</t>
  </si>
  <si>
    <t>7720518494</t>
  </si>
  <si>
    <t>997650001</t>
  </si>
  <si>
    <t>26357742</t>
  </si>
  <si>
    <t>ПАО "МЭЗ"</t>
  </si>
  <si>
    <t>5027028130</t>
  </si>
  <si>
    <t>22-12-1992 00:00:00</t>
  </si>
  <si>
    <t>26361016</t>
  </si>
  <si>
    <t>ПАО "Мостожелезобетонконструкция" (ПАО "МЖБК")</t>
  </si>
  <si>
    <t>7710121637</t>
  </si>
  <si>
    <t>500702001</t>
  </si>
  <si>
    <t>02-08-1993 00:00:00</t>
  </si>
  <si>
    <t>31781171</t>
  </si>
  <si>
    <t>ПАО "Мосэнерго"</t>
  </si>
  <si>
    <t>26409916</t>
  </si>
  <si>
    <t>31000959</t>
  </si>
  <si>
    <t>ПАО "Ногинсктрастинвест"</t>
  </si>
  <si>
    <t>5031066508</t>
  </si>
  <si>
    <t>31-03-2006 00:00:00</t>
  </si>
  <si>
    <t>28872357</t>
  </si>
  <si>
    <t>ПАО "РКК "Энергия"</t>
  </si>
  <si>
    <t>5018033937</t>
  </si>
  <si>
    <t>990103001</t>
  </si>
  <si>
    <t>20-01-2015 00:00:00</t>
  </si>
  <si>
    <t>27622582</t>
  </si>
  <si>
    <t>ПАО "Ростелеком"</t>
  </si>
  <si>
    <t>7707049388</t>
  </si>
  <si>
    <t>773443001</t>
  </si>
  <si>
    <t>23-09-1993 00:00:00</t>
  </si>
  <si>
    <t>30832336</t>
  </si>
  <si>
    <t>ПАО "ЭЮТСК"</t>
  </si>
  <si>
    <t>5053037363</t>
  </si>
  <si>
    <t>20-10-2014 00:00:00</t>
  </si>
  <si>
    <t>26445111</t>
  </si>
  <si>
    <t>ПАО "Юнипро"</t>
  </si>
  <si>
    <t>245902002</t>
  </si>
  <si>
    <t>05-09-2002 00:00:00</t>
  </si>
  <si>
    <t>26504936</t>
  </si>
  <si>
    <t>ПАО «Мосстройпластмасс»</t>
  </si>
  <si>
    <t>5029007199</t>
  </si>
  <si>
    <t>23-09-2005 00:00:00</t>
  </si>
  <si>
    <t>26548221</t>
  </si>
  <si>
    <t>ПАО КМЗ</t>
  </si>
  <si>
    <t>5024022965</t>
  </si>
  <si>
    <t>26548189</t>
  </si>
  <si>
    <t>Пансионат "Морозовка"</t>
  </si>
  <si>
    <t>7736050003</t>
  </si>
  <si>
    <t>25-02-1993 00:00:00</t>
  </si>
  <si>
    <t>26357691</t>
  </si>
  <si>
    <t>Пансионат с лечением "Березовая роща" Московской железной дороги - филиал ОАО "РЖД"</t>
  </si>
  <si>
    <t>997950001</t>
  </si>
  <si>
    <t>28873976</t>
  </si>
  <si>
    <t>Пограничная академия ФСБ России</t>
  </si>
  <si>
    <t>7714034840</t>
  </si>
  <si>
    <t>09-04-1994 00:00:00</t>
  </si>
  <si>
    <t>26361011</t>
  </si>
  <si>
    <t>РВЦ "Орбита-2" - филиал ФГБУ "Федеральный медицинский центр" Росимущества</t>
  </si>
  <si>
    <t>7709290510</t>
  </si>
  <si>
    <t>504432001</t>
  </si>
  <si>
    <t>26360984</t>
  </si>
  <si>
    <t>РЖД Локомотивное депо Нахабино</t>
  </si>
  <si>
    <t>502431001</t>
  </si>
  <si>
    <t>26509365</t>
  </si>
  <si>
    <t>РУТ (МИИТ)</t>
  </si>
  <si>
    <t>7715027733</t>
  </si>
  <si>
    <t>22-02-1993 00:00:00</t>
  </si>
  <si>
    <t>26360920</t>
  </si>
  <si>
    <t>СМУ-158 АО"Трансинжстрой"</t>
  </si>
  <si>
    <t>7701011412</t>
  </si>
  <si>
    <t>770802002</t>
  </si>
  <si>
    <t>26511004</t>
  </si>
  <si>
    <t>СУ "Управление служебными зданиями "Россельхозакадемии"</t>
  </si>
  <si>
    <t>7721022959</t>
  </si>
  <si>
    <t>26357946</t>
  </si>
  <si>
    <t>Ставропигиальный мужской монастырь Свято-Троицкая Сергиева Лавра</t>
  </si>
  <si>
    <t>5042016770</t>
  </si>
  <si>
    <t>31521266</t>
  </si>
  <si>
    <t>ТСЖ "Опытное 22"</t>
  </si>
  <si>
    <t>5001054632</t>
  </si>
  <si>
    <t>23-12-2005 00:00:00</t>
  </si>
  <si>
    <t>26357735</t>
  </si>
  <si>
    <t>УМП "Лобненская Теплосеть"</t>
  </si>
  <si>
    <t>5025000315</t>
  </si>
  <si>
    <t>502501001</t>
  </si>
  <si>
    <t>31481499</t>
  </si>
  <si>
    <t>ФАУ "ЦИАМ им. П.И. Баранова"</t>
  </si>
  <si>
    <t>7722497881</t>
  </si>
  <si>
    <t>502745001</t>
  </si>
  <si>
    <t>01-03-2021 00:00:00</t>
  </si>
  <si>
    <t>28049182</t>
  </si>
  <si>
    <t>ФГАУ "ОК "Рублево-Успенский"</t>
  </si>
  <si>
    <t>0710002588</t>
  </si>
  <si>
    <t>05-10-2001 00:00:00</t>
  </si>
  <si>
    <t>28878536</t>
  </si>
  <si>
    <t>ФГАУ «ОК «Шереметьевский» УДП РФ»</t>
  </si>
  <si>
    <t>5047046105</t>
  </si>
  <si>
    <t>771301001</t>
  </si>
  <si>
    <t>26358003</t>
  </si>
  <si>
    <t>ФГБОУ "Средняя школа-интернат МИД России"</t>
  </si>
  <si>
    <t>5050004578</t>
  </si>
  <si>
    <t>31518435</t>
  </si>
  <si>
    <t>ФГБОУ ВО "РГСУ"</t>
  </si>
  <si>
    <t>7718084994</t>
  </si>
  <si>
    <t>16-08-2002 00:00:00</t>
  </si>
  <si>
    <t>26509579</t>
  </si>
  <si>
    <t>ФГБОУ ВО «РГУТИС»</t>
  </si>
  <si>
    <t>5038005448</t>
  </si>
  <si>
    <t>26791541</t>
  </si>
  <si>
    <t>ФГБУ  "Центральная аэрологическая обсерватория"</t>
  </si>
  <si>
    <t>5008000604</t>
  </si>
  <si>
    <t>26357846</t>
  </si>
  <si>
    <t>ФГБУ " ОК "Рублево-Звенигородский" Управление делами Президента РФ</t>
  </si>
  <si>
    <t>5032066860</t>
  </si>
  <si>
    <t>26508891</t>
  </si>
  <si>
    <t>ФГБУ "ДДО "Непецино"</t>
  </si>
  <si>
    <t>5070001279</t>
  </si>
  <si>
    <t>26357622</t>
  </si>
  <si>
    <t>ФГБУ "МФК Минфина России"</t>
  </si>
  <si>
    <t>5009067866</t>
  </si>
  <si>
    <t>26571431</t>
  </si>
  <si>
    <t>ФГБУ "НИИ ЦПК имени Ю.А.Гагарина"</t>
  </si>
  <si>
    <t>5050077618</t>
  </si>
  <si>
    <t>26357720</t>
  </si>
  <si>
    <t>ФГБУ "НМИЦ ВМТ им. А.А.Вишневского"  Минобороны России</t>
  </si>
  <si>
    <t>5024000030</t>
  </si>
  <si>
    <t>26549304</t>
  </si>
  <si>
    <t>ФГБУ "НМИЦ ДГОИ им. Дмитрия Рогачева" Минздрава России</t>
  </si>
  <si>
    <t>7728008953</t>
  </si>
  <si>
    <t>504843001</t>
  </si>
  <si>
    <t>31717366</t>
  </si>
  <si>
    <t>26548363</t>
  </si>
  <si>
    <t>ФГБУ "НМИЦ РК" Минздрава России</t>
  </si>
  <si>
    <t>7704040281</t>
  </si>
  <si>
    <t>06-08-2002 00:00:00</t>
  </si>
  <si>
    <t>26357671</t>
  </si>
  <si>
    <t>ФГБУ "ОК "Снегири"</t>
  </si>
  <si>
    <t>5017003810</t>
  </si>
  <si>
    <t>26357624</t>
  </si>
  <si>
    <t>ФГБУ "ОС "Подмосковье"</t>
  </si>
  <si>
    <t>5009014293</t>
  </si>
  <si>
    <t>05-07-2007 00:00:00</t>
  </si>
  <si>
    <t>26548109</t>
  </si>
  <si>
    <t>ФГБУ "РРЦ "Детство" Минздрава России</t>
  </si>
  <si>
    <t>5003018904</t>
  </si>
  <si>
    <t>16-09-1999 00:00:00</t>
  </si>
  <si>
    <t>26357945</t>
  </si>
  <si>
    <t>ФГБУ "Санаторий "Загорские дали"</t>
  </si>
  <si>
    <t>5042015760</t>
  </si>
  <si>
    <t>26358011</t>
  </si>
  <si>
    <t>ФГБУ "Санаторий им. Горького" Минздрава России</t>
  </si>
  <si>
    <t>5050015548</t>
  </si>
  <si>
    <t>09-04-2003 00:00:00</t>
  </si>
  <si>
    <t>28441503</t>
  </si>
  <si>
    <t>ФГБУ "ТЦСКР "Озеро Круглое"</t>
  </si>
  <si>
    <t>5007088910</t>
  </si>
  <si>
    <t>24-01-2014 00:00:00</t>
  </si>
  <si>
    <t>26357984</t>
  </si>
  <si>
    <t>ФГБУ "Учебно-тренировочный центр "Новогорск"</t>
  </si>
  <si>
    <t>5047186913</t>
  </si>
  <si>
    <t>30903763</t>
  </si>
  <si>
    <t>ФГБУ "ЦЖКУ" МИНОБОРОНЫ РОССИИ</t>
  </si>
  <si>
    <t>7729314745</t>
  </si>
  <si>
    <t>26649474</t>
  </si>
  <si>
    <t>ФГБУ "ЦНИИСиЧЛХ" Минздрава России</t>
  </si>
  <si>
    <t>7704115177</t>
  </si>
  <si>
    <t>503343001</t>
  </si>
  <si>
    <t>09-03-1993 00:00:00</t>
  </si>
  <si>
    <t>31559150</t>
  </si>
  <si>
    <t>ФГБУ «ВГНКИ»</t>
  </si>
  <si>
    <t>7703056867</t>
  </si>
  <si>
    <t>07-07-1995 00:00:00</t>
  </si>
  <si>
    <t>26567452</t>
  </si>
  <si>
    <t>ФГБУ «ОК «Бор» УДП РФ</t>
  </si>
  <si>
    <t>5009061310</t>
  </si>
  <si>
    <t>28443145</t>
  </si>
  <si>
    <t>ФГБУ ВНИИПО МЧС России</t>
  </si>
  <si>
    <t>5001000242</t>
  </si>
  <si>
    <t>31442683</t>
  </si>
  <si>
    <t>ФГБУ ФКЦ ВМТ ФМБА России</t>
  </si>
  <si>
    <t>5047001270</t>
  </si>
  <si>
    <t>25-11-1993 00:00:00</t>
  </si>
  <si>
    <t>27579764</t>
  </si>
  <si>
    <t>ФГБУ ФНКЦ МРиК ФМБА России</t>
  </si>
  <si>
    <t>5044013246</t>
  </si>
  <si>
    <t>24-08-2021 00:00:00</t>
  </si>
  <si>
    <t>26776512</t>
  </si>
  <si>
    <t>ФГБУК "Государственный историко-художественный и литературный музей-заповедник "Абрамцево"</t>
  </si>
  <si>
    <t>5042017485</t>
  </si>
  <si>
    <t>26357649</t>
  </si>
  <si>
    <t>ФГКУ "В/ч 35533"</t>
  </si>
  <si>
    <t>5012009279</t>
  </si>
  <si>
    <t>31421332</t>
  </si>
  <si>
    <t>ФГКУ "Ногинский СЦ МЧС России"</t>
  </si>
  <si>
    <t>5031034390</t>
  </si>
  <si>
    <t>30363613</t>
  </si>
  <si>
    <t>ФГКУ "Санаторий "Москвич"</t>
  </si>
  <si>
    <t>5009005806</t>
  </si>
  <si>
    <t>05-09-2003 00:00:00</t>
  </si>
  <si>
    <t>26511475</t>
  </si>
  <si>
    <t>ФГКУ "Санаторий "Семеновское"</t>
  </si>
  <si>
    <t>5045003201</t>
  </si>
  <si>
    <t>26805331</t>
  </si>
  <si>
    <t>ФГКУ "в/ч 35690"</t>
  </si>
  <si>
    <t>5001082291</t>
  </si>
  <si>
    <t>26549235</t>
  </si>
  <si>
    <t>ФГКУ ГКВГ ФСБ России</t>
  </si>
  <si>
    <t>5032001221</t>
  </si>
  <si>
    <t>26509442</t>
  </si>
  <si>
    <t>ФГКУ ЦПА ФСБ России</t>
  </si>
  <si>
    <t>5038021295</t>
  </si>
  <si>
    <t>26509791</t>
  </si>
  <si>
    <t>ФГКУ в/ч 51952</t>
  </si>
  <si>
    <t>5048050640</t>
  </si>
  <si>
    <t>31470229</t>
  </si>
  <si>
    <t>ФГКУ в/ч 54729</t>
  </si>
  <si>
    <t>5001007760</t>
  </si>
  <si>
    <t>26357835</t>
  </si>
  <si>
    <t>ФГУ "Клинический санаторий "Барвиха"</t>
  </si>
  <si>
    <t>5032028368</t>
  </si>
  <si>
    <t>26357961</t>
  </si>
  <si>
    <t>ФГУП "ВНИИФТРИ"</t>
  </si>
  <si>
    <t>5044000102</t>
  </si>
  <si>
    <t>28176875</t>
  </si>
  <si>
    <t>ФГУП "Комплекс"</t>
  </si>
  <si>
    <t>5003005239</t>
  </si>
  <si>
    <t>910301001</t>
  </si>
  <si>
    <t>26360926</t>
  </si>
  <si>
    <t>ФГУП "РАДОН"</t>
  </si>
  <si>
    <t>7704009700</t>
  </si>
  <si>
    <t>27-05-1994 00:00:00</t>
  </si>
  <si>
    <t>26358008</t>
  </si>
  <si>
    <t>ФГУП "Щелковский биокомбинат"</t>
  </si>
  <si>
    <t>5050013999</t>
  </si>
  <si>
    <t>26357942</t>
  </si>
  <si>
    <t>ФГУП "ЭМЗ "Звезда"</t>
  </si>
  <si>
    <t>5042010458</t>
  </si>
  <si>
    <t>29-12-1991 00:00:00</t>
  </si>
  <si>
    <t>31311324</t>
  </si>
  <si>
    <t>ФИЦ  ПНЦБИ  РАН</t>
  </si>
  <si>
    <t>5039002841</t>
  </si>
  <si>
    <t>24-02-1999 00:00:00</t>
  </si>
  <si>
    <t>26506574</t>
  </si>
  <si>
    <t>ФКП "ГкНИПАС имени Л.К. Сафронова"</t>
  </si>
  <si>
    <t>5005020218</t>
  </si>
  <si>
    <t>26357938</t>
  </si>
  <si>
    <t>ФКП "НИЦ РКП"</t>
  </si>
  <si>
    <t>5042006211</t>
  </si>
  <si>
    <t>26357991</t>
  </si>
  <si>
    <t>ФКУ "Войсковая часть 52583"</t>
  </si>
  <si>
    <t>5048051612</t>
  </si>
  <si>
    <t>26357962</t>
  </si>
  <si>
    <t>ФКУ "Войсковая часть 68542"</t>
  </si>
  <si>
    <t>5044010164</t>
  </si>
  <si>
    <t>18-11-1999 00:00:00</t>
  </si>
  <si>
    <t>31541696</t>
  </si>
  <si>
    <t>ФКУ "МосЦМТО Росгвардии"</t>
  </si>
  <si>
    <t>7733318809</t>
  </si>
  <si>
    <t>21-03-2017 00:00:00</t>
  </si>
  <si>
    <t>26509933</t>
  </si>
  <si>
    <t>ФКУ "ЦОБХР МВД России"</t>
  </si>
  <si>
    <t>5001010593</t>
  </si>
  <si>
    <t>26647710</t>
  </si>
  <si>
    <t>ФКУЗ "Санаторий "Ватутинки" МВД России"</t>
  </si>
  <si>
    <t>5046005882</t>
  </si>
  <si>
    <t>28954308</t>
  </si>
  <si>
    <t>ФКУЗ "ЦВМиР "Зеленая роща" МВД России"</t>
  </si>
  <si>
    <t>5009004418</t>
  </si>
  <si>
    <t>30-06-1994 00:00:00</t>
  </si>
  <si>
    <t>26357592</t>
  </si>
  <si>
    <t>ФЛ ОК "Ватутинки" ФГУП ОПК "БОР" УД П РФ</t>
  </si>
  <si>
    <t>500302001</t>
  </si>
  <si>
    <t>01-01-2015 00:00:00</t>
  </si>
  <si>
    <t>28454864</t>
  </si>
  <si>
    <t>ФСО России</t>
  </si>
  <si>
    <t>7704055094</t>
  </si>
  <si>
    <t>04-02-2003 00:00:00</t>
  </si>
  <si>
    <t>27980582</t>
  </si>
  <si>
    <t>Филиал "Каширская ГРЭС" АО "Интер РАО- Электрогенерация"</t>
  </si>
  <si>
    <t>7704784450</t>
  </si>
  <si>
    <t>501943001</t>
  </si>
  <si>
    <t>15-06-2011 00:00:00</t>
  </si>
  <si>
    <t>04-03-2005 00:00:00</t>
  </si>
  <si>
    <t>31664228</t>
  </si>
  <si>
    <t>Филиал «ВМУ» АО «ОХК «УРАЛХИМ» в городе Воскресенске</t>
  </si>
  <si>
    <t>7703647595</t>
  </si>
  <si>
    <t>500543001</t>
  </si>
  <si>
    <t>15-09-2021 00:00:00</t>
  </si>
  <si>
    <t>26809151</t>
  </si>
  <si>
    <t>Филиал АО "СО ЕЭС" ЦТО</t>
  </si>
  <si>
    <t>7705454461</t>
  </si>
  <si>
    <t>507602001</t>
  </si>
  <si>
    <t>17-06-2002 00:00:00</t>
  </si>
  <si>
    <t>31031674</t>
  </si>
  <si>
    <t>Филиал Академии управления МВД России "Болшево"</t>
  </si>
  <si>
    <t>7712008651</t>
  </si>
  <si>
    <t>501843001</t>
  </si>
  <si>
    <t>21-09-2017 00:00:00</t>
  </si>
  <si>
    <t>26361005</t>
  </si>
  <si>
    <t>Филиал ОАО "Центротрансжелезобетон"  Силикатненский завод ЖБК</t>
  </si>
  <si>
    <t>7709033898</t>
  </si>
  <si>
    <t>503602002</t>
  </si>
  <si>
    <t>28058541</t>
  </si>
  <si>
    <t>Химкинский филиал ООО «ТСК Мосэнерго»</t>
  </si>
  <si>
    <t>504743001</t>
  </si>
  <si>
    <t>26548205</t>
  </si>
  <si>
    <t>Центральный банк Российской Федерации (Пансионат "Пестово" Центрального банка Российской Федерации)</t>
  </si>
  <si>
    <t>502945001</t>
  </si>
  <si>
    <t>26513518</t>
  </si>
  <si>
    <t>Центральный филиал ООО «Газпром энерго»</t>
  </si>
  <si>
    <t>7736186950</t>
  </si>
  <si>
    <t>504343001</t>
  </si>
  <si>
    <t>07-02-2006 00:00:00</t>
  </si>
  <si>
    <t>26548160</t>
  </si>
  <si>
    <t>ШПТО ГХ</t>
  </si>
  <si>
    <t>5049003153</t>
  </si>
  <si>
    <t>25-01-1999 00:00:00</t>
  </si>
  <si>
    <t>28441571</t>
  </si>
  <si>
    <t>Электрогорский филиал ООО «ТСК Мосэнерго»</t>
  </si>
  <si>
    <t>503543002</t>
  </si>
  <si>
    <t>26510974</t>
  </si>
  <si>
    <t>филиал ПАО "ГАЗПРОМ" Пансионат "Союз"</t>
  </si>
  <si>
    <t>501702001</t>
  </si>
  <si>
    <t>26568823</t>
  </si>
  <si>
    <t>"1166 Военно - строительное управление " филиал ОАО "Главное управление обустройства войск"</t>
  </si>
  <si>
    <t>27973009</t>
  </si>
  <si>
    <t>АО "ПТО ГХ"</t>
  </si>
  <si>
    <t>5010045296</t>
  </si>
  <si>
    <t>26548325</t>
  </si>
  <si>
    <t>АО МК "ШАТУРА"</t>
  </si>
  <si>
    <t>5049007736</t>
  </si>
  <si>
    <t>16-10-1992 00:00:00</t>
  </si>
  <si>
    <t>26548093</t>
  </si>
  <si>
    <t>ЗАО "Можайский"</t>
  </si>
  <si>
    <t>5028000377</t>
  </si>
  <si>
    <t>26548215</t>
  </si>
  <si>
    <t>МУП "Водоканал-Сервис"</t>
  </si>
  <si>
    <t>5043019742</t>
  </si>
  <si>
    <t>27-09-2000 00:00:00</t>
  </si>
  <si>
    <t>28798805</t>
  </si>
  <si>
    <t>ООО "АВАНТЕЛЬ МЕНЕДЖМЕНТ"</t>
  </si>
  <si>
    <t>7706661380</t>
  </si>
  <si>
    <t>18-06-2007 00:00:00</t>
  </si>
  <si>
    <t>30923456</t>
  </si>
  <si>
    <t>ООО "Западный остров"</t>
  </si>
  <si>
    <t>7731569324</t>
  </si>
  <si>
    <t>14-06-2007 00:00:00</t>
  </si>
  <si>
    <t>28881896</t>
  </si>
  <si>
    <t>ООО "Мережи"</t>
  </si>
  <si>
    <t>7731441282</t>
  </si>
  <si>
    <t>12-02-2013 00:00:00</t>
  </si>
  <si>
    <t>30882743</t>
  </si>
  <si>
    <t>ООО "Нортса"</t>
  </si>
  <si>
    <t>5032216058</t>
  </si>
  <si>
    <t>16-09-2015 00:00:00</t>
  </si>
  <si>
    <t>26548183</t>
  </si>
  <si>
    <t>ООО "Промкомбинат"</t>
  </si>
  <si>
    <t>5009057480</t>
  </si>
  <si>
    <t>26509255</t>
  </si>
  <si>
    <t>ООО "Строитель-плюс"</t>
  </si>
  <si>
    <t>5074012017</t>
  </si>
  <si>
    <t>26357647</t>
  </si>
  <si>
    <t>5011026560</t>
  </si>
  <si>
    <t>27583888</t>
  </si>
  <si>
    <t>ООО "Эксплуатирующая организация "Золотые Купола"</t>
  </si>
  <si>
    <t>5044066946</t>
  </si>
  <si>
    <t>26548031</t>
  </si>
  <si>
    <t>"НИЦИАМТ-ФГУП-НАМИ"</t>
  </si>
  <si>
    <t>7711000924</t>
  </si>
  <si>
    <t>27256344</t>
  </si>
  <si>
    <t>АО "Агрокомплекс Ногинский"</t>
  </si>
  <si>
    <t>5031069844</t>
  </si>
  <si>
    <t>08-11-2006 00:00:00</t>
  </si>
  <si>
    <t>31665135</t>
  </si>
  <si>
    <t>АО "ВАЗ"</t>
  </si>
  <si>
    <t>5005073080</t>
  </si>
  <si>
    <t>31-01-2023 00:00:00</t>
  </si>
  <si>
    <t>28420696</t>
  </si>
  <si>
    <t>АО "Водоканал "Павшино"</t>
  </si>
  <si>
    <t>5024139635</t>
  </si>
  <si>
    <t>15-10-2013 00:00:00</t>
  </si>
  <si>
    <t>26548305</t>
  </si>
  <si>
    <t>АО "Водоканал"</t>
  </si>
  <si>
    <t>5018134420</t>
  </si>
  <si>
    <t>11-01-0009 00:00:00</t>
  </si>
  <si>
    <t>26548209</t>
  </si>
  <si>
    <t>5024022700</t>
  </si>
  <si>
    <t>16-11-1993 00:00:00</t>
  </si>
  <si>
    <t>26548275</t>
  </si>
  <si>
    <t>АО "Водоканал-Мытищи"</t>
  </si>
  <si>
    <t>5029088173</t>
  </si>
  <si>
    <t>31033154</t>
  </si>
  <si>
    <t>АО "ГКНПЦ им.М.В.Хруничева", "КБхиммаш им. А.М. Исаева" - филиал АО "ГКНПЦ им. М.В. Хруничева"</t>
  </si>
  <si>
    <t>7730239877</t>
  </si>
  <si>
    <t>500545002</t>
  </si>
  <si>
    <t>26548389</t>
  </si>
  <si>
    <t>АО "Голицынская птицефабрика"</t>
  </si>
  <si>
    <t>5032000228</t>
  </si>
  <si>
    <t>26548029</t>
  </si>
  <si>
    <t>АО "Дашковка"</t>
  </si>
  <si>
    <t>5077000154</t>
  </si>
  <si>
    <t>507707001</t>
  </si>
  <si>
    <t>26-04-1998 00:00:00</t>
  </si>
  <si>
    <t>30998619</t>
  </si>
  <si>
    <t>АО "ЖКХ Горки-2"</t>
  </si>
  <si>
    <t>5032291802</t>
  </si>
  <si>
    <t>24-11-2017 00:00:00</t>
  </si>
  <si>
    <t>31463775</t>
  </si>
  <si>
    <t>АО "КБ Химмаш им. А.М.Исаева"</t>
  </si>
  <si>
    <t>5018202198</t>
  </si>
  <si>
    <t>01-11-2019 00:00:00</t>
  </si>
  <si>
    <t>26582198</t>
  </si>
  <si>
    <t>АО "КВЗУ"</t>
  </si>
  <si>
    <t>5052018907</t>
  </si>
  <si>
    <t>31481933</t>
  </si>
  <si>
    <t>АО "КЦ" (филиал "Ожерельевский комбикормовый завод")</t>
  </si>
  <si>
    <t>4813007240</t>
  </si>
  <si>
    <t>26807285</t>
  </si>
  <si>
    <t>АО "Колхоз Уваровский"</t>
  </si>
  <si>
    <t>5028015648</t>
  </si>
  <si>
    <t>10-11-2002 00:00:00</t>
  </si>
  <si>
    <t>31449892</t>
  </si>
  <si>
    <t>АО "Корпорация развития Московской области"</t>
  </si>
  <si>
    <t>5024131315</t>
  </si>
  <si>
    <t>02-10-2012 00:00:00</t>
  </si>
  <si>
    <t>26548257</t>
  </si>
  <si>
    <t>АО "Лакокраска"</t>
  </si>
  <si>
    <t>5050012040</t>
  </si>
  <si>
    <t>760601001</t>
  </si>
  <si>
    <t>27-11-1992 00:00:00</t>
  </si>
  <si>
    <t>26548307</t>
  </si>
  <si>
    <t>АО "Люберецкий водоканал"</t>
  </si>
  <si>
    <t>5027130197</t>
  </si>
  <si>
    <t>26381508</t>
  </si>
  <si>
    <t>АО "Мосводоканал"</t>
  </si>
  <si>
    <t>7701984274</t>
  </si>
  <si>
    <t>31151793</t>
  </si>
  <si>
    <t>АО "НИИЭМ"</t>
  </si>
  <si>
    <t>5017084537</t>
  </si>
  <si>
    <t>23-11-2009 00:00:00</t>
  </si>
  <si>
    <t>31032756</t>
  </si>
  <si>
    <t>АО "ПТПС"</t>
  </si>
  <si>
    <t>7735584524</t>
  </si>
  <si>
    <t>26548213</t>
  </si>
  <si>
    <t>АО "Промышленный парк Одинцово-1"</t>
  </si>
  <si>
    <t>5032099545</t>
  </si>
  <si>
    <t>27-01-2004 00:00:00</t>
  </si>
  <si>
    <t>26802233</t>
  </si>
  <si>
    <t>АО "Раменский Водоканал"</t>
  </si>
  <si>
    <t>5040109194</t>
  </si>
  <si>
    <t>28-07-2011 00:00:00</t>
  </si>
  <si>
    <t>26548283</t>
  </si>
  <si>
    <t>АО "Совхоз Москворецкий"</t>
  </si>
  <si>
    <t>5032058267</t>
  </si>
  <si>
    <t>24-01-2000 00:00:00</t>
  </si>
  <si>
    <t>26548387</t>
  </si>
  <si>
    <t>АО "Тонкосуконная фабрика имени Свердлова"</t>
  </si>
  <si>
    <t>5050021608</t>
  </si>
  <si>
    <t>21-03-2003 00:00:00</t>
  </si>
  <si>
    <t>26548397</t>
  </si>
  <si>
    <t>АО "УМЦ Голицыно"</t>
  </si>
  <si>
    <t>5032008153</t>
  </si>
  <si>
    <t>24-02-1993 00:00:00</t>
  </si>
  <si>
    <t>31024736</t>
  </si>
  <si>
    <t>АО "ЮИТ КантриСтрой"</t>
  </si>
  <si>
    <t>5027257267</t>
  </si>
  <si>
    <t>16-10-2017 00:00:00</t>
  </si>
  <si>
    <t>28436067</t>
  </si>
  <si>
    <t>АО "ЮЛИЯ"</t>
  </si>
  <si>
    <t>7733770067</t>
  </si>
  <si>
    <t>31280306</t>
  </si>
  <si>
    <t>АО «ВЕЛЕДНИКОВО»</t>
  </si>
  <si>
    <t>5017115344</t>
  </si>
  <si>
    <t>26505020</t>
  </si>
  <si>
    <t>АО «ЭУК Подмосковье-Сервис»</t>
  </si>
  <si>
    <t>5032047850</t>
  </si>
  <si>
    <t>26548315</t>
  </si>
  <si>
    <t>АО Племхоз "Наро-Осановский"</t>
  </si>
  <si>
    <t>5032025455</t>
  </si>
  <si>
    <t>07-07-1993 00:00:00</t>
  </si>
  <si>
    <t>31347314</t>
  </si>
  <si>
    <t>Банк России</t>
  </si>
  <si>
    <t>02-12-1990 00:00:00</t>
  </si>
  <si>
    <t>26803940</t>
  </si>
  <si>
    <t>Войсковая часть 35690</t>
  </si>
  <si>
    <t>7702232171</t>
  </si>
  <si>
    <t>500102001</t>
  </si>
  <si>
    <t>31248856</t>
  </si>
  <si>
    <t>ГБУ МО ОК "Левково"</t>
  </si>
  <si>
    <t>5038053723</t>
  </si>
  <si>
    <t>26548347</t>
  </si>
  <si>
    <t>ГБУ Социальный дом "Луговой"</t>
  </si>
  <si>
    <t>5007008047</t>
  </si>
  <si>
    <t>31714150</t>
  </si>
  <si>
    <t>ГБУЗ "МНПЦ НАРКОЛОГИИ ДЗМ"</t>
  </si>
  <si>
    <t>7723356386</t>
  </si>
  <si>
    <t>26548271</t>
  </si>
  <si>
    <t>ГБУЗ "ТС № 5 ДЗМ"</t>
  </si>
  <si>
    <t>5040034823</t>
  </si>
  <si>
    <t>26-11-2001 00:00:00</t>
  </si>
  <si>
    <t>31390700</t>
  </si>
  <si>
    <t>ГБУЗ МО "МОКПТД" Клиника №1</t>
  </si>
  <si>
    <t>7715186733</t>
  </si>
  <si>
    <t>31623493</t>
  </si>
  <si>
    <t>ГБУЗ МО "ПБ № 4" ОСП Микулинское</t>
  </si>
  <si>
    <t>5075003671</t>
  </si>
  <si>
    <t>01-10-1998 00:00:00</t>
  </si>
  <si>
    <t>26548227</t>
  </si>
  <si>
    <t>ГУП "Московский метрополитен"</t>
  </si>
  <si>
    <t>7702038150</t>
  </si>
  <si>
    <t>503203001</t>
  </si>
  <si>
    <t>26548085</t>
  </si>
  <si>
    <t>ГУП ППЗ "Птичное"</t>
  </si>
  <si>
    <t>5030005679</t>
  </si>
  <si>
    <t>28493071</t>
  </si>
  <si>
    <t>ДНП "Новый посёлок"</t>
  </si>
  <si>
    <t>5044017402</t>
  </si>
  <si>
    <t>28511372</t>
  </si>
  <si>
    <t>ДНП "УК КП "Виктория Клаб"</t>
  </si>
  <si>
    <t>5031063835</t>
  </si>
  <si>
    <t>26-09-2005 00:00:00</t>
  </si>
  <si>
    <t>26548359</t>
  </si>
  <si>
    <t>Дирекция по эксплуатации городка писателей "Переделкино"</t>
  </si>
  <si>
    <t>5003028042</t>
  </si>
  <si>
    <t>26548353</t>
  </si>
  <si>
    <t>ЖСПК "Вешки-95"</t>
  </si>
  <si>
    <t>5029036979</t>
  </si>
  <si>
    <t>26548053</t>
  </si>
  <si>
    <t>ЗАО "АКВАСТОК"</t>
  </si>
  <si>
    <t>5005041232</t>
  </si>
  <si>
    <t>04-07-2005 00:00:00</t>
  </si>
  <si>
    <t>26772758</t>
  </si>
  <si>
    <t>ЗАО "Водоканал"</t>
  </si>
  <si>
    <t>5020051845</t>
  </si>
  <si>
    <t>27-09-2007 00:00:00</t>
  </si>
  <si>
    <t>26548277</t>
  </si>
  <si>
    <t>ЗАО "ИСК "Новое строительство"</t>
  </si>
  <si>
    <t>7710155065</t>
  </si>
  <si>
    <t>26548175</t>
  </si>
  <si>
    <t>ЗАО "КОМПЛЕКС-ЧИГ"</t>
  </si>
  <si>
    <t>7703065332</t>
  </si>
  <si>
    <t>26548146</t>
  </si>
  <si>
    <t>ЗАО "Краснополянская птицефабрика"</t>
  </si>
  <si>
    <t>5029014809</t>
  </si>
  <si>
    <t>26785033</t>
  </si>
  <si>
    <t>ЗАО "Леонтьево"</t>
  </si>
  <si>
    <t>5045001966</t>
  </si>
  <si>
    <t>26650567</t>
  </si>
  <si>
    <t>ЗАО "Матвеевское"</t>
  </si>
  <si>
    <t>5032025310</t>
  </si>
  <si>
    <t>26548341</t>
  </si>
  <si>
    <t>ЗАО "Московский конный завод № 1"</t>
  </si>
  <si>
    <t>5032039592</t>
  </si>
  <si>
    <t>26548065</t>
  </si>
  <si>
    <t>ЗАО "Новый Быт"</t>
  </si>
  <si>
    <t>5048019136</t>
  </si>
  <si>
    <t>26548021</t>
  </si>
  <si>
    <t>ЗАО "Ногинское"</t>
  </si>
  <si>
    <t>5031015180</t>
  </si>
  <si>
    <t>26650368</t>
  </si>
  <si>
    <t>ЗАО "Продснаб АПК Раменский"</t>
  </si>
  <si>
    <t>5040034453</t>
  </si>
  <si>
    <t>26548120</t>
  </si>
  <si>
    <t>ЗАО "Туристский комплекс Клязьминское водохранилище"</t>
  </si>
  <si>
    <t>5029026466</t>
  </si>
  <si>
    <t>26548152</t>
  </si>
  <si>
    <t>ЗАО "Шарапово"</t>
  </si>
  <si>
    <t>5032002264</t>
  </si>
  <si>
    <t>26777937</t>
  </si>
  <si>
    <t>ЗАО «Воскресенское»</t>
  </si>
  <si>
    <t>5005001776</t>
  </si>
  <si>
    <t>30797965</t>
  </si>
  <si>
    <t>ЗАО «Совместное предприятие «Евразия М4»</t>
  </si>
  <si>
    <t>5009056102</t>
  </si>
  <si>
    <t>01-03-2006 00:00:00</t>
  </si>
  <si>
    <t>26650381</t>
  </si>
  <si>
    <t>ЗАО ПХ "Чулковское"</t>
  </si>
  <si>
    <t>5040004160</t>
  </si>
  <si>
    <t>31397265</t>
  </si>
  <si>
    <t>ИП Галкина Г.В.</t>
  </si>
  <si>
    <t>773100377842</t>
  </si>
  <si>
    <t>13-03-2018 00:00:00</t>
  </si>
  <si>
    <t>31643966</t>
  </si>
  <si>
    <t>ИП Пыжиков А.С.</t>
  </si>
  <si>
    <t>504010843770</t>
  </si>
  <si>
    <t>18-10-2007 00:00:00</t>
  </si>
  <si>
    <t>28891397</t>
  </si>
  <si>
    <t>КОО "МИЛЛГРИН ЛИМИТЕД"</t>
  </si>
  <si>
    <t>9909326221</t>
  </si>
  <si>
    <t>502451001</t>
  </si>
  <si>
    <t>26548421</t>
  </si>
  <si>
    <t>МП "Водоканал"</t>
  </si>
  <si>
    <t>5026000090</t>
  </si>
  <si>
    <t>31454488</t>
  </si>
  <si>
    <t>МП "ИНЖТЕХСЕРВИС"</t>
  </si>
  <si>
    <t>5013001748</t>
  </si>
  <si>
    <t>01-10-2020 00:00:00</t>
  </si>
  <si>
    <t>26548249</t>
  </si>
  <si>
    <t>МУП "Водоканал Наро-Фоминского городского округа"</t>
  </si>
  <si>
    <t>5030015500</t>
  </si>
  <si>
    <t>26548269</t>
  </si>
  <si>
    <t>5021012542</t>
  </si>
  <si>
    <t>31778839</t>
  </si>
  <si>
    <t>5027063688</t>
  </si>
  <si>
    <t>26548357</t>
  </si>
  <si>
    <t>5042002584</t>
  </si>
  <si>
    <t>25-08-1992 00:00:00</t>
  </si>
  <si>
    <t>26548075</t>
  </si>
  <si>
    <t>МУП "Домодедовский водоканал"</t>
  </si>
  <si>
    <t>5009034660</t>
  </si>
  <si>
    <t>27-03-2002 00:00:00</t>
  </si>
  <si>
    <t>31341881</t>
  </si>
  <si>
    <t>МУП "Истринская теплосеть"</t>
  </si>
  <si>
    <t>5017046933</t>
  </si>
  <si>
    <t>26-07-2002 00:00:00</t>
  </si>
  <si>
    <t>28823091</t>
  </si>
  <si>
    <t>МУП "Климовский водоканал"</t>
  </si>
  <si>
    <t>5074050830</t>
  </si>
  <si>
    <t>08-07-2014 00:00:00</t>
  </si>
  <si>
    <t>28270279</t>
  </si>
  <si>
    <t>МУП "КомСервис"</t>
  </si>
  <si>
    <t>5042128403</t>
  </si>
  <si>
    <t>04-06-2013 00:00:00</t>
  </si>
  <si>
    <t>31029554</t>
  </si>
  <si>
    <t>МУП "Некрасовский водоканал"</t>
  </si>
  <si>
    <t>5007091951</t>
  </si>
  <si>
    <t>13-11-2014 00:00:00</t>
  </si>
  <si>
    <t>26818252</t>
  </si>
  <si>
    <t>МУП "ПТК"</t>
  </si>
  <si>
    <t>5019022504</t>
  </si>
  <si>
    <t>27-05-2010 00:00:00</t>
  </si>
  <si>
    <t>26548223</t>
  </si>
  <si>
    <t>МУП "Пушкинский Водоканал"</t>
  </si>
  <si>
    <t>5038057693</t>
  </si>
  <si>
    <t>26548144</t>
  </si>
  <si>
    <t>МУП "Реутовский водоканал"</t>
  </si>
  <si>
    <t>5012028497</t>
  </si>
  <si>
    <t>18-02-2005 00:00:00</t>
  </si>
  <si>
    <t>26566851</t>
  </si>
  <si>
    <t>МУП ВКХ "ВОДОКАНАЛ"</t>
  </si>
  <si>
    <t>5006004145</t>
  </si>
  <si>
    <t>03-12-1996 00:00:00</t>
  </si>
  <si>
    <t>26773054</t>
  </si>
  <si>
    <t>МУП ЖКУ МО "Барановский сельсовет"</t>
  </si>
  <si>
    <t>3008005486</t>
  </si>
  <si>
    <t>300801001</t>
  </si>
  <si>
    <t>09-04-2007 00:00:00</t>
  </si>
  <si>
    <t>26650723</t>
  </si>
  <si>
    <t>Московская экономическая школа</t>
  </si>
  <si>
    <t>7703093763</t>
  </si>
  <si>
    <t>503232001</t>
  </si>
  <si>
    <t>01-02-1993 00:00:00</t>
  </si>
  <si>
    <t>26548301</t>
  </si>
  <si>
    <t>Московско-Савеловская дистанция ГС</t>
  </si>
  <si>
    <t>771031001</t>
  </si>
  <si>
    <t>26548173</t>
  </si>
  <si>
    <t>Московско-Савеловская дистанция гражданских сооружений</t>
  </si>
  <si>
    <t>990850372</t>
  </si>
  <si>
    <t>26647696</t>
  </si>
  <si>
    <t>НП «Коттеджный поселок «Городок К»</t>
  </si>
  <si>
    <t>5046063940</t>
  </si>
  <si>
    <t>26567654</t>
  </si>
  <si>
    <t>НП «Резиденции Бенилюкс»</t>
  </si>
  <si>
    <t>5017053899</t>
  </si>
  <si>
    <t>26653548</t>
  </si>
  <si>
    <t>Некоммерческое партнерство «ЛэндиКо»</t>
  </si>
  <si>
    <t>5044052816</t>
  </si>
  <si>
    <t>26654020</t>
  </si>
  <si>
    <t>ОАО  «ЭлИНП»</t>
  </si>
  <si>
    <t>5035000064</t>
  </si>
  <si>
    <t>26650535</t>
  </si>
  <si>
    <t>ОАО  НПО "Наука"</t>
  </si>
  <si>
    <t>7714005350</t>
  </si>
  <si>
    <t>26548037</t>
  </si>
  <si>
    <t>ОАО "Агрофирма "Рогачево"</t>
  </si>
  <si>
    <t>5007007004</t>
  </si>
  <si>
    <t>26548377</t>
  </si>
  <si>
    <t>ОАО "Аннинское"</t>
  </si>
  <si>
    <t>5075018043</t>
  </si>
  <si>
    <t>26774429</t>
  </si>
  <si>
    <t>ОАО "Водоканал"</t>
  </si>
  <si>
    <t>1108020501</t>
  </si>
  <si>
    <t>110801001</t>
  </si>
  <si>
    <t>26357823</t>
  </si>
  <si>
    <t>ОАО "Голицынский ОЗСА"</t>
  </si>
  <si>
    <t>5032012696</t>
  </si>
  <si>
    <t>26357845</t>
  </si>
  <si>
    <t>ОАО "Голицынский автобусный завод"</t>
  </si>
  <si>
    <t>5032063891</t>
  </si>
  <si>
    <t>26807166</t>
  </si>
  <si>
    <t>ОАО "Кимпор"</t>
  </si>
  <si>
    <t>5074000276</t>
  </si>
  <si>
    <t>26548253</t>
  </si>
  <si>
    <t>ОАО "Люберецкий ГОК"</t>
  </si>
  <si>
    <t>5027035553</t>
  </si>
  <si>
    <t>27581374</t>
  </si>
  <si>
    <t>ОАО "НПП "Звезда"</t>
  </si>
  <si>
    <t>5027030107</t>
  </si>
  <si>
    <t>26548303</t>
  </si>
  <si>
    <t>ОАО "Одинцовский Водоканал"</t>
  </si>
  <si>
    <t>5032199733</t>
  </si>
  <si>
    <t>26511013</t>
  </si>
  <si>
    <t>ОАО "Особое конструкторское бюро кабельной промышленности"</t>
  </si>
  <si>
    <t>5029150262</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</si>
  <si>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</si>
  <si>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</si>
  <si>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</si>
  <si>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</si>
  <si>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26548329</t>
  </si>
  <si>
    <t>ОАО "Раменский комбинат хлебопродуктов имени В.Я.Печенова"</t>
  </si>
  <si>
    <t>5040009908</t>
  </si>
  <si>
    <t>26548423</t>
  </si>
  <si>
    <t>ОАО "Речицкий фарфоровый завод"</t>
  </si>
  <si>
    <t>5040003695</t>
  </si>
  <si>
    <t>26650697</t>
  </si>
  <si>
    <t>ОАО "Трест Мособлстрой № 6"</t>
  </si>
  <si>
    <t>5032001704</t>
  </si>
  <si>
    <t>26649181</t>
  </si>
  <si>
    <t>ОАО "УСК МОСТ"</t>
  </si>
  <si>
    <t>7702322731</t>
  </si>
  <si>
    <t>26548285</t>
  </si>
  <si>
    <t>ОАО "ФСК ЕЭС"</t>
  </si>
  <si>
    <t>4716016979</t>
  </si>
  <si>
    <t>26548343</t>
  </si>
  <si>
    <t>ОАО "Химкинский водоканал"</t>
  </si>
  <si>
    <t>5047081156</t>
  </si>
  <si>
    <t>26357933</t>
  </si>
  <si>
    <t>ОАО "Хотьковский автомост"</t>
  </si>
  <si>
    <t>5042001439</t>
  </si>
  <si>
    <t>27581218</t>
  </si>
  <si>
    <t>ОАО "Ямское поле"</t>
  </si>
  <si>
    <t>7714802161</t>
  </si>
  <si>
    <t>26504910</t>
  </si>
  <si>
    <t>ОАО «НИИАО»</t>
  </si>
  <si>
    <t>5040106669</t>
  </si>
  <si>
    <t>26781023</t>
  </si>
  <si>
    <t>ОАО «Пансионат отдыха Новогорск»</t>
  </si>
  <si>
    <t>5047018669</t>
  </si>
  <si>
    <t>26548219</t>
  </si>
  <si>
    <t>ОНО ППЗ "Кучинский"</t>
  </si>
  <si>
    <t>5001000605</t>
  </si>
  <si>
    <t>30951559</t>
  </si>
  <si>
    <t>ООО "АГАЛАРОВ ЭСТЭЙТ"</t>
  </si>
  <si>
    <t>5024101945</t>
  </si>
  <si>
    <t>26649271</t>
  </si>
  <si>
    <t>ООО "АЛЬФА-ВИТ"</t>
  </si>
  <si>
    <t>5038064250</t>
  </si>
  <si>
    <t>31612533</t>
  </si>
  <si>
    <t>ООО "АПК Шатурский"</t>
  </si>
  <si>
    <t>5049023865</t>
  </si>
  <si>
    <t>25-10-2017 00:00:00</t>
  </si>
  <si>
    <t>31528995</t>
  </si>
  <si>
    <t>ООО "Агидель"</t>
  </si>
  <si>
    <t>7704700820</t>
  </si>
  <si>
    <t>31153741</t>
  </si>
  <si>
    <t>ООО "Агранта"</t>
  </si>
  <si>
    <t>7724671888</t>
  </si>
  <si>
    <t>20-08-2008 00:00:00</t>
  </si>
  <si>
    <t>31500085</t>
  </si>
  <si>
    <t>ООО "Агроком"</t>
  </si>
  <si>
    <t>5032202136</t>
  </si>
  <si>
    <t>03-04-2015 00:00:00</t>
  </si>
  <si>
    <t>30984401</t>
  </si>
  <si>
    <t>ООО "АкваРесурс-АП"</t>
  </si>
  <si>
    <t>5050116465</t>
  </si>
  <si>
    <t>25-02-2015 00:00:00</t>
  </si>
  <si>
    <t>31752813</t>
  </si>
  <si>
    <t>ООО "Арктур"</t>
  </si>
  <si>
    <t>9702023975</t>
  </si>
  <si>
    <t>13-10-2020 00:00:00</t>
  </si>
  <si>
    <t>31519386</t>
  </si>
  <si>
    <t>ООО "БАРАКАТ ГРУПП"</t>
  </si>
  <si>
    <t>7720790436</t>
  </si>
  <si>
    <t>04-09-2013 00:00:00</t>
  </si>
  <si>
    <t>26548355</t>
  </si>
  <si>
    <t>ООО "Белостолбовская универсальная оптовая торговая база МСПК</t>
  </si>
  <si>
    <t>5009040173</t>
  </si>
  <si>
    <t>997650009</t>
  </si>
  <si>
    <t>31463816</t>
  </si>
  <si>
    <t>ООО "Белый берег"</t>
  </si>
  <si>
    <t>5040067988</t>
  </si>
  <si>
    <t>26807294</t>
  </si>
  <si>
    <t>ООО "В Берлоге"</t>
  </si>
  <si>
    <t>5022088287</t>
  </si>
  <si>
    <t>10-12-2007 00:00:00</t>
  </si>
  <si>
    <t>31769740</t>
  </si>
  <si>
    <t>ООО "ВОДАНА"</t>
  </si>
  <si>
    <t>5047299956</t>
  </si>
  <si>
    <t>17-09-2024 00:00:00</t>
  </si>
  <si>
    <t>28426823</t>
  </si>
  <si>
    <t>ООО "Водоканал"</t>
  </si>
  <si>
    <t>5078018370</t>
  </si>
  <si>
    <t>26567454</t>
  </si>
  <si>
    <t>ООО "Водосервис"</t>
  </si>
  <si>
    <t>7720535852</t>
  </si>
  <si>
    <t>27-09-2005 00:00:00</t>
  </si>
  <si>
    <t>31042073</t>
  </si>
  <si>
    <t>ООО "ГИПЕРГЛОБУС"</t>
  </si>
  <si>
    <t>7743543761</t>
  </si>
  <si>
    <t>997150001</t>
  </si>
  <si>
    <t>14-11-2004 00:00:00</t>
  </si>
  <si>
    <t>31551978</t>
  </si>
  <si>
    <t>ООО "ГК "Меридиан"</t>
  </si>
  <si>
    <t>5005055387</t>
  </si>
  <si>
    <t>19-04-2012 00:00:00</t>
  </si>
  <si>
    <t>31504026</t>
  </si>
  <si>
    <t>ООО "ГРК"</t>
  </si>
  <si>
    <t>7730249265</t>
  </si>
  <si>
    <t>13-02-2019 00:00:00</t>
  </si>
  <si>
    <t>27584082</t>
  </si>
  <si>
    <t>ООО "Гермес-Сервис"</t>
  </si>
  <si>
    <t>5072000016</t>
  </si>
  <si>
    <t>31752818</t>
  </si>
  <si>
    <t>ООО "Д-Аква"</t>
  </si>
  <si>
    <t>9703167338</t>
  </si>
  <si>
    <t>26-12-2023 00:00:00</t>
  </si>
  <si>
    <t>31538852</t>
  </si>
  <si>
    <t>ООО "ДАНАЛИТ"</t>
  </si>
  <si>
    <t>7729409933</t>
  </si>
  <si>
    <t>26-10-2001 00:00:00</t>
  </si>
  <si>
    <t>28546531</t>
  </si>
  <si>
    <t>ООО "Дизайн-Студия "Маренго"</t>
  </si>
  <si>
    <t>5036052153</t>
  </si>
  <si>
    <t>20-01-2013 00:00:00</t>
  </si>
  <si>
    <t>26548136</t>
  </si>
  <si>
    <t>ООО "Дирекция Голицыно-3"</t>
  </si>
  <si>
    <t>5030070371</t>
  </si>
  <si>
    <t>26357612</t>
  </si>
  <si>
    <t>ООО "Дмитровтеплосервис"</t>
  </si>
  <si>
    <t>5007048177</t>
  </si>
  <si>
    <t>26548067</t>
  </si>
  <si>
    <t>997650011</t>
  </si>
  <si>
    <t>28499338</t>
  </si>
  <si>
    <t>ООО "Дулевский фарфор"</t>
  </si>
  <si>
    <t>5034043989</t>
  </si>
  <si>
    <t>12-05-2012 00:00:00</t>
  </si>
  <si>
    <t>26548017</t>
  </si>
  <si>
    <t>ООО "ЕвроАльянс-Агро"</t>
  </si>
  <si>
    <t>5050050408</t>
  </si>
  <si>
    <t>20-12-2004 00:00:00</t>
  </si>
  <si>
    <t>31391531</t>
  </si>
  <si>
    <t>ООО "ЖКС"</t>
  </si>
  <si>
    <t>5078023972</t>
  </si>
  <si>
    <t>27-12-2019 00:00:00</t>
  </si>
  <si>
    <t>28983753</t>
  </si>
  <si>
    <t>ООО "ЖКХ "Водоканал +"</t>
  </si>
  <si>
    <t>7706765710</t>
  </si>
  <si>
    <t>23-11-2011 00:00:00</t>
  </si>
  <si>
    <t>28147571</t>
  </si>
  <si>
    <t>ООО "ЖКХ "Водоканал+"</t>
  </si>
  <si>
    <t>771901001</t>
  </si>
  <si>
    <t>27584014</t>
  </si>
  <si>
    <t>5072723022</t>
  </si>
  <si>
    <t>31000194</t>
  </si>
  <si>
    <t>ООО "ЗЭИМ "Элинар"</t>
  </si>
  <si>
    <t>5030084430</t>
  </si>
  <si>
    <t>12-01-2015 00:00:00</t>
  </si>
  <si>
    <t>31032979</t>
  </si>
  <si>
    <t>ООО "ИКМ"</t>
  </si>
  <si>
    <t>5050103314</t>
  </si>
  <si>
    <t>20-03-2013 00:00:00</t>
  </si>
  <si>
    <t>30363595</t>
  </si>
  <si>
    <t>ООО "Исток"</t>
  </si>
  <si>
    <t>5022047121</t>
  </si>
  <si>
    <t>24-12-2014 00:00:00</t>
  </si>
  <si>
    <t>26548071</t>
  </si>
  <si>
    <t>ООО "Источник"</t>
  </si>
  <si>
    <t>5052017950</t>
  </si>
  <si>
    <t>09-10-2007 00:00:00</t>
  </si>
  <si>
    <t>31709584</t>
  </si>
  <si>
    <t>ООО "КОМПЛЕКТСЕРВИС"</t>
  </si>
  <si>
    <t>5017116387</t>
  </si>
  <si>
    <t>31519309</t>
  </si>
  <si>
    <t>ООО "КП Рождествено"</t>
  </si>
  <si>
    <t>5027281830</t>
  </si>
  <si>
    <t>773501001</t>
  </si>
  <si>
    <t>19-11-2019 00:00:00</t>
  </si>
  <si>
    <t>30938624</t>
  </si>
  <si>
    <t>ООО "КЦИТО"</t>
  </si>
  <si>
    <t>3702691259</t>
  </si>
  <si>
    <t>05-02-2013 00:00:00</t>
  </si>
  <si>
    <t>26548425</t>
  </si>
  <si>
    <t>ООО "Канал-Сервис"</t>
  </si>
  <si>
    <t>5013044981</t>
  </si>
  <si>
    <t>28882610</t>
  </si>
  <si>
    <t>ООО "Коммунальный Сервис"</t>
  </si>
  <si>
    <t>6914017720</t>
  </si>
  <si>
    <t>691401001</t>
  </si>
  <si>
    <t>02-07-2014 00:00:00</t>
  </si>
  <si>
    <t>30849611</t>
  </si>
  <si>
    <t>ООО "Комплекс Чигасово"</t>
  </si>
  <si>
    <t>5032273137</t>
  </si>
  <si>
    <t>22-11-2013 00:00:00</t>
  </si>
  <si>
    <t>31618161</t>
  </si>
  <si>
    <t>ООО "Комфорт"</t>
  </si>
  <si>
    <t>7728821502</t>
  </si>
  <si>
    <t>12-10-2012 00:00:00</t>
  </si>
  <si>
    <t>26548407</t>
  </si>
  <si>
    <t>ООО "Континент"</t>
  </si>
  <si>
    <t>7706610360</t>
  </si>
  <si>
    <t>31383347</t>
  </si>
  <si>
    <t>ООО "Красинжвода"</t>
  </si>
  <si>
    <t>5040133920</t>
  </si>
  <si>
    <t>24-10-2014 00:00:00</t>
  </si>
  <si>
    <t>28816947</t>
  </si>
  <si>
    <t>ООО "КреативКом"</t>
  </si>
  <si>
    <t>7709627637</t>
  </si>
  <si>
    <t>26-08-2005 00:00:00</t>
  </si>
  <si>
    <t>26548399</t>
  </si>
  <si>
    <t>ООО "Кузнецовский комбинат"</t>
  </si>
  <si>
    <t>5030049820</t>
  </si>
  <si>
    <t>28814804</t>
  </si>
  <si>
    <t>ООО "ЛУХОВИЦКИЙ 1"</t>
  </si>
  <si>
    <t>5072724594</t>
  </si>
  <si>
    <t>24-08-2007 00:00:00</t>
  </si>
  <si>
    <t>28544686</t>
  </si>
  <si>
    <t>ООО "Ларус"</t>
  </si>
  <si>
    <t>5003101461</t>
  </si>
  <si>
    <t>30-05-2012 00:00:00</t>
  </si>
  <si>
    <t>26548391</t>
  </si>
  <si>
    <t>ООО "Ленинский луч"</t>
  </si>
  <si>
    <t>7838024355</t>
  </si>
  <si>
    <t>26548097</t>
  </si>
  <si>
    <t>ООО "Лесные Поляны"</t>
  </si>
  <si>
    <t>5032070610</t>
  </si>
  <si>
    <t>31391257</t>
  </si>
  <si>
    <t>ООО "ЛюксСервис"</t>
  </si>
  <si>
    <t>5032242266</t>
  </si>
  <si>
    <t>05-09-2011 00:00:00</t>
  </si>
  <si>
    <t>30431938</t>
  </si>
  <si>
    <t>ООО "МДК"</t>
  </si>
  <si>
    <t>5007041559</t>
  </si>
  <si>
    <t>02-04-2003 00:00:00</t>
  </si>
  <si>
    <t>30363660</t>
  </si>
  <si>
    <t>ООО "МИКРОРАЙОН ЧИСТЫЕ ПРУДЫ"</t>
  </si>
  <si>
    <t>5038105805</t>
  </si>
  <si>
    <t>19-04-2014 00:00:00</t>
  </si>
  <si>
    <t>28875144</t>
  </si>
  <si>
    <t>ООО "МИРУМ"</t>
  </si>
  <si>
    <t>5032173580</t>
  </si>
  <si>
    <t>11-09-2009 00:00:00</t>
  </si>
  <si>
    <t>31616117</t>
  </si>
  <si>
    <t>ООО "МФЦ НОВОРИЖСКИЙ"</t>
  </si>
  <si>
    <t>5024173322</t>
  </si>
  <si>
    <t>02-03-2017 00:00:00</t>
  </si>
  <si>
    <t>27580828</t>
  </si>
  <si>
    <t>ООО "Маркет Сервис"</t>
  </si>
  <si>
    <t>5024104907</t>
  </si>
  <si>
    <t>29-10-2009 00:00:00</t>
  </si>
  <si>
    <t>27579088</t>
  </si>
  <si>
    <t>ООО "Мега-Мечта"</t>
  </si>
  <si>
    <t>5007036044</t>
  </si>
  <si>
    <t>31710715</t>
  </si>
  <si>
    <t>ООО "НЕМАН"</t>
  </si>
  <si>
    <t>5051321516</t>
  </si>
  <si>
    <t>31771696</t>
  </si>
  <si>
    <t>ООО "НКС"</t>
  </si>
  <si>
    <t>9703186281</t>
  </si>
  <si>
    <t>31464107</t>
  </si>
  <si>
    <t>ООО "Нахабино Кантри"</t>
  </si>
  <si>
    <t>7714783631</t>
  </si>
  <si>
    <t>30-06-2009 00:00:00</t>
  </si>
  <si>
    <t>27580846</t>
  </si>
  <si>
    <t>ООО "Новорижское"</t>
  </si>
  <si>
    <t>5024085718</t>
  </si>
  <si>
    <t>31209325</t>
  </si>
  <si>
    <t>ООО "Обушково"</t>
  </si>
  <si>
    <t>5017095289</t>
  </si>
  <si>
    <t>13-08-2012 00:00:00</t>
  </si>
  <si>
    <t>26650539</t>
  </si>
  <si>
    <t>ООО "Одинцовская РЭС"</t>
  </si>
  <si>
    <t>5032205793</t>
  </si>
  <si>
    <t>27584075</t>
  </si>
  <si>
    <t>ООО "Ока-Сервис"</t>
  </si>
  <si>
    <t>5072725703</t>
  </si>
  <si>
    <t>31640124</t>
  </si>
  <si>
    <t>ООО "Опытный завод № 31 ГА"</t>
  </si>
  <si>
    <t>5050153869</t>
  </si>
  <si>
    <t>01-02-2022 00:00:00</t>
  </si>
  <si>
    <t>26548079</t>
  </si>
  <si>
    <t>ООО "Орехово-Зуевский городской Водоканал"</t>
  </si>
  <si>
    <t>5034027835</t>
  </si>
  <si>
    <t>26650727</t>
  </si>
  <si>
    <t>ООО "ПЖК Николино"</t>
  </si>
  <si>
    <t>5032118935</t>
  </si>
  <si>
    <t>31-08-2004 00:00:00</t>
  </si>
  <si>
    <t>26548259</t>
  </si>
  <si>
    <t>ООО "ПКФ Фин-Строй"</t>
  </si>
  <si>
    <t>5025021072</t>
  </si>
  <si>
    <t>05-07-2004 00:00:00</t>
  </si>
  <si>
    <t>27725327</t>
  </si>
  <si>
    <t>ООО "ПРОСТОР-СФ"</t>
  </si>
  <si>
    <t>7713275106</t>
  </si>
  <si>
    <t>23-10-2002 00:00:00</t>
  </si>
  <si>
    <t>28978321</t>
  </si>
  <si>
    <t>ООО "ПТИЦЕФАБРИКА "ЭЛИНАР-БРОЙЛЕР"</t>
  </si>
  <si>
    <t>5030084600</t>
  </si>
  <si>
    <t>02-02-2015 00:00:00</t>
  </si>
  <si>
    <t>30918175</t>
  </si>
  <si>
    <t>ООО "Павловский водоканал"</t>
  </si>
  <si>
    <t>7731286333</t>
  </si>
  <si>
    <t>29-05-2015 00:00:00</t>
  </si>
  <si>
    <t>28493168</t>
  </si>
  <si>
    <t>ООО "Панорама-Сервис"</t>
  </si>
  <si>
    <t>7722583812</t>
  </si>
  <si>
    <t>26784883</t>
  </si>
  <si>
    <t>ООО "Пансионат "Соколова Пустынь"</t>
  </si>
  <si>
    <t>5045047030</t>
  </si>
  <si>
    <t>26802844</t>
  </si>
  <si>
    <t>ООО "Производственно-строительный концерн "21-ый век"</t>
  </si>
  <si>
    <t>5038024987</t>
  </si>
  <si>
    <t>26648006</t>
  </si>
  <si>
    <t>ООО "Промстрой М"</t>
  </si>
  <si>
    <t>7708605221</t>
  </si>
  <si>
    <t>10-07-2006 00:00:00</t>
  </si>
  <si>
    <t>28980896</t>
  </si>
  <si>
    <t>ООО "Профсервис"</t>
  </si>
  <si>
    <t>5003111170</t>
  </si>
  <si>
    <t>08-10-2014 00:00:00</t>
  </si>
  <si>
    <t>26548299</t>
  </si>
  <si>
    <t>ООО "РАО Энерго-АПИ"</t>
  </si>
  <si>
    <t>7704219641</t>
  </si>
  <si>
    <t>26812352</t>
  </si>
  <si>
    <t>ООО "РИАЛ"</t>
  </si>
  <si>
    <t>7733653934</t>
  </si>
  <si>
    <t>28534129</t>
  </si>
  <si>
    <t>ООО "Рапид+"</t>
  </si>
  <si>
    <t>5032050557</t>
  </si>
  <si>
    <t>24-12-1998 00:00:00</t>
  </si>
  <si>
    <t>30880197</t>
  </si>
  <si>
    <t>ООО "Регион Индустрия"</t>
  </si>
  <si>
    <t>7707595620</t>
  </si>
  <si>
    <t>25-07-2006 00:00:00</t>
  </si>
  <si>
    <t>31519919</t>
  </si>
  <si>
    <t>ООО "Ричи Проперти Менеджмент Спрингз"</t>
  </si>
  <si>
    <t>5040068004</t>
  </si>
  <si>
    <t>10-11-2005 00:00:00</t>
  </si>
  <si>
    <t>31776411</t>
  </si>
  <si>
    <t>ООО "СЕТЕВИК"</t>
  </si>
  <si>
    <t>5017114809</t>
  </si>
  <si>
    <t>28456477</t>
  </si>
  <si>
    <t>ООО "СЗС"</t>
  </si>
  <si>
    <t>5045030357</t>
  </si>
  <si>
    <t>02-07-2003 00:00:00</t>
  </si>
  <si>
    <t>30798015</t>
  </si>
  <si>
    <t>ООО "СКАЙЛАЙН ГОЛД"</t>
  </si>
  <si>
    <t>7704635120</t>
  </si>
  <si>
    <t>31384081</t>
  </si>
  <si>
    <t>ООО "СКС "</t>
  </si>
  <si>
    <t>5030095070</t>
  </si>
  <si>
    <t>21-11-2018 00:00:00</t>
  </si>
  <si>
    <t>31460554</t>
  </si>
  <si>
    <t>ООО "Самолет-Ресурс"</t>
  </si>
  <si>
    <t>9731034918</t>
  </si>
  <si>
    <t>26548057</t>
  </si>
  <si>
    <t>ООО "Селятинские коммунальные системы Гидромонтаж"</t>
  </si>
  <si>
    <t>5030049154</t>
  </si>
  <si>
    <t>26358030</t>
  </si>
  <si>
    <t>ООО "Совхоз "Электростальский"</t>
  </si>
  <si>
    <t>5053040581</t>
  </si>
  <si>
    <t>31747338</t>
  </si>
  <si>
    <t>ООО "Специализированный застройщик "Галс-Форте"</t>
  </si>
  <si>
    <t>9705150273</t>
  </si>
  <si>
    <t>30-11-2020 00:00:00</t>
  </si>
  <si>
    <t>28816193</t>
  </si>
  <si>
    <t>ООО "Стройсоюз-Сервис"</t>
  </si>
  <si>
    <t>5027167447</t>
  </si>
  <si>
    <t>26548225</t>
  </si>
  <si>
    <t>5031060930</t>
  </si>
  <si>
    <t>09-02-2005 00:00:00</t>
  </si>
  <si>
    <t>30797744</t>
  </si>
  <si>
    <t>ООО "ТЕПЛО-ЭКСПЕРТ"</t>
  </si>
  <si>
    <t>5042120901</t>
  </si>
  <si>
    <t>29-08-2011 00:00:00</t>
  </si>
  <si>
    <t>27579111</t>
  </si>
  <si>
    <t>ООО "ТЕТА"</t>
  </si>
  <si>
    <t>5007070670</t>
  </si>
  <si>
    <t>31480475</t>
  </si>
  <si>
    <t>ООО "Теплоэксперт"</t>
  </si>
  <si>
    <t>7730256826</t>
  </si>
  <si>
    <t>18-03-2020 00:00:00</t>
  </si>
  <si>
    <t>31538839</t>
  </si>
  <si>
    <t>ООО "Терра-Проф"</t>
  </si>
  <si>
    <t>5024207405</t>
  </si>
  <si>
    <t>14-09-2020 00:00:00</t>
  </si>
  <si>
    <t>31390889</t>
  </si>
  <si>
    <t>ООО "Технопарк ЛК"</t>
  </si>
  <si>
    <t>5042150039</t>
  </si>
  <si>
    <t>26-12-2018 00:00:00</t>
  </si>
  <si>
    <t>31109608</t>
  </si>
  <si>
    <t>ООО "УК КОМФОРТ"</t>
  </si>
  <si>
    <t>5031127736</t>
  </si>
  <si>
    <t>07-11-2017 00:00:00</t>
  </si>
  <si>
    <t>31761569</t>
  </si>
  <si>
    <t>ООО "УПРАВЛЯЮЩАЯ КОМПАНИЯ "ОЛИМП СЕРВИС"</t>
  </si>
  <si>
    <t>5045071681</t>
  </si>
  <si>
    <t>26649278</t>
  </si>
  <si>
    <t>ООО "Уника"</t>
  </si>
  <si>
    <t>7702582881</t>
  </si>
  <si>
    <t>31416419</t>
  </si>
  <si>
    <t>ООО "Управляющая компания "КЕМБРИДЖ Сервис"</t>
  </si>
  <si>
    <t>7751012563</t>
  </si>
  <si>
    <t>17-04-2020 00:00:00</t>
  </si>
  <si>
    <t>26820962</t>
  </si>
  <si>
    <t>ООО "Управляющая компания КВ"</t>
  </si>
  <si>
    <t>5032065264</t>
  </si>
  <si>
    <t>28444994</t>
  </si>
  <si>
    <t>ООО "Усадьба Зайцево"</t>
  </si>
  <si>
    <t>5032164603</t>
  </si>
  <si>
    <t>27-02-2007 00:00:00</t>
  </si>
  <si>
    <t>28507413</t>
  </si>
  <si>
    <t>ООО "Успенка-М"</t>
  </si>
  <si>
    <t>5032238647</t>
  </si>
  <si>
    <t>07-10-1996 00:00:00</t>
  </si>
  <si>
    <t>26548381</t>
  </si>
  <si>
    <t>ООО "Чайка"</t>
  </si>
  <si>
    <t>5025017750</t>
  </si>
  <si>
    <t>12-12-2022 00:00:00</t>
  </si>
  <si>
    <t>31660470</t>
  </si>
  <si>
    <t>ООО "ЩЁЛКОВСКИЙ ВОДОКАНАЛ"</t>
  </si>
  <si>
    <t>5050148700</t>
  </si>
  <si>
    <t>11-11-2020 00:00:00</t>
  </si>
  <si>
    <t>31715979</t>
  </si>
  <si>
    <t>ООО "ЭЛИТ ЭСТЕЙТ"</t>
  </si>
  <si>
    <t>5032178691</t>
  </si>
  <si>
    <t>26548181</t>
  </si>
  <si>
    <t>ООО "Эко-Жилком"</t>
  </si>
  <si>
    <t>5007041140</t>
  </si>
  <si>
    <t>30890574</t>
  </si>
  <si>
    <t>ООО "Экодолье Шолохово"</t>
  </si>
  <si>
    <t>7710918895</t>
  </si>
  <si>
    <t>17-08-2012 00:00:00</t>
  </si>
  <si>
    <t>31416274</t>
  </si>
  <si>
    <t>ООО "Экосервис Шолохово"</t>
  </si>
  <si>
    <t>5029202231</t>
  </si>
  <si>
    <t>01-04-2020 00:00:00</t>
  </si>
  <si>
    <t>28423226</t>
  </si>
  <si>
    <t>ООО "Экосервис"</t>
  </si>
  <si>
    <t>5015011237</t>
  </si>
  <si>
    <t>31312785</t>
  </si>
  <si>
    <t>ООО "Южный Водоканал"</t>
  </si>
  <si>
    <t>5009057184</t>
  </si>
  <si>
    <t>16-03-2007 00:00:00</t>
  </si>
  <si>
    <t>26803937</t>
  </si>
  <si>
    <t>ООО "Ямал-Ф"</t>
  </si>
  <si>
    <t>5012021741</t>
  </si>
  <si>
    <t>01-02-2014 00:00:00</t>
  </si>
  <si>
    <t>31749589</t>
  </si>
  <si>
    <t>ООО «ВКС»</t>
  </si>
  <si>
    <t>5029266203</t>
  </si>
  <si>
    <t>18-11-2021 00:00:00</t>
  </si>
  <si>
    <t>26778015</t>
  </si>
  <si>
    <t>ООО «Звенигородский городской водоканал»</t>
  </si>
  <si>
    <t>5015011318</t>
  </si>
  <si>
    <t>25-02-2010 00:00:00</t>
  </si>
  <si>
    <t>30797970</t>
  </si>
  <si>
    <t>ООО «ИСТРА-Девелопмент»</t>
  </si>
  <si>
    <t>7725589361</t>
  </si>
  <si>
    <t>772501001</t>
  </si>
  <si>
    <t>26-11-2006 00:00:00</t>
  </si>
  <si>
    <t>26567652</t>
  </si>
  <si>
    <t>ООО «Инжводком»</t>
  </si>
  <si>
    <t>5017051524</t>
  </si>
  <si>
    <t>31538829</t>
  </si>
  <si>
    <t>ООО «КУТУЗОВСКИЙ ВОДОКАНАЛ»</t>
  </si>
  <si>
    <t>7733371802</t>
  </si>
  <si>
    <t>04-08-2021 00:00:00</t>
  </si>
  <si>
    <t>26548333</t>
  </si>
  <si>
    <t>ООО «Крыша»</t>
  </si>
  <si>
    <t>5038046356</t>
  </si>
  <si>
    <t>14-03-2005 00:00:00</t>
  </si>
  <si>
    <t>31701313</t>
  </si>
  <si>
    <t>ООО «ПО СК»</t>
  </si>
  <si>
    <t>7736573934</t>
  </si>
  <si>
    <t>12-03-2008 00:00:00</t>
  </si>
  <si>
    <t>30848988</t>
  </si>
  <si>
    <t>ООО «Софрино»</t>
  </si>
  <si>
    <t>5038122053</t>
  </si>
  <si>
    <t>27-07-2016 00:00:00</t>
  </si>
  <si>
    <t>26649179</t>
  </si>
  <si>
    <t>ООО «Таркетт Соммер»</t>
  </si>
  <si>
    <t>7727223490</t>
  </si>
  <si>
    <t>30881490</t>
  </si>
  <si>
    <t>ООО «УК «Авеню-Сервис»</t>
  </si>
  <si>
    <t>5017109559</t>
  </si>
  <si>
    <t>31461757</t>
  </si>
  <si>
    <t>ООО «УК «Комфорт»</t>
  </si>
  <si>
    <t>5050100673</t>
  </si>
  <si>
    <t>31-10-2012 00:00:00</t>
  </si>
  <si>
    <t>31628222</t>
  </si>
  <si>
    <t>ООО «УК «ПАРК ФОНТЕ»</t>
  </si>
  <si>
    <t>5017124540</t>
  </si>
  <si>
    <t>10-11-2020 00:00:00</t>
  </si>
  <si>
    <t>31628212</t>
  </si>
  <si>
    <t>ООО «УК «ФУТУРО-СЕРВИС»</t>
  </si>
  <si>
    <t>5017116242</t>
  </si>
  <si>
    <t>16-03-2018 00:00:00</t>
  </si>
  <si>
    <t>31462836</t>
  </si>
  <si>
    <t>ООО «УК Северные Земли»</t>
  </si>
  <si>
    <t>7708711759</t>
  </si>
  <si>
    <t>31761085</t>
  </si>
  <si>
    <t>ООО «УК ТЕХНОЛОГИИ ИНВЕСТИЦИЙ»</t>
  </si>
  <si>
    <t>5007074032</t>
  </si>
  <si>
    <t>19-02-2010 00:00:00</t>
  </si>
  <si>
    <t>31210727</t>
  </si>
  <si>
    <t>ООО «Управляющая компания БАРЭКС-2»</t>
  </si>
  <si>
    <t>7702682100</t>
  </si>
  <si>
    <t>19-08-2008 00:00:00</t>
  </si>
  <si>
    <t>26654025</t>
  </si>
  <si>
    <t>ООО «Чистый город»</t>
  </si>
  <si>
    <t>7831000122</t>
  </si>
  <si>
    <t>500343001</t>
  </si>
  <si>
    <t>26654031</t>
  </si>
  <si>
    <t>ООО «Элинком»</t>
  </si>
  <si>
    <t>5035025990</t>
  </si>
  <si>
    <t>26548043</t>
  </si>
  <si>
    <t>ООО АПК "Шатурский"</t>
  </si>
  <si>
    <t>5049018880</t>
  </si>
  <si>
    <t>31381098</t>
  </si>
  <si>
    <t>ООО Кутузовское-1</t>
  </si>
  <si>
    <t>5044074560</t>
  </si>
  <si>
    <t>05-08-2014 00:00:00</t>
  </si>
  <si>
    <t>31710705</t>
  </si>
  <si>
    <t>ООО ПЛЕМЗАВОД "БАРЫБИНО"</t>
  </si>
  <si>
    <t>5009097370</t>
  </si>
  <si>
    <t>28979581</t>
  </si>
  <si>
    <t>ООО УК "Полянка"</t>
  </si>
  <si>
    <t>5038111848</t>
  </si>
  <si>
    <t>27-02-2015 00:00:00</t>
  </si>
  <si>
    <t>31689430</t>
  </si>
  <si>
    <t>ПАО "Газпром"</t>
  </si>
  <si>
    <t>781401001</t>
  </si>
  <si>
    <t>31734423</t>
  </si>
  <si>
    <t>26653045</t>
  </si>
  <si>
    <t>СПК "Сельхозпродукты-2"</t>
  </si>
  <si>
    <t>5014008792</t>
  </si>
  <si>
    <t>04-01-2003 00:00:00</t>
  </si>
  <si>
    <t>26548167</t>
  </si>
  <si>
    <t>СПК "Чеховское"</t>
  </si>
  <si>
    <t>5048040297</t>
  </si>
  <si>
    <t>26806038</t>
  </si>
  <si>
    <t>УФСБ России по г. Москве и Московской области</t>
  </si>
  <si>
    <t>7702148402</t>
  </si>
  <si>
    <t>30-08-2001 00:00:00</t>
  </si>
  <si>
    <t>31578213</t>
  </si>
  <si>
    <t>ФАУ "ЦАГИ"</t>
  </si>
  <si>
    <t>5040177331</t>
  </si>
  <si>
    <t>01-03-2022 00:00:00</t>
  </si>
  <si>
    <t>26573412</t>
  </si>
  <si>
    <t>ФГАУ "Оздоровительный комплекс "Архангельское" УДП РФ</t>
  </si>
  <si>
    <t>5003004002</t>
  </si>
  <si>
    <t>31247335</t>
  </si>
  <si>
    <t>ФГБУ "ИМГРЭ" (Филиал ФГБУ "ИМГРЭ" БГГЭ)</t>
  </si>
  <si>
    <t>7731394160</t>
  </si>
  <si>
    <t>04-12-2017 00:00:00</t>
  </si>
  <si>
    <t>26436646</t>
  </si>
  <si>
    <t>ФГБУ "Канал им.Москвы"</t>
  </si>
  <si>
    <t>7733231361</t>
  </si>
  <si>
    <t>31601784</t>
  </si>
  <si>
    <t>ФГБУ НИИР</t>
  </si>
  <si>
    <t>9709082715</t>
  </si>
  <si>
    <t>31628235</t>
  </si>
  <si>
    <t>ФГКУ «ЦЭО ВОЙСК НАЦИОНАЛЬНОЙ ГВАРДИИ»</t>
  </si>
  <si>
    <t>9722001360</t>
  </si>
  <si>
    <t>30-04-2021 00:00:00</t>
  </si>
  <si>
    <t>26647745</t>
  </si>
  <si>
    <t>ФГКУ Дом отдыха «ПОДМОСКОВНЫЕ ВЕЧЕРА»</t>
  </si>
  <si>
    <t>5046005561</t>
  </si>
  <si>
    <t>26548295</t>
  </si>
  <si>
    <t>ФГУ "Дом отдыха "Одинцово"</t>
  </si>
  <si>
    <t>5032001006</t>
  </si>
  <si>
    <t>26548179</t>
  </si>
  <si>
    <t>ФГУ "ОС "Подмосковье" УДП РФ</t>
  </si>
  <si>
    <t>997650013</t>
  </si>
  <si>
    <t>26357841</t>
  </si>
  <si>
    <t>ФГУ "Центр реабилитации Управления делами президента"</t>
  </si>
  <si>
    <t>5032039680</t>
  </si>
  <si>
    <t>26548193</t>
  </si>
  <si>
    <t>ФГУ НЦ БМТ РАМН "Белый мох"</t>
  </si>
  <si>
    <t>7709379649</t>
  </si>
  <si>
    <t>503502001</t>
  </si>
  <si>
    <t>26548051</t>
  </si>
  <si>
    <t>ФГУП "ВНИИА" им. Н.Л.Духова ДОЛ "Искорка"</t>
  </si>
  <si>
    <t>7707074137</t>
  </si>
  <si>
    <t>997650015</t>
  </si>
  <si>
    <t>26548437</t>
  </si>
  <si>
    <t>ФГУП "Гостиница "Золотое кольцо"</t>
  </si>
  <si>
    <t>7704218503</t>
  </si>
  <si>
    <t>26548365</t>
  </si>
  <si>
    <t>ФГУП "государственный фонд кинофильмов РФ"</t>
  </si>
  <si>
    <t>997650014</t>
  </si>
  <si>
    <t>30896278</t>
  </si>
  <si>
    <t>ФКОО «ЛИДКОМ ИНВЕСТМЕНТС ЛИМИТЕД»</t>
  </si>
  <si>
    <t>9909369754</t>
  </si>
  <si>
    <t>774751001</t>
  </si>
  <si>
    <t>01-06-2012 00:00:00</t>
  </si>
  <si>
    <t>28268327</t>
  </si>
  <si>
    <t>Филиал ГУП МО "КС МО" "ВСВ"</t>
  </si>
  <si>
    <t>503443001</t>
  </si>
  <si>
    <t>27-12-2002 00:00:00</t>
  </si>
  <si>
    <t>30983351</t>
  </si>
  <si>
    <t>Филиал ГУП МО "КС МО" "ЛП ВК"</t>
  </si>
  <si>
    <t>505043001</t>
  </si>
  <si>
    <t>28543956</t>
  </si>
  <si>
    <t>Филиал ООО "Газпром трансгаз Москва" Московское ЛПУМГ</t>
  </si>
  <si>
    <t>775143002</t>
  </si>
  <si>
    <t>26814783</t>
  </si>
  <si>
    <t>Филиал ООО "Газпром трансгаз Москва" УЭЗC</t>
  </si>
  <si>
    <t>997250001</t>
  </si>
  <si>
    <t>26548107</t>
  </si>
  <si>
    <t>Филиал ПАО «Газпром» «Дом приемов «Богородское»</t>
  </si>
  <si>
    <t>775102001</t>
  </si>
  <si>
    <t>28134387</t>
  </si>
  <si>
    <t>Филиал ПАО «Россети» - Московское ПМЭС</t>
  </si>
  <si>
    <t>500743002</t>
  </si>
  <si>
    <t>31560994</t>
  </si>
  <si>
    <t>отделение филиала "РТРС" "МРЦ" - Радиоцентр № 6</t>
  </si>
  <si>
    <t>507402001</t>
  </si>
  <si>
    <t>23-11-2001 00:00:00</t>
  </si>
  <si>
    <t>31390985</t>
  </si>
  <si>
    <t>АНО "Гастроэнтерологический санаторий "Монино"</t>
  </si>
  <si>
    <t>5050133157</t>
  </si>
  <si>
    <t>07-07-2017 00:00:00</t>
  </si>
  <si>
    <t>30924744</t>
  </si>
  <si>
    <t>АО "АИС"</t>
  </si>
  <si>
    <t>7810858086</t>
  </si>
  <si>
    <t>781001001</t>
  </si>
  <si>
    <t>14-02-2012 00:00:00</t>
  </si>
  <si>
    <t>26549247</t>
  </si>
  <si>
    <t>АО "Завод ХИМРЕАКТИВКОМПЛЕКТ"</t>
  </si>
  <si>
    <t>5031024890</t>
  </si>
  <si>
    <t>17-01-1994 00:00:00</t>
  </si>
  <si>
    <t>31719743</t>
  </si>
  <si>
    <t>АО "СКОРОПУСКОВСКИЙ СИНТЕЗ"</t>
  </si>
  <si>
    <t>9721216242</t>
  </si>
  <si>
    <t>30838869</t>
  </si>
  <si>
    <t>АО "Трансагроэкспорт"</t>
  </si>
  <si>
    <t>7723343348</t>
  </si>
  <si>
    <t>18-08-2003 00:00:00</t>
  </si>
  <si>
    <t>26808940</t>
  </si>
  <si>
    <t>АО "Щербинский завод электроплавленных огнеупоров"</t>
  </si>
  <si>
    <t>5051000030</t>
  </si>
  <si>
    <t>31618200</t>
  </si>
  <si>
    <t>Ассоциация «Благоустройство коттеджного поселка Пестово»</t>
  </si>
  <si>
    <t>7707560610</t>
  </si>
  <si>
    <t>27-08-2015 00:00:00</t>
  </si>
  <si>
    <t>26567391</t>
  </si>
  <si>
    <t>ЗАО "МАСШТАБ-Сервис"</t>
  </si>
  <si>
    <t>5003003136</t>
  </si>
  <si>
    <t>26808485</t>
  </si>
  <si>
    <t>ЗАО "ЧЕХОВСКИЙ МЕБЕЛЬНЫЙ КОМБИНАТ"</t>
  </si>
  <si>
    <t>5048080525</t>
  </si>
  <si>
    <t>27-08-2002 00:00:00</t>
  </si>
  <si>
    <t>31189313</t>
  </si>
  <si>
    <t>ЗАО "ЭКА Транс"</t>
  </si>
  <si>
    <t>7719632202</t>
  </si>
  <si>
    <t>03-05-2007 00:00:00</t>
  </si>
  <si>
    <t>31643935</t>
  </si>
  <si>
    <t>МБУ "ЛЕСПАРКХОЗ"</t>
  </si>
  <si>
    <t>5029145939</t>
  </si>
  <si>
    <t>06-12-2010 00:00:00</t>
  </si>
  <si>
    <t>31497273</t>
  </si>
  <si>
    <t>МБУ "Одинцовское городское хозяйство"</t>
  </si>
  <si>
    <t>5032229579</t>
  </si>
  <si>
    <t>14-10-2010 00:00:00</t>
  </si>
  <si>
    <t>31574129</t>
  </si>
  <si>
    <t>МКУ "РамГидроСервис"</t>
  </si>
  <si>
    <t>5040170720</t>
  </si>
  <si>
    <t>22-12-2020 00:00:00</t>
  </si>
  <si>
    <t>31696146</t>
  </si>
  <si>
    <t>МУП «Химводосток»</t>
  </si>
  <si>
    <t>5047132210</t>
  </si>
  <si>
    <t>09-04-2012 00:00:00</t>
  </si>
  <si>
    <t>28427760</t>
  </si>
  <si>
    <t>ОАО "Волоколамскхлеб"</t>
  </si>
  <si>
    <t>5004002329</t>
  </si>
  <si>
    <t>19-06-1997 00:00:00</t>
  </si>
  <si>
    <t>26549257</t>
  </si>
  <si>
    <t>ОАО "Ивантеевский элеватормельмаш"</t>
  </si>
  <si>
    <t>5016005250</t>
  </si>
  <si>
    <t>26549211</t>
  </si>
  <si>
    <t>ОАО "Крупинский арматурный завод"</t>
  </si>
  <si>
    <t>5035012655</t>
  </si>
  <si>
    <t>26357804</t>
  </si>
  <si>
    <t>ОАО "Кудиновский комбинат"</t>
  </si>
  <si>
    <t>5031041616</t>
  </si>
  <si>
    <t>28422181</t>
  </si>
  <si>
    <t>ОАО "МГПЗ"</t>
  </si>
  <si>
    <t>5003055920</t>
  </si>
  <si>
    <t>12-09-2005 00:00:00</t>
  </si>
  <si>
    <t>26549253</t>
  </si>
  <si>
    <t>ООО "Автомехстрой"</t>
  </si>
  <si>
    <t>5016003091</t>
  </si>
  <si>
    <t>26549231</t>
  </si>
  <si>
    <t>ООО "Аквасервис"</t>
  </si>
  <si>
    <t>5078017993</t>
  </si>
  <si>
    <t>26837649</t>
  </si>
  <si>
    <t>ООО "Арсенал"</t>
  </si>
  <si>
    <t>5042101017</t>
  </si>
  <si>
    <t>30984951</t>
  </si>
  <si>
    <t>ООО "Биотех-СК"</t>
  </si>
  <si>
    <t>7702762820</t>
  </si>
  <si>
    <t>25-05-2011 00:00:00</t>
  </si>
  <si>
    <t>31614558</t>
  </si>
  <si>
    <t>ООО "Водоснабжение водоотведение Смоленска"</t>
  </si>
  <si>
    <t>9705168986</t>
  </si>
  <si>
    <t>28425480</t>
  </si>
  <si>
    <t>ООО "ГКХ"</t>
  </si>
  <si>
    <t>5007083654</t>
  </si>
  <si>
    <t>16-08-2012 00:00:00</t>
  </si>
  <si>
    <t>30829933</t>
  </si>
  <si>
    <t>ООО "ДСФ "Зодиак"</t>
  </si>
  <si>
    <t>5005059423</t>
  </si>
  <si>
    <t>09-07-2014 00:00:00</t>
  </si>
  <si>
    <t>26549263</t>
  </si>
  <si>
    <t>ООО "Делфин Логистик"</t>
  </si>
  <si>
    <t>7713173457</t>
  </si>
  <si>
    <t>31187954</t>
  </si>
  <si>
    <t>ООО "Домогнеупор"</t>
  </si>
  <si>
    <t>5009096056</t>
  </si>
  <si>
    <t>28426023</t>
  </si>
  <si>
    <t>ООО "ЖКХ "Водоканал"</t>
  </si>
  <si>
    <t>7706737102</t>
  </si>
  <si>
    <t>12-05-2010 00:00:00</t>
  </si>
  <si>
    <t>26837658</t>
  </si>
  <si>
    <t>ООО "Жилищно-Коммунальный Центр"</t>
  </si>
  <si>
    <t>5042086714</t>
  </si>
  <si>
    <t>31390458</t>
  </si>
  <si>
    <t>7701364834</t>
  </si>
  <si>
    <t>15-07-2013 00:00:00</t>
  </si>
  <si>
    <t>26549243</t>
  </si>
  <si>
    <t>ООО "ЛЕКО"</t>
  </si>
  <si>
    <t>7725042385</t>
  </si>
  <si>
    <t>31209332</t>
  </si>
  <si>
    <t>ООО "Микрорайон "Кантри"</t>
  </si>
  <si>
    <t>5017095271</t>
  </si>
  <si>
    <t>26549239</t>
  </si>
  <si>
    <t>ООО "Монолит"</t>
  </si>
  <si>
    <t>5032119858</t>
  </si>
  <si>
    <t>28049135</t>
  </si>
  <si>
    <t>ООО "ОКК"</t>
  </si>
  <si>
    <t>5022556432</t>
  </si>
  <si>
    <t>623001001</t>
  </si>
  <si>
    <t>26837668</t>
  </si>
  <si>
    <t>ООО "Пересвет ТоргСервис"</t>
  </si>
  <si>
    <t>5042075335</t>
  </si>
  <si>
    <t>504201011</t>
  </si>
  <si>
    <t>26649284</t>
  </si>
  <si>
    <t>ООО "Полимер-МГ"</t>
  </si>
  <si>
    <t>5038034946</t>
  </si>
  <si>
    <t>26549241</t>
  </si>
  <si>
    <t>31415051</t>
  </si>
  <si>
    <t>ООО "Смоленские водные системы"</t>
  </si>
  <si>
    <t>7743310358</t>
  </si>
  <si>
    <t>29-07-2019 00:00:00</t>
  </si>
  <si>
    <t>30363601</t>
  </si>
  <si>
    <t>ООО "Стандарт"</t>
  </si>
  <si>
    <t>5033001400</t>
  </si>
  <si>
    <t>13-01-2015 00:00:00</t>
  </si>
  <si>
    <t>31110509</t>
  </si>
  <si>
    <t>ООО "УНР 1187"</t>
  </si>
  <si>
    <t>5024097216</t>
  </si>
  <si>
    <t>27-06-2008 00:00:00</t>
  </si>
  <si>
    <t>28975140</t>
  </si>
  <si>
    <t>ООО "ЭкоАгроальянс"</t>
  </si>
  <si>
    <t>5007079062</t>
  </si>
  <si>
    <t>26-05-2011 00:00:00</t>
  </si>
  <si>
    <t>26549225</t>
  </si>
  <si>
    <t>ООО "ЭкоПромТехнология"</t>
  </si>
  <si>
    <t>7737512420</t>
  </si>
  <si>
    <t>773701001</t>
  </si>
  <si>
    <t>30989484</t>
  </si>
  <si>
    <t>ООО "Экостандарт"</t>
  </si>
  <si>
    <t>7720356081</t>
  </si>
  <si>
    <t>11-10-2016 00:00:00</t>
  </si>
  <si>
    <t>28271306</t>
  </si>
  <si>
    <t>ООО "Элегия-Сервис+"</t>
  </si>
  <si>
    <t>5078020058</t>
  </si>
  <si>
    <t>28221660</t>
  </si>
  <si>
    <t>ООО "Энергетик"</t>
  </si>
  <si>
    <t>5050086309</t>
  </si>
  <si>
    <t>31538956</t>
  </si>
  <si>
    <t>ООО «Дабл М Депо»</t>
  </si>
  <si>
    <t>7810744138</t>
  </si>
  <si>
    <t>27-11-2018 00:00:00</t>
  </si>
  <si>
    <t>28934908</t>
  </si>
  <si>
    <t>ООО «Декор»</t>
  </si>
  <si>
    <t>7722580709</t>
  </si>
  <si>
    <t>26-06-2006 00:00:00</t>
  </si>
  <si>
    <t>27583708</t>
  </si>
  <si>
    <t>ООО «Жилищно-эксплуатационная служба Саввино»</t>
  </si>
  <si>
    <t>5012058580</t>
  </si>
  <si>
    <t>27583703</t>
  </si>
  <si>
    <t>ООО «Жилкомсоюз»</t>
  </si>
  <si>
    <t>5012061279</t>
  </si>
  <si>
    <t>27583690</t>
  </si>
  <si>
    <t>ООО «Созидание»</t>
  </si>
  <si>
    <t>5012046337</t>
  </si>
  <si>
    <t>27583720</t>
  </si>
  <si>
    <t>ООО «Управляющая компания «ЦентрЖилСервис»</t>
  </si>
  <si>
    <t>5012061705</t>
  </si>
  <si>
    <t>26549255</t>
  </si>
  <si>
    <t>РВЦ "Орбита-2"</t>
  </si>
  <si>
    <t>28271968</t>
  </si>
  <si>
    <t>ТСЖ "Вешки-Сити"</t>
  </si>
  <si>
    <t>5029058362</t>
  </si>
  <si>
    <t>06-06-2001 00:00:00</t>
  </si>
  <si>
    <t>26807220</t>
  </si>
  <si>
    <t>ФГУП "Биотехнологический завод"</t>
  </si>
  <si>
    <t>5076000296</t>
  </si>
  <si>
    <t>507601001</t>
  </si>
  <si>
    <t>28266367</t>
  </si>
  <si>
    <t>ФГУП Пансионат санаторного типа "Сосновый бор"</t>
  </si>
  <si>
    <t>5075006016</t>
  </si>
  <si>
    <t>02-04-1999 00:00:00</t>
  </si>
  <si>
    <t>28268335</t>
  </si>
  <si>
    <t>Филиал ГУП МО "КС МО" "Колев"</t>
  </si>
  <si>
    <t>501143001</t>
  </si>
  <si>
    <t>18-09-2009 00:00:00</t>
  </si>
  <si>
    <t>26549348</t>
  </si>
  <si>
    <t>АО "ПОЛИГОН ТИМОХОВО"</t>
  </si>
  <si>
    <t>5031009637</t>
  </si>
  <si>
    <t>31330101</t>
  </si>
  <si>
    <t>АО "РИП"</t>
  </si>
  <si>
    <t>5049023512</t>
  </si>
  <si>
    <t>19-07-2019 00:00:00</t>
  </si>
  <si>
    <t>31707905</t>
  </si>
  <si>
    <t>ДЗАГОЕВ АСЛАН АНАТОЛЬЕВИЧ</t>
  </si>
  <si>
    <t>070707083824</t>
  </si>
  <si>
    <t>31316041</t>
  </si>
  <si>
    <t>ИП Савичев А.А.</t>
  </si>
  <si>
    <t>504400206342</t>
  </si>
  <si>
    <t>31707918</t>
  </si>
  <si>
    <t>МАУ "ЧИСТЫЙ ГОРОД"</t>
  </si>
  <si>
    <t>5020090890</t>
  </si>
  <si>
    <t>31311206</t>
  </si>
  <si>
    <t>МБУ "Благоустройство, ЖКХ и ДХ"</t>
  </si>
  <si>
    <t>5014012157</t>
  </si>
  <si>
    <t>29-11-2017 00:00:00</t>
  </si>
  <si>
    <t>26549320</t>
  </si>
  <si>
    <t>МУП "ПОЛИГОН"</t>
  </si>
  <si>
    <t>5028025269</t>
  </si>
  <si>
    <t>31707848</t>
  </si>
  <si>
    <t>ООО "АВТОПАРК"</t>
  </si>
  <si>
    <t>7727444548</t>
  </si>
  <si>
    <t>31166066</t>
  </si>
  <si>
    <t>ООО "АЛОН-РА"</t>
  </si>
  <si>
    <t>7720219712</t>
  </si>
  <si>
    <t>08-04-1998 00:00:00</t>
  </si>
  <si>
    <t>31759390</t>
  </si>
  <si>
    <t>ООО "АСГАРД"</t>
  </si>
  <si>
    <t>9701134496</t>
  </si>
  <si>
    <t>31291634</t>
  </si>
  <si>
    <t>ООО "АТТ"</t>
  </si>
  <si>
    <t>9718086498</t>
  </si>
  <si>
    <t>29-01-2018 00:00:00</t>
  </si>
  <si>
    <t>31388864</t>
  </si>
  <si>
    <t>ООО "Альва"</t>
  </si>
  <si>
    <t>7720318801</t>
  </si>
  <si>
    <t>15-10-2015 00:00:00</t>
  </si>
  <si>
    <t>31759317</t>
  </si>
  <si>
    <t>ООО "БАСТИОН"</t>
  </si>
  <si>
    <t>7707841106</t>
  </si>
  <si>
    <t>31759044</t>
  </si>
  <si>
    <t>ООО "БИОСПАРК"</t>
  </si>
  <si>
    <t>7733362533</t>
  </si>
  <si>
    <t>772601001</t>
  </si>
  <si>
    <t>31758384</t>
  </si>
  <si>
    <t>ООО "БРЭНД"</t>
  </si>
  <si>
    <t>5031056845</t>
  </si>
  <si>
    <t>31325045</t>
  </si>
  <si>
    <t>ООО "ВМК"</t>
  </si>
  <si>
    <t>5005065963</t>
  </si>
  <si>
    <t>05-10-2018 00:00:00</t>
  </si>
  <si>
    <t>31758996</t>
  </si>
  <si>
    <t>ООО "ВТОРЭКОТРАНС"</t>
  </si>
  <si>
    <t>7726636127</t>
  </si>
  <si>
    <t>31297686</t>
  </si>
  <si>
    <t>ООО "Велес"</t>
  </si>
  <si>
    <t>5024093980</t>
  </si>
  <si>
    <t>11-02-2008 00:00:00</t>
  </si>
  <si>
    <t>31707858</t>
  </si>
  <si>
    <t>ООО "ГРИН ЛЭНД"</t>
  </si>
  <si>
    <t>5703016853</t>
  </si>
  <si>
    <t>570301001</t>
  </si>
  <si>
    <t>31707928</t>
  </si>
  <si>
    <t>ООО "ГРИНДЭЙ"</t>
  </si>
  <si>
    <t>2124043000</t>
  </si>
  <si>
    <t>31759065</t>
  </si>
  <si>
    <t>ООО "ГРИНСИТИ"</t>
  </si>
  <si>
    <t>5038144716</t>
  </si>
  <si>
    <t>31707756</t>
  </si>
  <si>
    <t>ООО "Городской транзит"</t>
  </si>
  <si>
    <t>7743119961</t>
  </si>
  <si>
    <t>31759028</t>
  </si>
  <si>
    <t>ООО "ДСГРУПП"</t>
  </si>
  <si>
    <t>5445029130</t>
  </si>
  <si>
    <t>31390517</t>
  </si>
  <si>
    <t>ООО "Дмитровский МПК"</t>
  </si>
  <si>
    <t>5007102988</t>
  </si>
  <si>
    <t>01-12-2017 00:00:00</t>
  </si>
  <si>
    <t>31759427</t>
  </si>
  <si>
    <t>ООО "ЕВРОКОМ"</t>
  </si>
  <si>
    <t>7720848573</t>
  </si>
  <si>
    <t>31290362</t>
  </si>
  <si>
    <t>ООО "ЕВРОЛАЙН"</t>
  </si>
  <si>
    <t>5009062177</t>
  </si>
  <si>
    <t>21-02-2008 00:00:00</t>
  </si>
  <si>
    <t>31290318</t>
  </si>
  <si>
    <t>ООО "ЗСПВС"</t>
  </si>
  <si>
    <t>5027093604</t>
  </si>
  <si>
    <t>28-04-2003 00:00:00</t>
  </si>
  <si>
    <t>31292033</t>
  </si>
  <si>
    <t>ООО "Истра-Ресурс"</t>
  </si>
  <si>
    <t>5017107745</t>
  </si>
  <si>
    <t>01-09-2015 00:00:00</t>
  </si>
  <si>
    <t>31707868</t>
  </si>
  <si>
    <t>ООО "КЛЕБЕР"</t>
  </si>
  <si>
    <t>7717097408</t>
  </si>
  <si>
    <t>31758354</t>
  </si>
  <si>
    <t>ООО "КОМСПЕЦТЕХ"</t>
  </si>
  <si>
    <t>5050062523</t>
  </si>
  <si>
    <t>31707878</t>
  </si>
  <si>
    <t>ООО "КОНФУЦИУС ТЭЧЬ"</t>
  </si>
  <si>
    <t>9718173359</t>
  </si>
  <si>
    <t>31390512</t>
  </si>
  <si>
    <t>ООО "КПО Егорьевск"</t>
  </si>
  <si>
    <t>5011037650</t>
  </si>
  <si>
    <t>01-08-2018 00:00:00</t>
  </si>
  <si>
    <t>31641709</t>
  </si>
  <si>
    <t>ООО "КПО НЕВА"</t>
  </si>
  <si>
    <t>5044118471</t>
  </si>
  <si>
    <t>31390303</t>
  </si>
  <si>
    <t>ООО "Каширский МПК"</t>
  </si>
  <si>
    <t>5019028908</t>
  </si>
  <si>
    <t>31166056</t>
  </si>
  <si>
    <t>ООО "Каширский региональный оператор"</t>
  </si>
  <si>
    <t>5019029228</t>
  </si>
  <si>
    <t>14-02-2018 00:00:00</t>
  </si>
  <si>
    <t>28856255</t>
  </si>
  <si>
    <t>ООО "Комбинат"</t>
  </si>
  <si>
    <t>5020043234</t>
  </si>
  <si>
    <t>25-08-2005 00:00:00</t>
  </si>
  <si>
    <t>31290828</t>
  </si>
  <si>
    <t>ООО "ЛАНДШАФТ"</t>
  </si>
  <si>
    <t>5003075606</t>
  </si>
  <si>
    <t>08-12-2009 00:00:00</t>
  </si>
  <si>
    <t>31309622</t>
  </si>
  <si>
    <t>ООО "МК ГРУПП"</t>
  </si>
  <si>
    <t>9715203647</t>
  </si>
  <si>
    <t>01-07-2015 00:00:00</t>
  </si>
  <si>
    <t>31759102</t>
  </si>
  <si>
    <t>ООО "МК РЕЦИКЛИНГ"</t>
  </si>
  <si>
    <t>5047135122</t>
  </si>
  <si>
    <t>31298431</t>
  </si>
  <si>
    <t>ООО "МПК Коломенский"</t>
  </si>
  <si>
    <t>5022055500</t>
  </si>
  <si>
    <t>12-03-2018 00:00:00</t>
  </si>
  <si>
    <t>31151349</t>
  </si>
  <si>
    <t>ООО "МСК-НТ"</t>
  </si>
  <si>
    <t>7734699480</t>
  </si>
  <si>
    <t>773401001</t>
  </si>
  <si>
    <t>16-04-2013 00:00:00</t>
  </si>
  <si>
    <t>31252875</t>
  </si>
  <si>
    <t>ООО "Можайский МПК"</t>
  </si>
  <si>
    <t>9729076290</t>
  </si>
  <si>
    <t>21-04-2017 00:00:00</t>
  </si>
  <si>
    <t>31305505</t>
  </si>
  <si>
    <t>ООО "НПП "ЭКОВТОРИНДУСТРИЯ"</t>
  </si>
  <si>
    <t>5053017624</t>
  </si>
  <si>
    <t>19-05-1993 00:00:00</t>
  </si>
  <si>
    <t>31289634</t>
  </si>
  <si>
    <t>ООО "ПАЛАДА"</t>
  </si>
  <si>
    <t>5032289585</t>
  </si>
  <si>
    <t>22-08-2017 00:00:00</t>
  </si>
  <si>
    <t>31758289</t>
  </si>
  <si>
    <t>ООО "ПЕРВОЕ ГПК"</t>
  </si>
  <si>
    <t>9719052043</t>
  </si>
  <si>
    <t>31758327</t>
  </si>
  <si>
    <t>ООО "ПМ ГРУПП"</t>
  </si>
  <si>
    <t>9717072301</t>
  </si>
  <si>
    <t>31759242</t>
  </si>
  <si>
    <t>ООО "ПОБЕДА"</t>
  </si>
  <si>
    <t>5038124477</t>
  </si>
  <si>
    <t>31759464</t>
  </si>
  <si>
    <t>ООО "ПРАЙВГРУПП"</t>
  </si>
  <si>
    <t>5032307403</t>
  </si>
  <si>
    <t>31759148</t>
  </si>
  <si>
    <t>ООО "ПРОГРЕСС АВТО"</t>
  </si>
  <si>
    <t>9724064686</t>
  </si>
  <si>
    <t>31758309</t>
  </si>
  <si>
    <t>ООО "ПРОМТРАНС"</t>
  </si>
  <si>
    <t>7103050292</t>
  </si>
  <si>
    <t>26549354</t>
  </si>
  <si>
    <t>ООО "ПромЭкоСпецТехнологии"</t>
  </si>
  <si>
    <t>5011027525</t>
  </si>
  <si>
    <t>31759280</t>
  </si>
  <si>
    <t>ООО "РУСЭКОГРУПП"</t>
  </si>
  <si>
    <t>7716768124</t>
  </si>
  <si>
    <t>26549300</t>
  </si>
  <si>
    <t>ООО "Российско-финская компания "ЭКОСИСТЕМА"</t>
  </si>
  <si>
    <t>5010030980</t>
  </si>
  <si>
    <t>04-11-2004 00:00:00</t>
  </si>
  <si>
    <t>31166050</t>
  </si>
  <si>
    <t>ООО "Рузский региональный оператор"</t>
  </si>
  <si>
    <t>5017115922</t>
  </si>
  <si>
    <t>13-02-2018 00:00:00</t>
  </si>
  <si>
    <t>28268540</t>
  </si>
  <si>
    <t>ООО "СКАЙВЭЙ"</t>
  </si>
  <si>
    <t>5077017430</t>
  </si>
  <si>
    <t>31194027</t>
  </si>
  <si>
    <t>ООО "СПМК Сплендер"</t>
  </si>
  <si>
    <t>5076008954</t>
  </si>
  <si>
    <t>05-03-2011 00:00:00</t>
  </si>
  <si>
    <t>31290322</t>
  </si>
  <si>
    <t>ООО "СФЕРА"</t>
  </si>
  <si>
    <t>7604309771</t>
  </si>
  <si>
    <t>760201001</t>
  </si>
  <si>
    <t>02-08-2016 00:00:00</t>
  </si>
  <si>
    <t>31390894</t>
  </si>
  <si>
    <t>ООО "Сергиево-Посадский МПК"</t>
  </si>
  <si>
    <t>5042146561</t>
  </si>
  <si>
    <t>31166031</t>
  </si>
  <si>
    <t>ООО "Сергиево-Посадский региональный оператор"</t>
  </si>
  <si>
    <t>9705058743</t>
  </si>
  <si>
    <t>25-01-2016 00:00:00</t>
  </si>
  <si>
    <t>31225818</t>
  </si>
  <si>
    <t>ООО "ТД "Рецикл"</t>
  </si>
  <si>
    <t>5074046383</t>
  </si>
  <si>
    <t>16-12-2011 00:00:00</t>
  </si>
  <si>
    <t>31392463</t>
  </si>
  <si>
    <t>ООО "ТКО"</t>
  </si>
  <si>
    <t>5036170414</t>
  </si>
  <si>
    <t>31707838</t>
  </si>
  <si>
    <t>ООО "ТРАНС-КЛИНИНГ"</t>
  </si>
  <si>
    <t>7716619147</t>
  </si>
  <si>
    <t>31707923</t>
  </si>
  <si>
    <t>ООО "ТРАНСРЕГИОНСЕРВИС"</t>
  </si>
  <si>
    <t>7715964334</t>
  </si>
  <si>
    <t>31707439</t>
  </si>
  <si>
    <t>ООО "ТРАНСТЕХРЕСУР"</t>
  </si>
  <si>
    <t>7720646425</t>
  </si>
  <si>
    <t>11-09-2020 00:00:00</t>
  </si>
  <si>
    <t>31235025</t>
  </si>
  <si>
    <t>ООО "УК "КУСОР"</t>
  </si>
  <si>
    <t>5012034645</t>
  </si>
  <si>
    <t>03-05-2006 00:00:00</t>
  </si>
  <si>
    <t>31152291</t>
  </si>
  <si>
    <t>ООО "Хартия"</t>
  </si>
  <si>
    <t>7703770101</t>
  </si>
  <si>
    <t>13-06-2012 00:00:00</t>
  </si>
  <si>
    <t>31292427</t>
  </si>
  <si>
    <t>ООО "ЭКО ГАРАНТ"</t>
  </si>
  <si>
    <t>5032290069</t>
  </si>
  <si>
    <t>20-09-2017 00:00:00</t>
  </si>
  <si>
    <t>31164404</t>
  </si>
  <si>
    <t>ООО "ЭКО-ВТОР"</t>
  </si>
  <si>
    <t>5031054862</t>
  </si>
  <si>
    <t>17-09-2003 00:00:00</t>
  </si>
  <si>
    <t>31163768</t>
  </si>
  <si>
    <t>ООО "ЭКО-СИТИ"</t>
  </si>
  <si>
    <t>7722820478</t>
  </si>
  <si>
    <t>27-09-2013 00:00:00</t>
  </si>
  <si>
    <t>31707811</t>
  </si>
  <si>
    <t>ООО "ЭКОВЫВОЗ"</t>
  </si>
  <si>
    <t>9729277222</t>
  </si>
  <si>
    <t>31759205</t>
  </si>
  <si>
    <t>ООО "ЭКОПАРК"</t>
  </si>
  <si>
    <t>7716862159</t>
  </si>
  <si>
    <t>771601001</t>
  </si>
  <si>
    <t>31758300</t>
  </si>
  <si>
    <t>ООО "ЭКОТЕХСИТИ"</t>
  </si>
  <si>
    <t>9723107721</t>
  </si>
  <si>
    <t>31163384</t>
  </si>
  <si>
    <t>ООО "ЭКОТРАНС"</t>
  </si>
  <si>
    <t>5001098830</t>
  </si>
  <si>
    <t>25-04-2014 00:00:00</t>
  </si>
  <si>
    <t>31707821</t>
  </si>
  <si>
    <t>5040116956</t>
  </si>
  <si>
    <t>26549292</t>
  </si>
  <si>
    <t>ООО "ЭНИТ"</t>
  </si>
  <si>
    <t>5027034630</t>
  </si>
  <si>
    <t>06-07-1993 00:00:00</t>
  </si>
  <si>
    <t>31758369</t>
  </si>
  <si>
    <t>5031098531</t>
  </si>
  <si>
    <t>31163347</t>
  </si>
  <si>
    <t>ООО "ЭкоЛайн-Воскресенск"</t>
  </si>
  <si>
    <t>5047166554</t>
  </si>
  <si>
    <t>20-03-2015 00:00:00</t>
  </si>
  <si>
    <t>31705149</t>
  </si>
  <si>
    <t>ООО "Эколайф"</t>
  </si>
  <si>
    <t>7720432945</t>
  </si>
  <si>
    <t>31161592</t>
  </si>
  <si>
    <t>ООО "Экопромсервис"</t>
  </si>
  <si>
    <t>5047050503</t>
  </si>
  <si>
    <t>12-09-2002 00:00:00</t>
  </si>
  <si>
    <t>26549316</t>
  </si>
  <si>
    <t>ООО "Ядрово"</t>
  </si>
  <si>
    <t>5004021191</t>
  </si>
  <si>
    <t>31289626</t>
  </si>
  <si>
    <t>ООО «ГСВМ»</t>
  </si>
  <si>
    <t>7710685009</t>
  </si>
  <si>
    <t>08-08-2007 00:00:00</t>
  </si>
  <si>
    <t>27568856</t>
  </si>
  <si>
    <t>ООО «ЭКОТЕХ»</t>
  </si>
  <si>
    <t>5022095750</t>
  </si>
  <si>
    <t>31290366</t>
  </si>
  <si>
    <t>ООО НПВП "ЦЕССОР"</t>
  </si>
  <si>
    <t>5053014694</t>
  </si>
  <si>
    <t>09-12-2002 00:00:00</t>
  </si>
  <si>
    <t>31759354</t>
  </si>
  <si>
    <t>ООО ФИРМА "КОНКУР"</t>
  </si>
  <si>
    <t>2634020410</t>
  </si>
  <si>
    <t>262301001</t>
  </si>
  <si>
    <t>31300481</t>
  </si>
  <si>
    <t>ООО"ЭКО-СОЮЗ"</t>
  </si>
  <si>
    <t>6230080379</t>
  </si>
  <si>
    <t>03-04-2013 00:00:00</t>
  </si>
  <si>
    <t>31707485</t>
  </si>
  <si>
    <t>Общество с ограниченной ответственностью "ПРОМСИСТЕМА"</t>
  </si>
  <si>
    <t>5032220706</t>
  </si>
  <si>
    <t>31707772</t>
  </si>
  <si>
    <t>Общество с ограниченной ответственностью «ЭКОГРАДЪ»</t>
  </si>
  <si>
    <t>7724487222</t>
  </si>
  <si>
    <t>NSRF</t>
  </si>
  <si>
    <t>MR_NAME</t>
  </si>
  <si>
    <t>OKTMO_MR_NAME</t>
  </si>
  <si>
    <t>MO_NAME</t>
  </si>
  <si>
    <t>OKTMO_NAME</t>
  </si>
  <si>
    <t>TYPE</t>
  </si>
  <si>
    <t>MR_ID</t>
  </si>
  <si>
    <t>Богородский</t>
  </si>
  <si>
    <t>46751000</t>
  </si>
  <si>
    <t>городской округ</t>
  </si>
  <si>
    <t>Волоколамский</t>
  </si>
  <si>
    <t>46708000</t>
  </si>
  <si>
    <t>Воскресенск</t>
  </si>
  <si>
    <t>46710000</t>
  </si>
  <si>
    <t>Дмитровский</t>
  </si>
  <si>
    <t>46715000</t>
  </si>
  <si>
    <t>Зарайск</t>
  </si>
  <si>
    <t>46729000</t>
  </si>
  <si>
    <t>Истра</t>
  </si>
  <si>
    <t>46733000</t>
  </si>
  <si>
    <t>Клин</t>
  </si>
  <si>
    <t>46737000</t>
  </si>
  <si>
    <t>Коломна</t>
  </si>
  <si>
    <t>46738000</t>
  </si>
  <si>
    <t>Красногорск</t>
  </si>
  <si>
    <t>46744000</t>
  </si>
  <si>
    <t>Ленинский</t>
  </si>
  <si>
    <t>46707000</t>
  </si>
  <si>
    <t>Лотошино</t>
  </si>
  <si>
    <t>46752000</t>
  </si>
  <si>
    <t>Луховицы</t>
  </si>
  <si>
    <t>46747000</t>
  </si>
  <si>
    <t>Люберцы</t>
  </si>
  <si>
    <t>46748000</t>
  </si>
  <si>
    <t>Можайский</t>
  </si>
  <si>
    <t>46745000</t>
  </si>
  <si>
    <t>Наро-Фоминский</t>
  </si>
  <si>
    <t>46750000</t>
  </si>
  <si>
    <t>Одинцовский</t>
  </si>
  <si>
    <t>46755000</t>
  </si>
  <si>
    <t>Орехово-Зуевский</t>
  </si>
  <si>
    <t>46757000</t>
  </si>
  <si>
    <t>Павлово-Посадский</t>
  </si>
  <si>
    <t>46759000</t>
  </si>
  <si>
    <t>Пушкинский</t>
  </si>
  <si>
    <t>46758000</t>
  </si>
  <si>
    <t>Раменский</t>
  </si>
  <si>
    <t>46768000</t>
  </si>
  <si>
    <t>Рузский</t>
  </si>
  <si>
    <t>46766000</t>
  </si>
  <si>
    <t>Сергиево-Посадский</t>
  </si>
  <si>
    <t>46728000</t>
  </si>
  <si>
    <t>Солнечногорск</t>
  </si>
  <si>
    <t>46771000</t>
  </si>
  <si>
    <t>Ступино</t>
  </si>
  <si>
    <t>46776000</t>
  </si>
  <si>
    <t>Талдомский</t>
  </si>
  <si>
    <t>46778000</t>
  </si>
  <si>
    <t>Чехов</t>
  </si>
  <si>
    <t>46784000</t>
  </si>
  <si>
    <t>Щёлково</t>
  </si>
  <si>
    <t>46788000</t>
  </si>
  <si>
    <t>городской округ Балашиха</t>
  </si>
  <si>
    <t>46704000</t>
  </si>
  <si>
    <t>городской округ Бронницы</t>
  </si>
  <si>
    <t>46705000</t>
  </si>
  <si>
    <t>городской округ Власиха</t>
  </si>
  <si>
    <t>46773000</t>
  </si>
  <si>
    <t>городской округ Восход</t>
  </si>
  <si>
    <t>46763000</t>
  </si>
  <si>
    <t>городской округ Дзержинский</t>
  </si>
  <si>
    <t>46711000</t>
  </si>
  <si>
    <t>городской округ Долгопрудный</t>
  </si>
  <si>
    <t>46716000</t>
  </si>
  <si>
    <t>городской округ Домодедово</t>
  </si>
  <si>
    <t>46709000</t>
  </si>
  <si>
    <t>городской округ Дубна</t>
  </si>
  <si>
    <t>46718000</t>
  </si>
  <si>
    <t>городской округ Егорьевск</t>
  </si>
  <si>
    <t>46722000</t>
  </si>
  <si>
    <t>городской округ Жуковский</t>
  </si>
  <si>
    <t>46725000</t>
  </si>
  <si>
    <t>городской округ Звездный городок</t>
  </si>
  <si>
    <t>46774000</t>
  </si>
  <si>
    <t>городской округ Кашира</t>
  </si>
  <si>
    <t>46735000</t>
  </si>
  <si>
    <t>городской округ Королев</t>
  </si>
  <si>
    <t>46734000</t>
  </si>
  <si>
    <t>городской округ Котельники</t>
  </si>
  <si>
    <t>46739000</t>
  </si>
  <si>
    <t>городской округ Краснознаменск</t>
  </si>
  <si>
    <t>46706000</t>
  </si>
  <si>
    <t>городской округ Лобня</t>
  </si>
  <si>
    <t>46740000</t>
  </si>
  <si>
    <t>городской округ Лосино-Петровский</t>
  </si>
  <si>
    <t>46742000</t>
  </si>
  <si>
    <t>городской округ Лыткарино</t>
  </si>
  <si>
    <t>46741000</t>
  </si>
  <si>
    <t>городской округ Молодёжный</t>
  </si>
  <si>
    <t>46761000</t>
  </si>
  <si>
    <t>городской округ Мытищи</t>
  </si>
  <si>
    <t>46746000</t>
  </si>
  <si>
    <t>городской округ Подольск</t>
  </si>
  <si>
    <t>46760000</t>
  </si>
  <si>
    <t>городской округ Протвино</t>
  </si>
  <si>
    <t>46767000</t>
  </si>
  <si>
    <t>городской округ Пущино</t>
  </si>
  <si>
    <t>46762000</t>
  </si>
  <si>
    <t>городской округ Реутов</t>
  </si>
  <si>
    <t>46764000</t>
  </si>
  <si>
    <t>городской округ Серебряные Пруды</t>
  </si>
  <si>
    <t>46772000</t>
  </si>
  <si>
    <t>городской округ Серпухов</t>
  </si>
  <si>
    <t>46770000</t>
  </si>
  <si>
    <t>городской округ Фрязино</t>
  </si>
  <si>
    <t>46780000</t>
  </si>
  <si>
    <t>городской округ Химки</t>
  </si>
  <si>
    <t>46783000</t>
  </si>
  <si>
    <t>городской округ Черноголовка</t>
  </si>
  <si>
    <t>46781000</t>
  </si>
  <si>
    <t>городской округ Шаховская</t>
  </si>
  <si>
    <t>46787000</t>
  </si>
  <si>
    <t>городской округ Электрогорск</t>
  </si>
  <si>
    <t>46791000</t>
  </si>
  <si>
    <t>городской округ Электросталь</t>
  </si>
  <si>
    <t>46790000</t>
  </si>
  <si>
    <t>60</t>
  </si>
  <si>
    <t>NUMBER_POINT</t>
  </si>
  <si>
    <t>INVP_NAME</t>
  </si>
  <si>
    <t>INVP_ID</t>
  </si>
  <si>
    <t>L_START_DATE</t>
  </si>
  <si>
    <t>L_END_DATE</t>
  </si>
  <si>
    <t>L_DECISION_NAME</t>
  </si>
  <si>
    <t>L_DECISION_TYPE</t>
  </si>
  <si>
    <t>L_DECISION_NMBR</t>
  </si>
  <si>
    <t>L_DECISION_DATE</t>
  </si>
  <si>
    <t>Инвестиционная программа № 01-H от 26.01.2024 ООО "ИКС ОРЕХОВО-ЗУЕВО" в сфере теплоснабжения по строительству и модернизации централизованных систем теплоснабжения, на территории городского округа Орехово-Зуевский на 2024-2045 годы</t>
  </si>
  <si>
    <t>26.01.2024</t>
  </si>
  <si>
    <t>25.12.2045</t>
  </si>
  <si>
    <t>Инвестиционная программа № 01-Р от 26.01.2024 ООО "ИКС ОРЕХОВО-ЗУЕВО" в сфере теплоснабжения по строительству и модернизации централизованных систем теплоснабжения, на территории городского округа Орехово-Зуевский на 2024-2045 годы</t>
  </si>
  <si>
    <t>Инвестиционная программа № 09-Р от 12.02.2024 ООО "ТЭК-10" в сфере теплоснабжения и горячего водоснабжения по строительству, реконструкции и модернизации котельных и тепловых сетей, на территории городского округа Лобня на 2024-2030 годы</t>
  </si>
  <si>
    <t>12.02.2024</t>
  </si>
  <si>
    <t>31.12.2030</t>
  </si>
  <si>
    <t>Инвестиционная программа № 122-P от 25.07.2022 АО "121 АРЗ" в сфере теплоснабжения по реконструкции и модернизации систем центрального теплоснабжения (за исключением тепловых сетей), на территории городского округа Одинцовский на 2023-2030 годы</t>
  </si>
  <si>
    <t>01.01.2023</t>
  </si>
  <si>
    <t>Инвестиционная программа № 122-Р от 25.07.2022 АО "121 АРЗ" в сфере теплоснабжения по реконструкции котельной, на территории городского округа Одинцовский на 2023-2027 годы</t>
  </si>
  <si>
    <t>31.12.2027</t>
  </si>
  <si>
    <t>Инвестиционная программа № 13-Р от 28.01.2021 ООО "ИКС Орехово-Зуево" в сфере теплоснабжения в отношении системы теплоснабжения, на территории городского округа Орехово-Зуевский на 2021-2045 годы</t>
  </si>
  <si>
    <t>28.01.2021</t>
  </si>
  <si>
    <t>31.12.2045</t>
  </si>
  <si>
    <t>Инвестиционная программа № 13-Р от 28.01.2021 ООО "ИКС Орехово-Зуево" в сфере теплоснабжения по развитию, модернизации и реконструкции котельных и тепловых сетей, на территории городского округа Орехово-Зуевский на 2021-2045 годы</t>
  </si>
  <si>
    <t>Инвестиционная программа № 13-Р от 28.01.2021 ООО "ИКС Орехово-Зуево" в сфере теплоснабжения по строительству, реконструкции и модернизации котельных и тепловых сетей, на территории городского округа Орехово-Зуевский на 2021-2045 годы</t>
  </si>
  <si>
    <t>Инвестиционная программа № 134-Р от 18.09.2023 МУП КХ "Егорьевские инженерные сети" в сфере теплоснабжения по модернизации и реконструкции объектов, на территории городского округа Егорьевск на 2024-2028 годы</t>
  </si>
  <si>
    <t>01.01.2024</t>
  </si>
  <si>
    <t>31.12.2028</t>
  </si>
  <si>
    <t>Инвестиционная программа № 158-Р от 25.09.2024 ООО "ТВС" в сфере теплоснабжения по модернизации и реконструкции систем теплоснабжения, на территории г Красноармейск, , Пушкинский на 2025-2027 годы</t>
  </si>
  <si>
    <t>01.01.2025</t>
  </si>
  <si>
    <t>Инвестиционная программа № 159-Р от 25.09.2024 МУЖКП "КОТЕЛЬНИКИ" в сфере теплоснабжения по модернизации тепловых сетей на 2024-2025 годы</t>
  </si>
  <si>
    <t>25.09.2024</t>
  </si>
  <si>
    <t>31.12.2025</t>
  </si>
  <si>
    <t>Инвестиционная программа № 160-Р от 25.09.2024 ООО "ТВС" в сфере теплоснабжения по модернизации и реконструкции систем теплоснабжения, на территории городского округа Люберцы на 2025-2027 годы</t>
  </si>
  <si>
    <t>Инвестиционная программа № 163-р от 06.08.2021 ООО "ПК" в сфере теплоснабжения по развитию систем теплоснабжения, на территории городского округа Королев на 2022-2023 годы</t>
  </si>
  <si>
    <t>01.01.2022</t>
  </si>
  <si>
    <t>31.12.2023</t>
  </si>
  <si>
    <t>Инвестиционная программа № 174-Р от 30.10.2023 ООО "ТВС" в сфере теплоснабжения по модернизации и реконструкции систем теплоснабжения, на территории городского округа Протвино на 2024-2026 годы</t>
  </si>
  <si>
    <t>31.12.2026</t>
  </si>
  <si>
    <t>Инвестиционная программа № 178-Р от 30.10.2023 АО "ВКС" в сфере теплоснабжения по модернизации и реконструкции систем теплоснабжения, на территории городского округа Электросталь на 2024-2026 годы</t>
  </si>
  <si>
    <t>Инвестиционная программа № 179-Р от 21.09.2020 ООО "КТТ-Дубки" в сфере теплоснабжения по модернизации котельных, на территории городского округа Одинцовский на 2021-2022 годы</t>
  </si>
  <si>
    <t>01.05.2021</t>
  </si>
  <si>
    <t>31.10.2022</t>
  </si>
  <si>
    <t>Инвестиционная программа № 179-Р от 30.10.2023 ООО "РСК" в сфере теплоснабжения в отношении систем центрального теплоснабжения (за исключением тепловых сетей), на территории городского округа Реутов на 2024-2028 годы</t>
  </si>
  <si>
    <t>Инвестиционная программа № 179-р от 30.10.2023 ООО "РСК" в сфере теплоснабжения по модернизации и реконструкции объектов, на территории городского округа Реутов на 2024-2028 годы</t>
  </si>
  <si>
    <t>Инвестиционная программа № 181-Р от 30.10.2023 АО "ТЭП" в сфере теплоснабжения по модернизации котельных и тепловых сетей, на территории городского округа Талдомский на 2024-2025 годы</t>
  </si>
  <si>
    <t>Инвестиционная программа № 181-Р от 30.10.2023 АО "ТЭП" в сфере теплоснабжения по модернизации, реконструкции и техническому перевооружению объектов, на территории городского округа Талдомский на 2024-2025 годы</t>
  </si>
  <si>
    <t>Инвестиционная программа № 181-Р от 30.10.2023 АО "ТЭП" в сфере теплоснабжения по реконструкции и модернизации существующих объектов системы коммунальной инфраструктуры, на территории городского округа Талдомский на 2024-2025 годы</t>
  </si>
  <si>
    <t>Инвестиционная программа № 187-Р от 30.10.2023 МП "Лыткаринская теплосеть" в сфере теплоснабжения по модернизации объектов, на территории городского округа Лыткарино на 2024-2026 годы</t>
  </si>
  <si>
    <t>Инвестиционная программа № 187-р от 30.10.2023 МП "Лыткаринская теплосеть" в сфере теплоснабжения по модернизации и реконструкции объектов, на территории городского округа Лыткарино на 2024-2025 годы</t>
  </si>
  <si>
    <t>Инвестиционная программа № 193-Р от 30.10.2023 МУП "Тепловодоканал" в сфере теплоснабжения по модернизации и развитию объектов, на территории городского округа Серпухов на 2024-2028 годы</t>
  </si>
  <si>
    <t>Инвестиционная программа № 195-P от 20.09.2021 АО "РАТЕКС" в сфере теплоснабжения по модернизации, реконструкции и техническому перевооружению систем теплоснабжения, на территории городского округа Раменский на 2022-2026 годы</t>
  </si>
  <si>
    <t>Инвестиционная программа № 196-Р от 20.09.2021 МП "Лыткаринская теплосеть" в сфере теплоснабжения по модернизации объектов, на территории городского округа Лыткарино на 2022-2023 годы</t>
  </si>
  <si>
    <t>Инвестиционная программа № 203-р от 30.10.2023 АО "Ивантеевская Теплосеть" в сфере теплоснабжения по модернизации и реконструкции объектов, на территории городского округа Пушкинский на 2024 год</t>
  </si>
  <si>
    <t>31.12.2024</t>
  </si>
  <si>
    <t>Инвестиционная программа № 205-Р от 30.10.2023 АО "Люберецкая теплосеть" в сфере теплоснабжения по модернизации и реконструкции объектов, на территории городского округа Люберцы на 2024-2026 годы</t>
  </si>
  <si>
    <t>Инвестиционная программа № 206-р от 30.10.2023 МУП "Инженерные сети г.Долгопрудного" в сфере теплоснабжения по модернизации и реконструкции объектов, на территории городского округа Долгопрудный на 2024 год</t>
  </si>
  <si>
    <t>Инвестиционная программа № 208-р от 30.10.2023 АО "Теплосеть" в сфере теплоснабжения по развитию систем теплоснабжения, на территории городского округа Королев на 2023-2024 годы</t>
  </si>
  <si>
    <t>30.10.2023</t>
  </si>
  <si>
    <t>Инвестиционная программа № 211-р от 12.11.2024 ФИЛИАЛ МУП "МЕЖРАЙОННЫЙ ЩЁЛКОВСКИЙ ВОДОКАНАЛ"-"ТЕПЛОРЕСУРС" в сфере теплоснабжения по модернизации котельных, на территории городского округа Щёлково на 2024-2026 годы</t>
  </si>
  <si>
    <t>12.11.2024</t>
  </si>
  <si>
    <t>Инвестиционная программа № 215-Р от 15.11.2024 МПКХ "ШАХОВСКАЯ" в сфере теплоснабжения по модернизации и строительству объектов, на территории городского округа Шаховская на 2025-2027 годы</t>
  </si>
  <si>
    <t>Инвестиционная программа № 215-р от 30.10.2023 МУП ЩМР "Межрайонный Щелковский Водоканал" в сфере теплоснабжения по модернизации и реконструкции объектов, на территории городского округа Щёлково на 2024-2026 годы</t>
  </si>
  <si>
    <t>Инвестиционная программа № 218-Р от 15.11.2024 АО "ИВАНТЕЕВСКАЯ ТЕПЛОСЕТЬ" в сфере теплоснабжения по реконструкции котельных и тепловых сетей, на территории городского округа Пушкинский на 2025 год</t>
  </si>
  <si>
    <t>Инвестиционная программа № 219-Р от 15.11.2024 МУП "УЭ" в сфере теплоснабжения по модернизации и реконструкции котельных и тепловых сетей, на территории городского округа Черноголовка на 2025-2027 годы</t>
  </si>
  <si>
    <t>Инвестиционная программа № 220-Р от 15.11.2024 АО "ТЕПЛОСЕТЬ ФРЯЗИНО" в сфере теплоснабжения по реконструкции тепловых сетей, на территории городского округа Фрязино на 2025-2026 годы</t>
  </si>
  <si>
    <t>Инвестиционная программа № 221-р от 30.10.2023 МУП "ТЕПЛОСЕТЬ" в сфере теплоснабжения по модернизации и развитию объектов, на территории городского округа Кашира на 2024-2026 годы</t>
  </si>
  <si>
    <t>Инвестиционная программа № 223-р от 28.10.2022 АО "Бронницкий ТВК" в сфере теплоснабжения по модернизации и развитию котельных и тепловых сетей на 2023-2027 годы</t>
  </si>
  <si>
    <t>Инвестиционная программа № 226-Р от 31.10.2023 ООО "КТС" в сфере теплоснабжения в отношении систем теплоснабжения, на территории городского округа Богородский на 2024-2028 годы</t>
  </si>
  <si>
    <t>Инвестиционная программа № 226-р от 31.10.2023 ООО "КТС" в сфере теплоснабжения по модернизации и развитию объектов, на территории городского округа Богородский на 2024-2028 годы</t>
  </si>
  <si>
    <t>Инвестиционная программа № 228-Р от 31.10.2023 МУП "Тепло Коломны" в сфере теплоснабжения по модернизации и реконструкции объектов, на территории городского округа Коломна на 2024-2026 годы</t>
  </si>
  <si>
    <t>Инвестиционная программа № 231-р от 09.10.2020 ОАО "Энергия" в сфере теплоснабжения по модернизации систем теплоснабжения, на территории городского округа Пушкинский на 2021-2023 годы</t>
  </si>
  <si>
    <t>01.01.2021</t>
  </si>
  <si>
    <t>Инвестиционная программа № 236-р от 14.10.2020 АО "МЫТИЩИНСКАЯ ТЕПЛОСЕТЬ" в сфере теплоснабжения по модернизации и строительству тепловых сетей и системы централизованного теплоснабжения, на территории городского округа Мытищи на 2021-2025 годы</t>
  </si>
  <si>
    <t>Инвестиционная программа № 238-Р от 02.12.2024 МКП "ЛОТОШИНСКОЕ ЖКХ" в сфере теплоснабжения по модернизации и реконструкции котельных и тепловых сетей, на территории городского округа Лотошино на 2025-2028 годы</t>
  </si>
  <si>
    <t>Инвестиционная программа № 238-Р от 02.12.2024 МКП "ЛОТОШИНСКОЕ ЖКХ" в сфере теплоснабжения по развитию котельных и тепловых сетей, на территории городского округа Лотошино на 2025-2028 годы</t>
  </si>
  <si>
    <t>Инвестиционная программа № 240-Р от 02.12.2024 МП "ЗИС" в сфере теплоснабжения по реконструкции и модернизации существующих объектов ЦТП, на территории городского округа Одинцовский на 2025-2027 годы</t>
  </si>
  <si>
    <t>Инвестиционная программа № 240-Р от 28.10.2022 ГУП МО "Энергетик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Павловский Посад на 2023-2027 годы</t>
  </si>
  <si>
    <t>Инвестиционная программа № 240-р от 28.10.2022 ГУП МО "КС МО" в сфере теплоснабжения по модернизации, реконструкции и техническому перевооружению котельных и тепловых сетей, на территории городского округа Павлово-Посадский на 2023-2026 годы</t>
  </si>
  <si>
    <t>Инвестиционная программа № 245-Р от 22.10.2020 в сфере теплоснабжения по строительству, реконструкции, модернизации и развитию систем теплоснабжения, на территории городского округа Богородский на 2021-2026 годы</t>
  </si>
  <si>
    <t>Инвестиционная программа № 252-Р от 22.10.2022 в сфере теплоснабжения по реконструкции и модернизации существующих объектов тепловой сети на 2023-2025 годы</t>
  </si>
  <si>
    <t>Инвестиционная программа № 252-р от 29.10.2021 АО "Теплосеть" в сфере теплоснабжения по развитию систем теплоснабжения, на территории городского округа Королев на 2022-2024 годы</t>
  </si>
  <si>
    <t>Инвестиционная программа № 253-Р от 02.12.2024 АО "ТЕПЛОСЕТЬ" в сфере теплоснабжения по модернизации и реконструкции систем центрального теплоснабжения (за исключением тепловых сетей), на территории городского округа Королев на 2025-2027 годы</t>
  </si>
  <si>
    <t>Инвестиционная программа № 254-Р от 02.12.2024 АО "ИСТРИНСКАЯ ТЕПЛОСЕТЬ" в сфере теплоснабжения и горячего водоснабжения по модернизации и реконструкции газовых котельных, на территории городского округа Истра на 2025 год</t>
  </si>
  <si>
    <t>Инвестиционная программа № 254-Р от 02.12.2024 АО "ИСТРИНСКАЯ ТЕПЛОСЕТЬ" в сфере теплоснабжения по модернизации объектов, на территории городского округа Истра на 2025 год</t>
  </si>
  <si>
    <t>01.12.2025</t>
  </si>
  <si>
    <t>Инвестиционная программа № 254-Р от 29.10.2021 МУП "Талдомсервис" г.Талдом в сфере теплоснабжения по модернизации тепловых сетей на 2022-2024 годы</t>
  </si>
  <si>
    <t>Инвестиционная программа № 254-р от 29.10.2021 МУП "Талдомсервис" г.Талдом в сфере теплоснабжения по модернизации котельных и тепловых сетей, на территории городского округа Талдомский на 2022-2025 годы</t>
  </si>
  <si>
    <t>30.11.2025</t>
  </si>
  <si>
    <t>Инвестиционная программа № 255-Р от 02.12.2024 ООО "СЕРПУХОВСКАЯ БУМАГА"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Серпухов на 2025-2028 годы</t>
  </si>
  <si>
    <t>Инвестиционная программа № 257-Р от 29.10.2021 ООО "Жилресурс" в сфере теплоснабжения по модернизации и реконструкции котельных и тепловых сетей, на территории городского округа Кашира на 2022-2025 годы</t>
  </si>
  <si>
    <t>Инвестиционная программа № 258-Р от 29.10.2021 ООО "ТСК Мосэнерго" в сфере теплоснабжения в отношении системы коммунальной инфраструктуры на 2022-2024 годы</t>
  </si>
  <si>
    <t>Инвестиционная программа № 258-р от 19.11.2021 ООО "ТСК Мосэнерго" в сфере теплоснабжения в отношении системы инженерной инфраструктуры на 2022-2024 годы</t>
  </si>
  <si>
    <t>61</t>
  </si>
  <si>
    <t>Инвестиционная программа № 259-Р от 29.10.2020 МУЖКП "Котельники" в сфере теплоснабжения по реконструкции систем теплоснабжения, на территории городского округа Котельники на 2021-2025 годы</t>
  </si>
  <si>
    <t>62</t>
  </si>
  <si>
    <t>Инвестиционная программа № 260 от 03.12.2024 ООО "УК - ЭНЕРГОЦЕНТР" в сфере теплоснабжения по строительству тепловой сети, на территории городского округа Одинцовский на 2025-2027 годы</t>
  </si>
  <si>
    <t>63</t>
  </si>
  <si>
    <t>Инвестиционная программа № 260-Р от 28.10.2022 МУП "Инженерные сети г.Долгопрудного" в сфере теплоснабжения по реконструкции котельной, на территории городского округа Долгопрудный на 2023 год</t>
  </si>
  <si>
    <t>64</t>
  </si>
  <si>
    <t>Инвестиционная программа № 260-Р от 29.10.2020 МУП "ККК" в сфере теплоснабжения по модернизации и развитию систем коммунальной инфраструктуры, на территории городского округа Сергиево-Посадский на 2021-2023 годы</t>
  </si>
  <si>
    <t>65</t>
  </si>
  <si>
    <t>Инвестиционная программа № 261-Р от 28.10.2022 АО "ТЭП" в сфере теплоснабжения по реконструкции и модернизации существующих объектов котельных на 2023-2025 годы</t>
  </si>
  <si>
    <t>Инвестиционная программа № 262-Р от 03.12.2024 АО "ОДИНЦОВСКАЯ ТЕПЛОСЕТЬ" в сфере теплоснабжения по модернизации и реконструкции объектов, на территории городского округа Одинцовский на 2025-2028 годы</t>
  </si>
  <si>
    <t>67</t>
  </si>
  <si>
    <t>Инвестиционная программа № 263-Р от 03.12.2024 МУП "ВИДНОВСКОЕ ПТО ГХ" в сфере теплоснабжения по реконструкции котельной, на территории городского округа Ленинский на 2025-2027 годы</t>
  </si>
  <si>
    <t>Инвестиционная программа № 263-р от 28.10.2022 МП "ЖКХ " Чеховского района в сфере теплоснабжения по реконструкции и модернизации существующих объектов котельных и тепловых сетей, на территории городского округа Чехов на 2023-2025 годы</t>
  </si>
  <si>
    <t>69</t>
  </si>
  <si>
    <t>Инвестиционная программа № 264-Р от 03.12.2024 АО "ФПЛК" в сфере теплоснабжения по модернизации, реконструкции и техническому перевооружению централизованных систем теплоснабжения, на территории городского округа Можайский на 2025-2027 годы</t>
  </si>
  <si>
    <t>70</t>
  </si>
  <si>
    <t>Инвестиционная программа № 265-Р от 03.12.2024 МП "ТЕПЛОЦЕНТРАЛЬ" в сфере теплоснабжения по реконструкции и модернизации существующих объектов котельных и тепловых сетей, на территории городского округа Жуковский на 2025 год</t>
  </si>
  <si>
    <t>71</t>
  </si>
  <si>
    <t>Инвестиционная программа № 265-Р от 28.10.2022 ГУП МО "Энергетик в сфере теплоснабжения по строительству, реконструкции и модернизации тепловых сетей и системы централизованного теплоснабжения, на территории городского округа Павловский Посад на 2023-2027 годы</t>
  </si>
  <si>
    <t>72</t>
  </si>
  <si>
    <t>Инвестиционная программа № 265-р от 28.10.2022 ГУП МО "КС МО" в сфере теплоснабжения по модернизации, развитию и техническому перевооружению котельных и тепловых сетей, на территории городского округа Павлово-Посадский на 2023-2026 годы</t>
  </si>
  <si>
    <t>73</t>
  </si>
  <si>
    <t>Инвестиционная программа № 266-Р от 03.12.2024 АО "МОЭГ" в сфере теплоснабжения по модернизации и реконструкции котельных, на территории городского округа Люберцы на 2025-2026 годы</t>
  </si>
  <si>
    <t>74</t>
  </si>
  <si>
    <t>Инвестиционная программа № 266-Р от 28.10.2022 Химкинский филиал ООО «ТСК Мосэнерго» в сфере теплоснабжения по комплексному развитию инфраструктуры, на территории городского округа Химки на 2023-2025 годы</t>
  </si>
  <si>
    <t>75</t>
  </si>
  <si>
    <t>Инвестиционная программа № 266-р от 03.12.2024 АО "МОЭГ" в сфере теплоснабжения по модернизации и реконструкции котельных, на территории городского округа Люберцы на 2025-2026 годы</t>
  </si>
  <si>
    <t>76</t>
  </si>
  <si>
    <t>Инвестиционная программа № 267-Р от 28.10.2022 МУП "ДУ ЖКХ" в сфере теплоснабжения по реконструкции существующих объектов тепловой сети, на территории городского округа Дмитровский на 2023-2025 годы</t>
  </si>
  <si>
    <t>77</t>
  </si>
  <si>
    <t>Инвестиционная программа № 268-Р от 03.12.2024 ФКП "НИЦ РКП" в сфере теплоснабжения по реконструкции и модернизации существующих объектов систем коммунальной инфраструктуры, на территории городского округа Сергиево-Посадский на 2025-2028 годы</t>
  </si>
  <si>
    <t>78</t>
  </si>
  <si>
    <t>Инвестиционная программа № 268-Р от 28.10.2022 МУП "ВИДНОВСКОЕ ПТО ГХ" в сфере теплоснабжения по реконструкции объектов, на территории городского округа Ленинский на 2023 год</t>
  </si>
  <si>
    <t>79</t>
  </si>
  <si>
    <t>Инвестиционная программа № 269-Р от 03.12.2024 МУП "ЕСКХ ЗАРАЙСКОГО РАЙОНА" в сфере теплоснабжения по модернизации газовых котельных, на территории городского округа Зарайск на 2025 год</t>
  </si>
  <si>
    <t>80</t>
  </si>
  <si>
    <t>Инвестиционная программа № 269-Р от 30.10.2020 МП "ЛП КТВС" в сфере теплоснабжения по реконструкции, модернизации и развитию систем теплоснабжения от котельных и тепловых сетей, на территории городского округа Лосино-Петровский на 2021-2025 годы</t>
  </si>
  <si>
    <t>81</t>
  </si>
  <si>
    <t>Инвестиционная программа № 270-Р от 03.12.2024 ООО "ТЕПЛОГЕНЕРАЦИЯ" в сфере теплоснабжения по развитию объектов, на территории городского округа Химки на 2025-2026 годы</t>
  </si>
  <si>
    <t>82</t>
  </si>
  <si>
    <t>Инвестиционная программа № 271-Р от 03.12.2024 АО "ВОЛОКОЛАМСКОЕ ПТП РЖКХ" в сфере теплоснабжения в отношении газовых котельных, на территории городского округа Волоколамский на 2025-2027 годы</t>
  </si>
  <si>
    <t>83</t>
  </si>
  <si>
    <t>Инвестиционная программа № 271-Р от 03.12.2024 АО "ВОЛОКОЛАМСКОЕ ПТП РЖКХ" в сфере теплоснабжения по комплексному развитию инфраструктуры, на территории городского округа Волоколамский на 2025-2027 годы</t>
  </si>
  <si>
    <t>84</t>
  </si>
  <si>
    <t>Инвестиционная программа № 271-р от 30.10.2020 ООО "ВТКХ" в сфере теплоснабжения по модернизации и реконструкции объектов, на территории городского округа Луховицы на 2021-2023 годы</t>
  </si>
  <si>
    <t>85</t>
  </si>
  <si>
    <t>Инвестиционная программа № 282-Р от 09.12.2024 ООО "ТСК МОСЭНЕРГО" в сфере теплоснабжения по реконструкции и модернизации существующих объектов систем теплоснабжения на 2025-2027 годы</t>
  </si>
  <si>
    <t>86</t>
  </si>
  <si>
    <t>Инвестиционная программа № 284-Р от 09.12.2024 ФИЛИАЛ АО "КОРПОРАЦИЯ "ТАКТИЧЕСКОЕ РАКЕТНОЕ ВООРУЖЕНИЕ" в сфере теплоснабжения по реконструкции и модернизации существующих объектов котельных и тепловых сетей, на территории городского округа Королев на 2025-2026 годы</t>
  </si>
  <si>
    <t>87</t>
  </si>
  <si>
    <t>Инвестиционная программа № 285-Р от 09.12.2024 ООО "САМОЛЕТ ЭНЕРГО" в сфере теплоснабжения по комплексному развитию объектов, на территории городского округа Красногорск на 2025-2026 годы</t>
  </si>
  <si>
    <t>88</t>
  </si>
  <si>
    <t>Инвестиционная программа № 305 от 11.11.2022 в сфере теплоснабжения по развитию систем теплоснабжения на 2022-2024 годы</t>
  </si>
  <si>
    <t>11.11.2022</t>
  </si>
  <si>
    <t>89</t>
  </si>
  <si>
    <t>Инвестиционная программа № 313-р от 11.11.2022 в сфере теплоснабжения по развитию систем теплоснабжения, на территории городского округа Королев на 2022-2023 годы</t>
  </si>
  <si>
    <t>90</t>
  </si>
  <si>
    <t>Инвестиционная программа № 315-р от 20.11.2020 АО "Теплосеть" в сфере теплоснабжения по реконструкции и модернизации систем теплоснабжения, на территории городского округа Королев на 2021 год</t>
  </si>
  <si>
    <t>31.12.2021</t>
  </si>
  <si>
    <t>91</t>
  </si>
  <si>
    <t>Инвестиционная программа № 348-Р от 19.11.2021 Химкинский филиал ООО «ТСК Мосэнерго» в сфере теплоснабжения в отношении единого комплекса объектов, на территории городского округа Химки на 2022 год</t>
  </si>
  <si>
    <t>31.12.2022</t>
  </si>
  <si>
    <t>92</t>
  </si>
  <si>
    <t>Инвестиционная программа № 353-р от 19.11.2021 АО "Теплосеть" в сфере теплоснабжения по реконструкции и модернизации систем теплоснабжения, на территории городского округа Королев на 2021 год</t>
  </si>
  <si>
    <t>19.11.2021</t>
  </si>
  <si>
    <t>93</t>
  </si>
  <si>
    <t>Инвестиционная программа № 355-р от 19.11.2021 ОАО "НПТО ЖКХ" в сфере теплоснабжения по реконструкции, модернизации и развитию систем теплоснабжения, на территории городского округа Богородский на 2021-2026 годы</t>
  </si>
  <si>
    <t>94</t>
  </si>
  <si>
    <t>Инвестиционная программа № 369-Р от 19.11.2021 МУП "УЭ" в сфере теплоснабжения по модернизации и реконструкции тепловых сетей, на территории городского округа Черноголовка на 2022 год</t>
  </si>
  <si>
    <t>95</t>
  </si>
  <si>
    <t>Инвестиционная программа № 376-Р от 19.11.2021 МУП "ПТО ЖКХ" в сфере теплоснабжения по реконструкции и модернизации существующих объектов ЦТП, на территории городского округа Ступино на 2022-2024 годы</t>
  </si>
  <si>
    <t>96</t>
  </si>
  <si>
    <t>Инвестиционная программа № 376-Р от 19.11.2021 МУП "ПТО ЖКХ" в сфере теплоснабжения по реконструкции и модернизации существующих объектов систем инженерной инфраструктуры, на территории городского округа Ступино на 2022-2024 годы</t>
  </si>
  <si>
    <t>97</t>
  </si>
  <si>
    <t>Инвестиционная программа № 376-Р от 19.11.2021 МУП"ПТО ЖКХ"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Ступино на 2022-2027 годы</t>
  </si>
  <si>
    <t>98</t>
  </si>
  <si>
    <t>Инвестиционная программа № 376-р от 19.11.2021 МУП "ПТО ЖКХ" в сфере теплоснабжения по повышению надежности и энергетической эффективности котельных, на территории городского округа Ступино на 2022 год</t>
  </si>
  <si>
    <t>99</t>
  </si>
  <si>
    <t>Инвестиционная программа № 69 от 27.05.2022 МУП "Теплосеть" г.о Домодедово в сфере теплоснабжения по модернизации и развитию объектов, на территории городского округа Домодедово на 2023-2026 годы</t>
  </si>
  <si>
    <t>100</t>
  </si>
  <si>
    <t>Инвестиционная программа № 69 от 27.05.2022 в сфере теплоснабжения по модернизации и реконструкции объектов, на территории городского округа Домодедово на 2023-2024 годы</t>
  </si>
  <si>
    <t>101</t>
  </si>
  <si>
    <t>Инвестиционная программа № 69-Р от 27.05.2022 МУП "ТЕПЛОСЕТЬ" в сфере теплоснабжения по строительству, реконструкции и модернизации котельных и тепловых сетей, на территории городского округа Домодедово на 2023-2042 годы</t>
  </si>
  <si>
    <t>31.12.2042</t>
  </si>
  <si>
    <t>102</t>
  </si>
  <si>
    <t>Инвестиционная программа № 69-р от 27.05.2022 в сфере теплоснабжения по реконструкции котельных, на территории городского округа Домодедово на 2023 год</t>
  </si>
  <si>
    <t>103</t>
  </si>
  <si>
    <t>Инвестиционная программа № Распоряжение 195-Р от 20.09.2021 ОАО "РАТЕКС" в сфере теплоснабжения по модернизации, реконструкции и техническому перевооружению систем теплоснабжения, на территории городского округа Раменский на 2022-2025 годы</t>
  </si>
  <si>
    <t>104</t>
  </si>
  <si>
    <t>Инвестиционная программа от 06.08.2021 ООО "ПК" в сфере теплоснабжения по модернизации систем теплоснабжения, на территории городского округа Королев на 2022-2023 годы</t>
  </si>
  <si>
    <t>105</t>
  </si>
  <si>
    <t>Инвестиционная программа от 09.12.2024 МУП "БЛАГОУСТРОЙСТВО И РАЗВИТИЕ" ГОРОДСКОГО ОКРУГА ВЛАСИХА в сфере теплоснабжения по реконструкции тепловых сетей, на территории городского округа Власиха на 2025-2026 годы</t>
  </si>
  <si>
    <t>106</t>
  </si>
  <si>
    <t>Инвестиционная программа от 10.12.2020 МУП ЩМР "Межрайонный Щелковский Водоканал" в сфере теплоснабжения по строительству, реконструкции, модернизации и развитию систем коммунальной инфраструктуры, на территории городского округа Щёлково на 2021-2023 годы</t>
  </si>
  <si>
    <t>107</t>
  </si>
  <si>
    <t>Инвестиционная программа от 11.08.2020 АО "МОЭГ" в сфере теплоснабжения по строительству тепловых сетей, на территории городского округа Люберцы на 2021-2023 годы</t>
  </si>
  <si>
    <t>108</t>
  </si>
  <si>
    <t>Инвестиционная программа от 14.10.2020 АО "Мытищинская теплосеть" в сфере теплоснабжения по модернизации и строительству тепловых сетей и системы централизованного теплоснабжения, на территории городского округа Мытищи на 2021-2024 годы</t>
  </si>
  <si>
    <t>109</t>
  </si>
  <si>
    <t>Инвестиционная программа от 15.11.2024 АО "ТЕПЛОСЕТЬ ФРЯЗИНО" в сфере теплоснабжения по реконструкции тепловых сетей, на территории городского округа Фрязино на 2025-2026 годы</t>
  </si>
  <si>
    <t>110</t>
  </si>
  <si>
    <t>Инвестиционная программа от 15.11.2024 МУП "ИНЖЕНЕРНЫЕ СЕТИ Г.ДОЛГОПРУДНОГО" в сфере теплоснабжения по модернизации тепловых сетей, на территории городского округа Долгопрудный на 2025-2027 годы</t>
  </si>
  <si>
    <t>111</t>
  </si>
  <si>
    <t>Инвестиционная программа от 19.11.2020 ООО "ИТ Энергосбыт" в сфере теплоснабжения по модернизации тепловых сетей, на территории городского округа Пушкинский на 2021-2022 годы</t>
  </si>
  <si>
    <t>112</t>
  </si>
  <si>
    <t>Инвестиционная программа от 19.11.2021 АО "МОЭГ" в сфере теплоснабжения по строительству тепловых сетей, на территории городского округа Люберцы на 2021-2023 годы</t>
  </si>
  <si>
    <t>113</t>
  </si>
  <si>
    <t>Инвестиционная программа от 19.11.2021 МУП "ПТО ЖКХ" в сфере теплоснабжения по модернизации систем теплоснабжения, на территории городского округа Ступино на 2022 год</t>
  </si>
  <si>
    <t>114</t>
  </si>
  <si>
    <t>Инвестиционная программа от 19.11.2021 ООО "КТС" в сфере теплоснабжения по модернизации и развитию систем коммунальной инфраструктуры, на территории городского округа Богородский на 2021-2023 годы</t>
  </si>
  <si>
    <t>115</t>
  </si>
  <si>
    <t>Инвестиционная программа от 20.09.2021 АО "ЖИЛСЕРВИС" в сфере теплоснабжения по реконструкции мазутных котельных, на территории городского округа Рузский на 2021-2022 годы</t>
  </si>
  <si>
    <t>20.09.2021</t>
  </si>
  <si>
    <t>116</t>
  </si>
  <si>
    <t>Инвестиционная программа от 22.10.2020 ОАО "НПТО ЖКХ" в сфере теплоснабжения по реконструкции, модернизации и развитию систем центрального теплоснабжения (за исключением тепловых сетей), на территории городского округа Богородский на 2021-2025 годы</t>
  </si>
  <si>
    <t>117</t>
  </si>
  <si>
    <t>Инвестиционная программа от 22.11.2024 ФИЛИАЛ "ШАТУРСКАЯ ГРЭС" ПАО "ЮНИПРО" в сфере теплоснабжения по модернизации тепловых сетей и системы централизованного теплоснабжения, на территории городского округа Шатура на 2025-2027 годы</t>
  </si>
  <si>
    <t>118</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</si>
  <si>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Воскресенск на 2021-2045 годы</t>
  </si>
  <si>
    <t>25.11.2021</t>
  </si>
  <si>
    <t>119</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</si>
  <si>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Клин на 2021-2045 годы</t>
  </si>
  <si>
    <t>120</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</si>
  <si>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Сергиево-Посадский на 2021-2045 годы</t>
  </si>
  <si>
    <t>121</t>
  </si>
  <si>
    <t>Инвестиционная программа от 25.11.2021 ООО «Газпром теплоэнерго МО» в сфере теплоснабжения по строительству, реконструкции и модернизации котельных и тепловых сетей, на территории городского округа Солнечногорск на 2021-2045 годы</t>
  </si>
  <si>
    <t>122</t>
  </si>
  <si>
    <t>Инвестиционная программа от 25.11.2021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Воскресенск на 2022-2045 годы</t>
  </si>
  <si>
    <t>123</t>
  </si>
  <si>
    <t>Инвестиционная программа от 25.11.2021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Клин на 2022-2045 годы</t>
  </si>
  <si>
    <t>124</t>
  </si>
  <si>
    <t>Инвестиционная программа от 25.11.2021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Солнечногорск на 2022-2045 годы</t>
  </si>
  <si>
    <t>125</t>
  </si>
  <si>
    <t>Инвестиционная программа от 26.11.2021 ООО «Газпром теплоэнерго МО» в сфере теплоснабжения по строительству, реконструкции, модернизации и развитию котельных и тепловых сетей, на территории городского округа Сергиево-Посадский на 2022-2045 годы</t>
  </si>
  <si>
    <t>126</t>
  </si>
  <si>
    <t>Инвестиционная программа от 27.05.2022 в сфере теплоснабжения по реконструкции и модернизации тепловых сетей, на территории городского округа Домодедово на 2023 год</t>
  </si>
  <si>
    <t>127</t>
  </si>
  <si>
    <t>Инвестиционная программа от 28.10.2022 МПКХ "Шаховская" в сфере теплоснабжения по модернизации и реконструкции тепловых сетей, на территории городского округа Шаховская на 2023-2024 годы</t>
  </si>
  <si>
    <t>128</t>
  </si>
  <si>
    <t>Инвестиционная программа от 28.10.2022 МУП "Инженерные сети г.Долгопрудного" в сфере теплоснабжения по реконструкции существующих объектов котельной, на территории городского округа Долгопрудный на 2023 год</t>
  </si>
  <si>
    <t>129</t>
  </si>
  <si>
    <t>Инвестиционная программа от 28.10.2022 МУП "Теплосеть Наро-Фоминского городского округа" в сфере теплоснабжения по модернизации и реконструкции котельных, на территории городского округа Молодёжный на 2023-2025 годы</t>
  </si>
  <si>
    <t>130</t>
  </si>
  <si>
    <t>Инвестиционная программа от 29.10.2021 МУП "Талдомсервис" г.Талдом в сфере теплоснабжения по модернизации котельных и тепловых сетей, на территории городского округа Талдомский на 2022-2024 годы</t>
  </si>
  <si>
    <t>131</t>
  </si>
  <si>
    <t>Инвестиционная программа от 29.10.2021 ООО "Жилресурс" в сфере теплоснабжения по строительству блочно-модульной котельной, на территории городского округа Кашира на 2022-2027 годы</t>
  </si>
  <si>
    <t>132</t>
  </si>
  <si>
    <t>Инвестиционная программа от 29.10.2021 в сфере теплоснабжения по строительству блочно-модульной котельной, на территории городского округа Кашира на 2022-2025 годы</t>
  </si>
  <si>
    <t>133</t>
  </si>
  <si>
    <t>Инвестиционная программа от 29.12.2023 АО "Красногорская теплосеть" в сфере теплоснабжения по повышению надежности и энергетической эффективности единого комплекса объектов, на территории городского округа Красногорск на 2023-2047 годы</t>
  </si>
  <si>
    <t>29.12.2023</t>
  </si>
  <si>
    <t>31.12.2047</t>
  </si>
  <si>
    <t>134</t>
  </si>
  <si>
    <t>Инвестиционная программа от 30.10.2020 ООО "ВТКХ" в сфере теплоснабжения по модернизации и реконструкции объектов, на территории городского округа Луховицы на 2021-2023 годы</t>
  </si>
  <si>
    <t>135</t>
  </si>
  <si>
    <t>Инвестиционная программа от 30.10.2023 ООО "ВТКХ" в сфере теплоснабжения по модернизации и реконструкции объектов, на территории городского округа Луховицы на 2024-2026 годы</t>
  </si>
  <si>
    <t>136</t>
  </si>
  <si>
    <t>Инвестиционная программа от 30.10.2023 ПАО "Мосэнерго" в сфере теплоснабжения по модернизации и реконструкции систем центрального теплоснабжения (за исключением тепловых сетей) на 2024-2028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</si>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</sst>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000000"/>
    <numFmt numFmtId="216" formatCode="#,##0.000"/>
    <numFmt numFmtId="217" formatCode="#,##0.0000"/>
    <numFmt numFmtId="218" formatCode="dd\.mm\.yyyy"/>
    <numFmt numFmtId="219" formatCode="h:mm;@"/>
    <numFmt numFmtId="220" formatCode="_-* #,##0.00\ _₽_-;\-* #,##0.00\ _₽_-;_-* &quot;-&quot;??\ _₽_-;_-@_-"/>
    <numFmt numFmtId="221" formatCode="_-* #,##0\ _₽_-;\-* #,##0\ _₽_-;_-* &quot;-&quot;\ _₽_-;_-@_-"/>
    <numFmt numFmtId="222" formatCode="_-* #,##0.00\ &quot;₽&quot;_-;\-* #,##0.00\ &quot;₽&quot;_-;_-* &quot;-&quot;??\ &quot;₽&quot;_-;_-@_-"/>
    <numFmt numFmtId="223" formatCode="_-* #,##0\ &quot;₽&quot;_-;\-* #,##0\ &quot;₽&quot;_-;_-* &quot;-&quot;\ &quot;₽&quot;_-;_-@_-"/>
    <numFmt numFmtId="224" formatCode="_-* #,##0.00[$€-1]_-;\-* #,##0.00[$€-1]_-;_-* &quot;-&quot;??[$€-1]_-"/>
    <numFmt numFmtId="225" formatCode="#,##0.0"/>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0" fontId="6" fillId="0" borderId="0" applyFont="0" applyFill="0" applyBorder="0" applyNumberFormat="1">
      <alignment vertical="top"/>
    </xf>
    <xf numFmtId="221" fontId="6" fillId="0" borderId="0" applyFont="0" applyFill="0" applyBorder="0" applyNumberFormat="1">
      <alignment vertical="top"/>
    </xf>
    <xf numFmtId="222" fontId="6" fillId="0" borderId="0" applyFont="0" applyFill="0" applyBorder="0" applyNumberFormat="1">
      <alignment vertical="top"/>
    </xf>
    <xf numFmtId="223"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24" fontId="20" fillId="0" borderId="0" applyFont="1" applyFill="0" applyBorder="0" applyNumberFormat="1"/>
    <xf numFmtId="38" fontId="21" fillId="0" borderId="0" applyFont="1" applyFill="0" applyBorder="0" applyNumberFormat="1">
      <alignment vertical="top"/>
    </xf>
    <xf numFmtId="225" fontId="22" fillId="33" borderId="0" applyFont="1" applyFill="1" applyBorder="0" applyNumberFormat="1">
      <protection locked="0"/>
    </xf>
    <xf numFmtId="0" fontId="23" fillId="0" borderId="0" applyFont="1" applyFill="0" applyBorder="0">
      <alignment vertical="center"/>
    </xf>
    <xf numFmtId="216" fontId="22" fillId="33" borderId="0" applyFont="1" applyFill="1" applyBorder="0" applyNumberFormat="1">
      <protection locked="0"/>
    </xf>
    <xf numFmtId="217"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15859">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0" fontId="6" fillId="0" borderId="0" xfId="28" applyNumberFormat="1">
      <alignment vertical="top"/>
    </xf>
    <xf numFmtId="221" fontId="6" fillId="0" borderId="0" xfId="29" applyNumberFormat="1">
      <alignment vertical="top"/>
    </xf>
    <xf numFmtId="222" fontId="6" fillId="0" borderId="0" xfId="30" applyNumberFormat="1">
      <alignment vertical="top"/>
    </xf>
    <xf numFmtId="223"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24" fontId="20" fillId="0" borderId="0" xfId="49" applyFont="1" applyNumberFormat="1"/>
    <xf numFmtId="38" fontId="21" fillId="0" borderId="0" xfId="50" applyFont="1" applyNumberFormat="1">
      <alignment vertical="top"/>
    </xf>
    <xf numFmtId="225" fontId="22" fillId="33" borderId="0" xfId="51" applyFont="1" applyFill="1" applyNumberFormat="1">
      <protection locked="0"/>
    </xf>
    <xf numFmtId="0" fontId="23" fillId="0" borderId="0" xfId="52" applyFont="1">
      <alignment vertical="center"/>
    </xf>
    <xf numFmtId="216" fontId="22" fillId="33" borderId="0" xfId="53" applyFont="1" applyFill="1" applyNumberFormat="1">
      <protection locked="0"/>
    </xf>
    <xf numFmtId="217"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20" fontId="31" fillId="0" borderId="0" xfId="28" applyFont="1" applyNumberFormat="1">
      <alignment vertical="top"/>
    </xf>
    <xf numFmtId="221" fontId="31" fillId="0" borderId="0" xfId="29" applyFont="1" applyNumberFormat="1">
      <alignment vertical="top"/>
    </xf>
    <xf numFmtId="222" fontId="31" fillId="0" borderId="0" xfId="30" applyFont="1" applyNumberFormat="1">
      <alignment vertical="top"/>
    </xf>
    <xf numFmtId="223"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20" fontId="31" fillId="0" borderId="0" xfId="28" applyFont="1" applyNumberFormat="1">
      <alignment vertical="top"/>
    </xf>
    <xf numFmtId="221" fontId="31" fillId="0" borderId="0" xfId="29" applyFont="1" applyNumberFormat="1">
      <alignment vertical="top"/>
    </xf>
    <xf numFmtId="222" fontId="31" fillId="0" borderId="0" xfId="30" applyFont="1" applyNumberFormat="1">
      <alignment vertical="top"/>
    </xf>
    <xf numFmtId="223"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220" fontId="31" fillId="0" borderId="0" xfId="28" applyFont="1" applyNumberFormat="1">
      <alignment vertical="top"/>
    </xf>
    <xf numFmtId="221" fontId="31" fillId="0" borderId="0" xfId="29" applyFont="1" applyNumberFormat="1">
      <alignment vertical="top"/>
    </xf>
    <xf numFmtId="222" fontId="31" fillId="0" borderId="0" xfId="30" applyFont="1" applyNumberFormat="1">
      <alignment vertical="top"/>
    </xf>
    <xf numFmtId="223"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22" fillId="0" borderId="0" xfId="0" applyFont="1" applyNumberForma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applyNumberFormat="1"/>
    <xf numFmtId="0" fontId="22" fillId="35" borderId="0" xfId="0" applyFont="1" applyFill="1" applyNumberFormat="1"/>
    <xf numFmtId="0" fontId="32" fillId="0" borderId="0" xfId="0" applyFont="1" applyNumberFormat="1">
      <alignment vertical="center" wrapText="1"/>
    </xf>
    <xf numFmtId="0" fontId="33" fillId="0" borderId="0" xfId="0" applyFont="1" applyNumberFormat="1">
      <alignment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22" fillId="35" borderId="0" xfId="0" applyFont="1" applyFill="1" applyNumberFormat="1">
      <alignment horizontal="right" vertical="center" wrapText="1" indent="1"/>
    </xf>
    <xf numFmtId="0" fontId="22" fillId="35" borderId="0" xfId="0" applyFont="1" applyFill="1" applyNumberFormat="1">
      <alignment horizontal="center" vertical="center" wrapTex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0" fontId="22" fillId="0" borderId="0" xfId="0" applyFont="1" applyNumberForma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0" xfId="0" applyFont="1" applyFill="1" applyNumberFormat="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xf>
    <xf numFmtId="0" fontId="37" fillId="35" borderId="0" xfId="0" applyFont="1" applyFill="1" applyNumberFormat="1">
      <alignment horizontal="center" vertical="center"/>
    </xf>
    <xf numFmtId="49" fontId="38" fillId="0" borderId="11" xfId="0" applyFont="1" applyBorder="1" applyNumberFormat="1">
      <alignment vertical="top" wrapText="1"/>
    </xf>
    <xf numFmtId="0" fontId="0" fillId="0" borderId="11" xfId="0" applyFont="1" applyBorder="1" applyNumberFormat="1">
      <alignment vertical="top" wrapText="1"/>
    </xf>
    <xf numFmtId="0" fontId="22" fillId="35" borderId="0" xfId="0" applyFont="1" applyFill="1" applyNumberFormat="1">
      <alignment horizontal="center" vertical="center" wrapText="1"/>
    </xf>
    <xf numFmtId="0" fontId="39" fillId="35" borderId="0" xfId="0" applyFont="1" applyFill="1" applyNumberFormat="1">
      <alignment vertical="center" wrapText="1"/>
    </xf>
    <xf numFmtId="0" fontId="39" fillId="0" borderId="0" xfId="0" applyFont="1" applyNumberFormat="1">
      <alignment vertical="center" wrapText="1"/>
    </xf>
    <xf numFmtId="0" fontId="32" fillId="0" borderId="0" xfId="0" applyFont="1" applyNumberFormat="1">
      <alignment horizontal="left" vertical="center" wrapText="1"/>
    </xf>
    <xf numFmtId="49" fontId="32" fillId="0" borderId="0" xfId="0" applyFont="1" applyNumberFormat="1">
      <alignment horizontal="left" vertical="center" wrapText="1"/>
    </xf>
    <xf numFmtId="0" fontId="0" fillId="0" borderId="0" xfId="0" applyFont="1" applyNumberForma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0" fillId="0" borderId="0" xfId="0" applyFont="1" applyNumberFormat="1">
      <alignment vertical="center"/>
    </xf>
    <xf numFmtId="0" fontId="22" fillId="35" borderId="12" xfId="0" applyFont="1" applyFill="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pplyNumberFormat="1">
      <alignment horizontal="center" vertical="center" wrapText="1"/>
    </xf>
    <xf numFmtId="0" fontId="22" fillId="37" borderId="14" xfId="0" applyFont="1" applyFill="1" applyBorder="1" applyNumberFormat="1">
      <alignment vertical="center" wrapText="1"/>
    </xf>
    <xf numFmtId="0" fontId="22" fillId="0" borderId="12" xfId="0" applyFont="1" applyBorder="1" applyNumberFormat="1">
      <alignment horizontal="center" vertical="center" wrapText="1"/>
    </xf>
    <xf numFmtId="0" fontId="41" fillId="0" borderId="0" xfId="0" applyFont="1" applyNumberFormat="1">
      <alignment vertical="center"/>
    </xf>
    <xf numFmtId="49" fontId="22" fillId="0" borderId="12" xfId="0" applyFont="1" applyBorder="1" applyNumberFormat="1">
      <alignment horizontal="center" vertical="center" wrapText="1"/>
    </xf>
    <xf numFmtId="0" fontId="22" fillId="35" borderId="12" xfId="0" applyFont="1" applyFill="1" applyBorder="1" applyNumberFormat="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pplyNumberFormat="1">
      <alignment vertical="center" wrapText="1"/>
    </xf>
    <xf numFmtId="0" fontId="42" fillId="0" borderId="0" xfId="0" applyFont="1" applyNumberForma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applyNumberFormat="1"/>
    <xf numFmtId="0" fontId="43" fillId="35" borderId="0" xfId="0" applyFont="1" applyFill="1" applyNumberFormat="1">
      <alignment horizontal="center" vertical="center" wrapText="1"/>
    </xf>
    <xf numFmtId="0" fontId="3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pplyNumberFormat="1">
      <alignment vertical="center"/>
    </xf>
    <xf numFmtId="0" fontId="0"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pplyNumberFormat="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pplyNumberFormat="1">
      <alignment horizontal="center" vertical="center" wrapText="1"/>
    </xf>
    <xf numFmtId="49" fontId="22" fillId="0" borderId="0" xfId="0" applyFont="1" applyNumberFormat="1">
      <alignment vertical="top"/>
    </xf>
    <xf numFmtId="0" fontId="0" fillId="0" borderId="0" xfId="0" applyFont="1" applyNumberFormat="1">
      <alignment vertical="center"/>
    </xf>
    <xf numFmtId="0" fontId="46" fillId="0" borderId="0" xfId="0" applyFont="1" applyNumberFormat="1">
      <alignment vertical="center" wrapText="1"/>
    </xf>
    <xf numFmtId="49" fontId="22" fillId="0" borderId="16" xfId="0" applyFont="1" applyBorder="1" applyNumberFormat="1">
      <alignment vertical="top"/>
    </xf>
    <xf numFmtId="0" fontId="29" fillId="0" borderId="0" xfId="0" applyFont="1" applyNumberFormat="1"/>
    <xf numFmtId="49" fontId="47" fillId="0" borderId="0" xfId="0" applyFont="1" applyNumberFormat="1">
      <alignment vertical="top"/>
    </xf>
    <xf numFmtId="0" fontId="47" fillId="0" borderId="0" xfId="0" applyFont="1" applyNumberFormat="1">
      <alignment vertical="center" wrapText="1"/>
    </xf>
    <xf numFmtId="49" fontId="0" fillId="35" borderId="12" xfId="0" applyFont="1" applyFill="1" applyBorder="1" applyNumberFormat="1">
      <alignment horizontal="center" vertical="center" wrapText="1"/>
    </xf>
    <xf numFmtId="0" fontId="32" fillId="0" borderId="0" xfId="0" applyFont="1" applyNumberForma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pplyNumberFormat="1">
      <alignment horizontal="center" vertical="center"/>
    </xf>
    <xf numFmtId="0" fontId="22" fillId="0" borderId="12" xfId="0" applyFont="1" applyBorder="1" applyNumberFormat="1">
      <alignment vertical="center" wrapText="1"/>
    </xf>
    <xf numFmtId="0" fontId="48"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top" wrapText="1"/>
    </xf>
    <xf numFmtId="49" fontId="22" fillId="0" borderId="12" xfId="0" applyFont="1" applyBorder="1" applyNumberFormat="1">
      <alignment horizontal="center" vertical="center" wrapText="1"/>
    </xf>
    <xf numFmtId="0" fontId="4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22" fillId="0" borderId="0" xfId="0" applyFont="1" applyNumberFormat="1">
      <alignment horizontal="right" vertical="center" wrapTex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pplyNumberFormat="1">
      <alignment vertical="center"/>
    </xf>
    <xf numFmtId="215"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pplyNumberForma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51" fillId="0" borderId="0" xfId="0" applyFont="1" applyNumberForma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pplyNumberForma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49" fontId="22" fillId="0" borderId="0" xfId="0" applyFont="1" applyNumberFormat="1">
      <alignment vertical="top"/>
    </xf>
    <xf numFmtId="0" fontId="22" fillId="35"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4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pplyNumberForma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pplyNumberFormat="1">
      <alignment vertical="top" wrapText="1"/>
    </xf>
    <xf numFmtId="0" fontId="37" fillId="0" borderId="0" xfId="0" applyFont="1" applyNumberFormat="1">
      <alignment horizontal="center" vertical="center" wrapText="1"/>
    </xf>
    <xf numFmtId="49" fontId="0" fillId="0" borderId="17" xfId="0" applyFont="1" applyBorder="1" applyNumberFormat="1">
      <alignment vertical="top"/>
    </xf>
    <xf numFmtId="0" fontId="48" fillId="0" borderId="0" xfId="0" applyFont="1" applyNumberFormat="1">
      <alignment vertical="center"/>
    </xf>
    <xf numFmtId="0" fontId="31" fillId="0" borderId="0" xfId="0" applyFont="1" applyNumberForma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pplyNumberFormat="1">
      <alignment horizontal="center" vertical="center" wrapText="1"/>
    </xf>
    <xf numFmtId="0" fontId="46" fillId="0" borderId="0" xfId="0" applyFont="1" applyNumberFormat="1">
      <alignment vertical="center" wrapText="1"/>
    </xf>
    <xf numFmtId="0" fontId="48" fillId="0" borderId="0" xfId="0" applyFont="1" applyNumberFormat="1">
      <alignment horizontal="center" vertical="center" wrapText="1"/>
    </xf>
    <xf numFmtId="0" fontId="0" fillId="0" borderId="12" xfId="0" applyFont="1" applyBorder="1" applyNumberFormat="1">
      <alignment horizontal="left" vertical="center" wrapText="1"/>
    </xf>
    <xf numFmtId="49" fontId="36" fillId="0" borderId="15" xfId="0" applyFont="1" applyBorder="1" applyNumberFormat="1">
      <alignment horizontal="center" vertical="center" wrapText="1"/>
    </xf>
    <xf numFmtId="0" fontId="54" fillId="0" borderId="0" xfId="0" applyFont="1" applyNumberFormat="1">
      <alignment vertical="center"/>
    </xf>
    <xf numFmtId="0" fontId="55" fillId="0" borderId="0" xfId="0" applyFont="1" applyNumberFormat="1">
      <alignment vertical="center"/>
    </xf>
    <xf numFmtId="0" fontId="48" fillId="0" borderId="0" xfId="0" applyFont="1" applyNumberFormat="1">
      <alignment vertical="center"/>
    </xf>
    <xf numFmtId="0" fontId="48"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63" fillId="0" borderId="0" xfId="0" applyFont="1" applyNumberFormat="1">
      <alignment horizontal="left" vertical="center" wrapText="1"/>
    </xf>
    <xf numFmtId="0" fontId="63" fillId="0" borderId="0" xfId="0" applyFont="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49" fontId="22" fillId="0" borderId="0" xfId="0" applyFont="1" applyNumberFormat="1">
      <alignment vertical="center" wrapText="1"/>
    </xf>
    <xf numFmtId="0" fontId="0" fillId="0" borderId="0" xfId="0" applyFont="1" applyNumberFormat="1">
      <alignment horizontal="left" vertical="center" indent="1"/>
    </xf>
    <xf numFmtId="0" fontId="48" fillId="0" borderId="0" xfId="0" applyFont="1" applyNumberFormat="1">
      <alignment horizontal="left" vertical="center" indent="1"/>
    </xf>
    <xf numFmtId="0" fontId="48" fillId="0" borderId="0" xfId="0" applyFont="1" applyNumberFormat="1">
      <alignment horizontal="left" vertical="center" indent="1"/>
    </xf>
    <xf numFmtId="0" fontId="48" fillId="0" borderId="22" xfId="0" applyFont="1" applyBorder="1" applyNumberFormat="1">
      <alignment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pplyNumberFormat="1">
      <alignment horizontal="left" vertical="center" wrapText="1" indent="2"/>
    </xf>
    <xf numFmtId="0" fontId="22" fillId="0" borderId="12" xfId="0" applyFont="1" applyBorder="1" applyNumberFormat="1">
      <alignment vertical="top" wrapText="1"/>
    </xf>
    <xf numFmtId="0"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applyNumberFormat="1"/>
    <xf numFmtId="0" fontId="64" fillId="0" borderId="0" xfId="0" applyFont="1" applyNumberFormat="1">
      <alignment vertical="center" wrapText="1"/>
    </xf>
    <xf numFmtId="0" fontId="64" fillId="0" borderId="0" xfId="0" applyFont="1" applyNumberFormat="1">
      <alignment vertical="center" wrapText="1"/>
    </xf>
    <xf numFmtId="0" fontId="64" fillId="0" borderId="0" xfId="0" applyFont="1" applyNumberFormat="1"/>
    <xf numFmtId="49" fontId="65" fillId="0" borderId="0" xfId="0" applyFont="1" applyNumberFormat="1">
      <alignment vertical="top"/>
    </xf>
    <xf numFmtId="49" fontId="66" fillId="0" borderId="0" xfId="0" applyFont="1" applyNumberFormat="1">
      <alignment vertical="top"/>
    </xf>
    <xf numFmtId="0" fontId="22" fillId="0" borderId="0" xfId="0" applyFont="1" applyNumberForma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pplyNumberFormat="1">
      <alignment vertical="top"/>
    </xf>
    <xf numFmtId="49" fontId="48" fillId="0" borderId="0" xfId="0" applyFont="1" applyNumberFormat="1">
      <alignment vertical="top"/>
    </xf>
    <xf numFmtId="0" fontId="0" fillId="0" borderId="0" xfId="0" applyFont="1" applyNumberFormat="1">
      <alignment vertical="top"/>
    </xf>
    <xf numFmtId="49" fontId="22" fillId="0" borderId="12" xfId="0" applyFont="1" applyBorder="1" applyNumberFormat="1">
      <alignment horizontal="right" vertical="center"/>
    </xf>
    <xf numFmtId="0" fontId="67"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wrapText="1"/>
    </xf>
    <xf numFmtId="0" fontId="22" fillId="0" borderId="12" xfId="0" applyFont="1" applyBorder="1" applyNumberFormat="1">
      <alignment horizontal="left" vertical="center" wrapText="1"/>
    </xf>
    <xf numFmtId="0" fontId="68" fillId="0" borderId="0" xfId="0" applyFont="1" applyNumberFormat="1">
      <alignment vertical="center"/>
    </xf>
    <xf numFmtId="49" fontId="36" fillId="35" borderId="0" xfId="0" applyFont="1" applyFill="1" applyNumberFormat="1">
      <alignment horizontal="center" vertical="center" wrapText="1"/>
    </xf>
    <xf numFmtId="0" fontId="0" fillId="0" borderId="0" xfId="0" applyFont="1" applyNumberFormat="1">
      <alignment vertical="center"/>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35" borderId="12" xfId="0" applyFont="1" applyFill="1" applyBorder="1" applyNumberFormat="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pplyNumberFormat="1">
      <alignment vertical="center" wrapText="1"/>
    </xf>
    <xf numFmtId="0" fontId="46" fillId="0" borderId="0" xfId="0" applyFont="1" applyNumberFormat="1">
      <alignment vertical="center" wrapText="1"/>
    </xf>
    <xf numFmtId="0" fontId="69" fillId="35" borderId="0" xfId="0" applyFont="1" applyFill="1" applyNumberFormat="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2" fillId="0" borderId="12" xfId="0" applyFont="1" applyBorder="1" applyNumberFormat="1">
      <alignment vertical="top" wrapText="1"/>
    </xf>
    <xf numFmtId="0" fontId="22" fillId="0" borderId="12" xfId="0" applyFont="1" applyBorder="1" applyNumberFormat="1">
      <alignment vertical="center" wrapText="1"/>
    </xf>
    <xf numFmtId="0" fontId="67" fillId="0" borderId="0" xfId="0" applyFont="1" applyNumberFormat="1">
      <alignment vertical="center"/>
    </xf>
    <xf numFmtId="0" fontId="22" fillId="0" borderId="12" xfId="0" applyFont="1" applyBorder="1" applyNumberFormat="1">
      <alignment horizontal="left" vertical="center" wrapText="1" indent="6"/>
    </xf>
    <xf numFmtId="0" fontId="22" fillId="0" borderId="17" xfId="0" applyFont="1" applyBorder="1" applyNumberFormat="1">
      <alignment vertical="center" wrapText="1"/>
    </xf>
    <xf numFmtId="0" fontId="22" fillId="0" borderId="23" xfId="0" applyFont="1" applyBorder="1" applyNumberFormat="1">
      <alignment vertical="center" wrapText="1"/>
    </xf>
    <xf numFmtId="49" fontId="0" fillId="37" borderId="13" xfId="0" applyFont="1" applyFill="1" applyBorder="1" applyNumberFormat="1">
      <alignment horizontal="center" vertical="center" wrapText="1"/>
    </xf>
    <xf numFmtId="0" fontId="0" fillId="0" borderId="14" xfId="0" applyFont="1" applyBorder="1" applyNumberFormat="1">
      <alignment vertical="center"/>
    </xf>
    <xf numFmtId="0" fontId="0" fillId="35" borderId="14" xfId="0" applyFont="1" applyFill="1" applyBorder="1" applyNumberFormat="1">
      <alignment horizontal="right" vertical="center" wrapText="1" indent="1"/>
    </xf>
    <xf numFmtId="49" fontId="32" fillId="0" borderId="0" xfId="0" applyFont="1" applyNumberFormat="1">
      <alignment vertical="top"/>
    </xf>
    <xf numFmtId="0" fontId="39" fillId="35" borderId="0" xfId="0" applyFont="1" applyFill="1" applyNumberFormat="1">
      <alignment vertical="center" wrapText="1"/>
    </xf>
    <xf numFmtId="0" fontId="22" fillId="35" borderId="12" xfId="0" applyFont="1" applyFill="1" applyBorder="1" applyNumberFormat="1">
      <alignment horizontal="left" vertical="center" wrapText="1" inden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22" fillId="0" borderId="12" xfId="0" applyFont="1" applyBorder="1" applyNumberFormat="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pplyNumberFormat="1">
      <alignment vertical="top" wrapText="1"/>
    </xf>
    <xf numFmtId="49" fontId="40" fillId="37" borderId="14"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50" fillId="35" borderId="0" xfId="0" applyFont="1" applyFill="1" applyNumberFormat="1">
      <alignment horizontal="center" vertical="center" wrapText="1"/>
    </xf>
    <xf numFmtId="0" fontId="22" fillId="0" borderId="0" xfId="0" applyFont="1" applyNumberForma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pplyNumberFormat="1">
      <alignment vertical="center" wrapText="1"/>
    </xf>
    <xf numFmtId="0" fontId="22" fillId="0" borderId="0" xfId="0" applyFont="1" applyNumberFormat="1">
      <alignment vertical="center" wrapText="1"/>
    </xf>
    <xf numFmtId="4" fontId="4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70" fillId="0" borderId="14" xfId="0" applyFont="1" applyBorder="1" applyNumberFormat="1">
      <alignment horizontal="left" vertical="center" wrapText="1"/>
    </xf>
    <xf numFmtId="0" fontId="67" fillId="0" borderId="12" xfId="0" applyFont="1" applyBorder="1" applyNumberFormat="1">
      <alignment horizontal="left" vertical="center" wrapText="1" indent="2"/>
    </xf>
    <xf numFmtId="49" fontId="67" fillId="0" borderId="12" xfId="0" applyFont="1" applyBorder="1" applyNumberFormat="1">
      <alignment horizontal="center" vertical="center" wrapText="1"/>
    </xf>
    <xf numFmtId="0" fontId="71" fillId="0" borderId="0" xfId="0" applyFont="1" applyNumberFormat="1">
      <alignment vertical="center" wrapText="1"/>
    </xf>
    <xf numFmtId="0" fontId="22" fillId="0" borderId="0" xfId="0" applyFont="1" applyNumberFormat="1">
      <alignment vertical="top"/>
    </xf>
    <xf numFmtId="0" fontId="22" fillId="0" borderId="0" xfId="0" applyFont="1" applyNumberFormat="1">
      <alignment horizontal="right" vertical="top" wrapText="1"/>
    </xf>
    <xf numFmtId="0" fontId="22" fillId="0" borderId="17" xfId="0" applyFont="1" applyBorder="1" applyNumberFormat="1">
      <alignment vertical="center" wrapText="1"/>
    </xf>
    <xf numFmtId="49" fontId="44" fillId="37" borderId="15" xfId="0" applyFont="1" applyFill="1" applyBorder="1" applyNumberFormat="1">
      <alignment horizontal="center" vertical="top"/>
    </xf>
    <xf numFmtId="0" fontId="22" fillId="0" borderId="23" xfId="0" applyFont="1" applyBorder="1" applyNumberFormat="1">
      <alignment vertical="top" wrapText="1"/>
    </xf>
    <xf numFmtId="0" fontId="0" fillId="0" borderId="0" xfId="0" applyFont="1" applyNumberFormat="1">
      <alignment horizontal="left" vertical="top" wrapText="1"/>
    </xf>
    <xf numFmtId="0" fontId="22" fillId="0" borderId="17" xfId="0" applyFont="1" applyBorder="1" applyNumberFormat="1">
      <alignment vertical="top" wrapText="1"/>
    </xf>
    <xf numFmtId="0" fontId="22" fillId="0" borderId="0" xfId="0" applyFont="1" applyNumberFormat="1">
      <alignment vertical="center" wrapText="1"/>
    </xf>
    <xf numFmtId="49" fontId="22" fillId="0" borderId="0" xfId="0" applyFont="1" applyNumberFormat="1">
      <alignment vertical="top"/>
    </xf>
    <xf numFmtId="0" fontId="39" fillId="0" borderId="0" xfId="0" applyFont="1" applyNumberFormat="1">
      <alignment vertical="center" wrapText="1"/>
    </xf>
    <xf numFmtId="0" fontId="22" fillId="0" borderId="12" xfId="0" applyFont="1" applyBorder="1" applyNumberFormat="1">
      <alignment vertical="center" wrapText="1"/>
    </xf>
    <xf numFmtId="49" fontId="22" fillId="0" borderId="0" xfId="0" applyFont="1" applyNumberFormat="1">
      <alignment horizontal="center" vertical="center" wrapText="1"/>
    </xf>
    <xf numFmtId="0" fontId="22" fillId="37" borderId="14"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pplyNumberFormat="1">
      <alignment vertical="center"/>
    </xf>
    <xf numFmtId="0" fontId="72" fillId="0" borderId="0" xfId="0" applyFont="1" applyNumberFormat="1">
      <alignment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37" fillId="0" borderId="0" xfId="0" applyFont="1" applyNumberFormat="1">
      <alignment vertical="center" wrapText="1"/>
    </xf>
    <xf numFmtId="49" fontId="22" fillId="0" borderId="24" xfId="0" applyFont="1" applyBorder="1" applyNumberFormat="1">
      <alignment vertical="top"/>
    </xf>
    <xf numFmtId="0" fontId="48" fillId="0" borderId="24" xfId="0" applyFont="1" applyBorder="1" applyNumberFormat="1">
      <alignment horizontal="center" vertical="center" wrapText="1"/>
    </xf>
    <xf numFmtId="0" fontId="48" fillId="0" borderId="24" xfId="0" applyFont="1" applyBorder="1" applyNumberFormat="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pplyNumberFormat="1">
      <alignment vertical="center" wrapText="1"/>
    </xf>
    <xf numFmtId="0" fontId="22" fillId="35" borderId="0" xfId="0" applyFont="1" applyFill="1" applyNumberFormat="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pplyNumberFormat="1">
      <alignment vertical="center"/>
    </xf>
    <xf numFmtId="0" fontId="22" fillId="0" borderId="0" xfId="0" applyFont="1" applyNumberForma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pplyNumberFormat="1">
      <alignment vertical="center" wrapText="1"/>
    </xf>
    <xf numFmtId="49" fontId="39" fillId="0" borderId="0" xfId="0" applyFont="1" applyNumberFormat="1">
      <alignment vertical="top"/>
    </xf>
    <xf numFmtId="0" fontId="39" fillId="35" borderId="0" xfId="0" applyFont="1" applyFill="1" applyNumberFormat="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6"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35" borderId="0" xfId="0" applyFont="1" applyFill="1" applyNumberFormat="1">
      <alignment horizontal="center" vertical="center" wrapText="1"/>
    </xf>
    <xf numFmtId="0" fontId="50" fillId="0" borderId="0" xfId="0" applyFont="1" applyNumberFormat="1">
      <alignment vertical="top" wrapText="1"/>
    </xf>
    <xf numFmtId="0" fontId="22" fillId="35" borderId="26" xfId="0" applyFont="1" applyFill="1" applyBorder="1" applyNumberFormat="1">
      <alignment horizontal="right" vertical="center" wrapText="1" indent="1"/>
    </xf>
    <xf numFmtId="0" fontId="0" fillId="35" borderId="26" xfId="0" applyFont="1" applyFill="1" applyBorder="1" applyNumberFormat="1">
      <alignment horizontal="right" vertical="center" wrapText="1" indent="1"/>
    </xf>
    <xf numFmtId="0" fontId="22" fillId="0" borderId="0" xfId="0" applyFont="1" applyNumberFormat="1">
      <alignment horizontal="left" vertical="center" wrapText="1" indent="4"/>
    </xf>
    <xf numFmtId="0" fontId="22" fillId="35" borderId="0" xfId="0" applyFont="1" applyFill="1" applyNumberFormat="1">
      <alignment horizontal="center" vertical="center" wrapText="1"/>
    </xf>
    <xf numFmtId="49" fontId="40" fillId="37" borderId="15" xfId="0" applyFont="1" applyFill="1" applyBorder="1" applyNumberFormat="1">
      <alignment horizontal="left" vertical="center"/>
    </xf>
    <xf numFmtId="0" fontId="22" fillId="0" borderId="19" xfId="0" applyFont="1" applyBorder="1" applyNumberFormat="1">
      <alignment vertical="center" wrapText="1"/>
    </xf>
    <xf numFmtId="0" fontId="22" fillId="0" borderId="0" xfId="0" applyFont="1" applyNumberFormat="1">
      <alignment horizontal="left" vertical="center" wrapText="1" indent="1"/>
    </xf>
    <xf numFmtId="0" fontId="71" fillId="0" borderId="0" xfId="0" applyFont="1" applyNumberForma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pplyNumberFormat="1">
      <alignment horizontal="right" vertical="center"/>
    </xf>
    <xf numFmtId="0" fontId="33" fillId="0" borderId="0" xfId="0" applyFont="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32" fillId="0" borderId="0" xfId="0" applyFont="1" applyNumberFormat="1">
      <alignment horizontal="center" vertical="center" wrapText="1"/>
    </xf>
    <xf numFmtId="0" fontId="0" fillId="0" borderId="0" xfId="0" applyFont="1" applyNumberFormat="1">
      <alignment vertical="center" wrapText="1"/>
    </xf>
    <xf numFmtId="0" fontId="32" fillId="0" borderId="0" xfId="0" applyFont="1" applyNumberFormat="1">
      <alignment horizontal="left" vertical="center" wrapText="1"/>
    </xf>
    <xf numFmtId="0" fontId="0" fillId="0" borderId="12" xfId="0" applyFont="1" applyBorder="1" applyNumberFormat="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pplyNumberFormat="1">
      <alignment vertical="center" wrapText="1"/>
    </xf>
    <xf numFmtId="0" fontId="0" fillId="0" borderId="0" xfId="0" applyFont="1" applyNumberFormat="1">
      <alignment vertical="center"/>
    </xf>
    <xf numFmtId="49" fontId="48" fillId="0" borderId="0" xfId="0" applyFont="1" applyNumberFormat="1">
      <alignment vertical="top"/>
    </xf>
    <xf numFmtId="0" fontId="74" fillId="0" borderId="0" xfId="0" applyFont="1" applyNumberForma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36"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pplyNumberFormat="1">
      <alignment horizontal="left" vertical="center" wrapText="1" indent="1"/>
    </xf>
    <xf numFmtId="0" fontId="0" fillId="35" borderId="17" xfId="0" applyFont="1" applyFill="1" applyBorder="1" applyNumberFormat="1">
      <alignment horizontal="left" vertical="center" wrapText="1"/>
    </xf>
    <xf numFmtId="0" fontId="0" fillId="35" borderId="12" xfId="0" applyFont="1" applyFill="1" applyBorder="1" applyNumberFormat="1">
      <alignment horizontal="left" vertical="center" wrapText="1"/>
    </xf>
    <xf numFmtId="0" fontId="0" fillId="35" borderId="12" xfId="0" applyFont="1" applyFill="1" applyBorder="1" applyNumberFormat="1">
      <alignment horizontal="left" vertical="center" wrapText="1" indent="2"/>
    </xf>
    <xf numFmtId="0" fontId="0" fillId="35" borderId="12" xfId="0" applyFont="1" applyFill="1" applyBorder="1" applyNumberFormat="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5" borderId="12" xfId="0" applyFont="1" applyFill="1" applyBorder="1" applyNumberFormat="1">
      <alignment vertical="center" wrapText="1"/>
    </xf>
    <xf numFmtId="49" fontId="0" fillId="35" borderId="12" xfId="0" applyFont="1" applyFill="1" applyBorder="1" applyNumberFormat="1">
      <alignment horizontal="center" vertical="center"/>
    </xf>
    <xf numFmtId="0" fontId="0" fillId="35" borderId="12" xfId="0" applyFont="1" applyFill="1" applyBorder="1" applyNumberFormat="1">
      <alignment horizontal="center" vertical="center" wrapText="1"/>
    </xf>
    <xf numFmtId="0" fontId="22" fillId="0" borderId="0" xfId="0" applyFont="1" applyNumberFormat="1">
      <alignment vertical="center" wrapText="1"/>
    </xf>
    <xf numFmtId="49" fontId="36" fillId="35" borderId="0" xfId="0" applyFont="1" applyFill="1" applyNumberFormat="1">
      <alignment horizontal="center"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42" fillId="0" borderId="0" xfId="0" applyFont="1" applyNumberFormat="1">
      <alignment vertical="center" wrapText="1"/>
    </xf>
    <xf numFmtId="0" fontId="46" fillId="0" borderId="0" xfId="0" applyFont="1" applyNumberFormat="1">
      <alignment horizontal="center" vertical="center" wrapText="1"/>
    </xf>
    <xf numFmtId="0" fontId="45" fillId="0" borderId="0" xfId="0" applyFont="1" applyNumberFormat="1">
      <alignment vertical="center" wrapText="1"/>
    </xf>
    <xf numFmtId="0" fontId="0" fillId="35" borderId="0" xfId="0" applyFont="1" applyFill="1" applyNumberFormat="1"/>
    <xf numFmtId="0" fontId="0" fillId="35" borderId="0" xfId="0" applyFont="1" applyFill="1" applyNumberFormat="1">
      <alignment horizontal="center"/>
    </xf>
    <xf numFmtId="0" fontId="22" fillId="35" borderId="0" xfId="0" applyFont="1" applyFill="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6" fillId="35" borderId="0" xfId="0" applyFont="1" applyFill="1" applyNumberFormat="1"/>
    <xf numFmtId="0" fontId="77" fillId="35" borderId="0" xfId="0" applyFont="1" applyFill="1" applyNumberFormat="1">
      <alignment horizontal="right" vertical="center"/>
    </xf>
    <xf numFmtId="0" fontId="77" fillId="35" borderId="0" xfId="0" applyFont="1" applyFill="1" applyNumberFormat="1">
      <alignment horizontal="right" vertical="top"/>
    </xf>
    <xf numFmtId="0" fontId="22" fillId="35" borderId="0" xfId="0" applyFont="1" applyFill="1" applyNumberFormat="1">
      <alignment horizontal="center" vertical="center" wrapText="1"/>
    </xf>
    <xf numFmtId="0" fontId="36" fillId="35" borderId="0" xfId="0" applyFont="1" applyFill="1" applyNumberFormat="1">
      <alignment horizontal="center" vertical="center"/>
    </xf>
    <xf numFmtId="0" fontId="22" fillId="0" borderId="12" xfId="0" applyFont="1" applyBorder="1" applyNumberFormat="1">
      <alignment horizontal="center" vertical="center" wrapText="1"/>
    </xf>
    <xf numFmtId="0" fontId="45" fillId="0" borderId="0" xfId="0" applyFont="1" applyNumberFormat="1">
      <alignment vertical="top" wrapText="1"/>
    </xf>
    <xf numFmtId="0" fontId="22" fillId="37" borderId="14" xfId="0" applyFont="1" applyFill="1" applyBorder="1" applyNumberFormat="1">
      <alignment horizontal="center"/>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78" fillId="35" borderId="0" xfId="0" applyFont="1" applyFill="1" applyNumberFormat="1">
      <alignment vertical="center"/>
    </xf>
    <xf numFmtId="0" fontId="78" fillId="35" borderId="0" xfId="0" applyFont="1" applyFill="1" applyNumberFormat="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vertical="center" wrapText="1"/>
    </xf>
    <xf numFmtId="0" fontId="65" fillId="35" borderId="0" xfId="0" applyFont="1" applyFill="1" applyNumberFormat="1"/>
    <xf numFmtId="0" fontId="52" fillId="35" borderId="0" xfId="0" applyFont="1" applyFill="1" applyNumberFormat="1"/>
    <xf numFmtId="0" fontId="61" fillId="35" borderId="0" xfId="0" applyFont="1" applyFill="1" applyNumberFormat="1"/>
    <xf numFmtId="0" fontId="61" fillId="35" borderId="0" xfId="0" applyFont="1" applyFill="1" applyNumberFormat="1">
      <alignment horizontal="center"/>
    </xf>
    <xf numFmtId="0" fontId="58" fillId="0" borderId="0" xfId="0" applyFont="1" applyNumberFormat="1">
      <alignment vertical="center" wrapText="1"/>
    </xf>
    <xf numFmtId="0" fontId="60"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4" fontId="60" fillId="0" borderId="0" xfId="0" applyFont="1" applyNumberFormat="1">
      <alignment horizontal="right" vertical="center" wrapText="1"/>
    </xf>
    <xf numFmtId="0" fontId="60" fillId="0" borderId="0" xfId="0" applyFont="1" applyNumberFormat="1">
      <alignment horizontal="left" vertical="center" wrapText="1" indent="1"/>
    </xf>
    <xf numFmtId="0" fontId="79" fillId="35" borderId="0" xfId="0" applyFont="1" applyFill="1" applyNumberFormat="1">
      <alignment horizontal="center" vertical="center" wrapText="1"/>
    </xf>
    <xf numFmtId="0" fontId="36" fillId="35" borderId="0" xfId="0" applyFont="1" applyFill="1" applyNumberFormat="1">
      <alignment horizontal="center" vertical="center" wrapText="1"/>
    </xf>
    <xf numFmtId="0" fontId="64" fillId="0" borderId="0" xfId="0" applyFont="1" applyNumberFormat="1">
      <alignment vertical="center" wrapText="1"/>
    </xf>
    <xf numFmtId="0" fontId="48" fillId="0" borderId="0" xfId="0" applyFont="1" applyNumberFormat="1">
      <alignment vertical="center" wrapText="1"/>
    </xf>
    <xf numFmtId="49" fontId="22" fillId="40" borderId="12" xfId="0" applyFont="1" applyFill="1" applyBorder="1" applyNumberFormat="1">
      <alignment horizontal="left" vertical="center" wrapText="1"/>
    </xf>
    <xf numFmtId="0" fontId="64" fillId="0" borderId="0" xfId="0" applyFont="1" applyNumberFormat="1">
      <alignment horizontal="center" vertical="center" wrapText="1"/>
    </xf>
    <xf numFmtId="0" fontId="22" fillId="35" borderId="24" xfId="0" applyFont="1" applyFill="1" applyBorder="1" applyNumberFormat="1">
      <alignment vertical="center" wrapText="1"/>
    </xf>
    <xf numFmtId="49" fontId="36" fillId="35" borderId="15" xfId="0" applyFont="1" applyFill="1" applyBorder="1" applyNumberFormat="1">
      <alignment horizontal="center" vertical="center" wrapText="1"/>
    </xf>
    <xf numFmtId="0" fontId="48" fillId="0" borderId="0" xfId="0" applyFont="1" applyNumberFormat="1">
      <alignment horizontal="center" vertical="center" wrapText="1"/>
    </xf>
    <xf numFmtId="0" fontId="79" fillId="0" borderId="0" xfId="0" applyFont="1" applyNumberFormat="1">
      <alignment horizontal="center" vertical="center" wrapText="1"/>
    </xf>
    <xf numFmtId="0" fontId="72" fillId="0" borderId="0" xfId="0" applyFont="1" applyNumberFormat="1">
      <alignment vertical="center" wrapText="1"/>
    </xf>
    <xf numFmtId="49" fontId="72" fillId="0" borderId="12" xfId="0" applyFont="1" applyBorder="1" applyNumberFormat="1">
      <alignment horizontal="lef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0" fontId="48" fillId="0" borderId="0" xfId="0" applyFont="1" applyNumberFormat="1">
      <alignment vertical="center"/>
    </xf>
    <xf numFmtId="0" fontId="48" fillId="35" borderId="0" xfId="0" applyFont="1" applyFill="1" applyNumberFormat="1"/>
    <xf numFmtId="0" fontId="48" fillId="35" borderId="0" xfId="0" applyFont="1" applyFill="1" applyNumberFormat="1">
      <alignment vertical="center" wrapText="1"/>
    </xf>
    <xf numFmtId="0" fontId="48"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37" fillId="35" borderId="0" xfId="0" applyFont="1" applyFill="1" applyNumberFormat="1">
      <alignment horizontal="center" vertical="center" wrapText="1"/>
    </xf>
    <xf numFmtId="0" fontId="42" fillId="0" borderId="0" xfId="0" applyFont="1" applyNumberFormat="1">
      <alignment vertical="center" wrapText="1"/>
    </xf>
    <xf numFmtId="49" fontId="22" fillId="0" borderId="12" xfId="0" applyFont="1" applyBorder="1" applyNumberFormat="1">
      <alignment horizontal="left" vertical="center" wrapText="1"/>
    </xf>
    <xf numFmtId="0" fontId="22" fillId="0" borderId="0" xfId="0" applyFont="1" applyNumberFormat="1">
      <alignment vertical="center" wrapText="1"/>
    </xf>
    <xf numFmtId="49" fontId="48"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48" fillId="0" borderId="0" xfId="0" applyFont="1" applyNumberForma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82" fillId="0" borderId="0" xfId="0" applyFont="1" applyNumberFormat="1">
      <alignment horizontal="center" vertical="center" wrapText="1"/>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pplyNumberFormat="1">
      <alignment horizontal="left" vertical="center" wrapText="1"/>
    </xf>
    <xf numFmtId="49" fontId="50" fillId="37" borderId="15" xfId="0" applyFont="1" applyFill="1" applyBorder="1" applyNumberFormat="1">
      <alignment horizontal="center" vertical="center"/>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vertical="center" wrapText="1"/>
    </xf>
    <xf numFmtId="0" fontId="47"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217" fontId="22" fillId="36" borderId="12" xfId="0" applyFont="1" applyFill="1" applyBorder="1" applyNumberFormat="1">
      <alignment horizontal="right" vertical="center" wrapText="1"/>
      <protection locked="0"/>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pplyNumberFormat="1">
      <alignment horizontal="left" vertical="center" wrapText="1"/>
      <protection locked="0"/>
    </xf>
    <xf numFmtId="0" fontId="46" fillId="0" borderId="0" xfId="0" applyFont="1" applyNumberForma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pplyNumberFormat="1">
      <alignment horizontal="left" vertical="center" wrapText="1" indent="2"/>
    </xf>
    <xf numFmtId="217" fontId="22" fillId="39" borderId="12"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pplyNumberFormat="1">
      <alignment horizontal="left" vertical="center" wrapText="1"/>
    </xf>
    <xf numFmtId="0" fontId="22" fillId="0" borderId="0" xfId="0" applyFont="1" applyNumberFormat="1">
      <alignment vertical="center"/>
    </xf>
    <xf numFmtId="0" fontId="0"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86"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41" fillId="0" borderId="0" xfId="0" applyFont="1" applyNumberFormat="1">
      <alignment vertical="center"/>
    </xf>
    <xf numFmtId="0" fontId="86" fillId="0" borderId="0" xfId="0" applyFont="1" applyNumberFormat="1">
      <alignment vertical="center"/>
    </xf>
    <xf numFmtId="0" fontId="31" fillId="0" borderId="0" xfId="0" applyFont="1" applyNumberFormat="1">
      <alignment vertical="center"/>
    </xf>
    <xf numFmtId="0" fontId="22" fillId="0" borderId="0" xfId="0" applyFont="1" applyNumberForma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pplyNumberFormat="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pplyNumberFormat="1">
      <alignment vertical="center"/>
    </xf>
    <xf numFmtId="0" fontId="74" fillId="0" borderId="0" xfId="0" applyFont="1" applyNumberFormat="1">
      <alignment vertical="center"/>
    </xf>
    <xf numFmtId="0" fontId="0" fillId="0" borderId="0" xfId="0" applyFont="1" applyNumberForma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32" fillId="0" borderId="0" xfId="0" applyFont="1" applyNumberFormat="1">
      <alignment horizontal="center" vertical="center" wrapText="1"/>
    </xf>
    <xf numFmtId="0" fontId="48"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center" vertical="center" wrapText="1"/>
    </xf>
    <xf numFmtId="0" fontId="50" fillId="0" borderId="0" xfId="0" applyFont="1" applyNumberForma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49" fontId="63" fillId="0" borderId="0" xfId="0" applyFont="1" applyNumberFormat="1">
      <alignment horizontal="center" vertical="center" wrapText="1"/>
    </xf>
    <xf numFmtId="0" fontId="6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pplyNumberFormat="1">
      <alignment horizontal="left" vertical="center" indent="1"/>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22" fillId="0" borderId="0" xfId="0" applyFont="1" applyNumberFormat="1">
      <alignment vertical="top" wrapText="1"/>
    </xf>
    <xf numFmtId="0" fontId="22" fillId="0" borderId="0" xfId="0" applyFont="1" applyNumberFormat="1">
      <alignment horizontal="left" vertical="top" wrapText="1"/>
    </xf>
    <xf numFmtId="0" fontId="36" fillId="0" borderId="0" xfId="0" applyFont="1" applyNumberForma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pplyNumberFormat="1">
      <alignment vertical="top"/>
    </xf>
    <xf numFmtId="49" fontId="22" fillId="0" borderId="31"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pplyNumberFormat="1">
      <alignment horizontal="left" vertical="center" wrapText="1" indent="2"/>
    </xf>
    <xf numFmtId="0" fontId="47" fillId="0" borderId="0" xfId="0" applyFont="1" applyNumberFormat="1">
      <alignment horizontal="center" vertical="center" wrapText="1"/>
    </xf>
    <xf numFmtId="49" fontId="22" fillId="0" borderId="0" xfId="0" applyFont="1" applyNumberFormat="1">
      <alignment horizontal="left" vertical="center" wrapText="1"/>
    </xf>
    <xf numFmtId="0" fontId="83"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horizontal="left"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3" xfId="0" applyFont="1" applyBorder="1" applyNumberFormat="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pplyNumberFormat="1">
      <alignment horizontal="center" vertical="center" wrapText="1"/>
    </xf>
    <xf numFmtId="0" fontId="22" fillId="0" borderId="14" xfId="0" applyFont="1" applyBorder="1" applyNumberFormat="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0" fontId="22" fillId="37" borderId="27" xfId="0" applyFont="1" applyFill="1" applyBorder="1" applyNumberFormat="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pplyNumberFormat="1">
      <alignment horizontal="left" vertical="center" wrapText="1" inden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top"/>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pplyNumberFormat="1">
      <alignment vertical="center" wrapText="1"/>
    </xf>
    <xf numFmtId="0" fontId="22" fillId="0" borderId="0" xfId="0" applyFont="1" applyNumberFormat="1">
      <alignment horizontal="right" vertical="center"/>
    </xf>
    <xf numFmtId="49" fontId="53" fillId="37" borderId="13" xfId="0" applyFont="1" applyFill="1" applyBorder="1" applyNumberFormat="1">
      <alignment horizontal="left" vertical="center" wrapText="1"/>
    </xf>
    <xf numFmtId="0" fontId="89" fillId="0" borderId="0" xfId="0" applyFont="1" applyNumberFormat="1">
      <alignment vertical="center"/>
    </xf>
    <xf numFmtId="0" fontId="90" fillId="0" borderId="0" xfId="0" applyFont="1" applyNumberForma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pplyNumberFormat="1">
      <alignment vertical="center" wrapText="1"/>
    </xf>
    <xf numFmtId="0" fontId="22" fillId="0" borderId="13" xfId="0" applyFont="1" applyBorder="1" applyNumberFormat="1">
      <alignment horizontal="left" vertical="center" wrapText="1" indent="1"/>
    </xf>
    <xf numFmtId="0" fontId="71" fillId="0" borderId="22" xfId="0" applyFont="1" applyBorder="1" applyNumberFormat="1">
      <alignment vertical="center" wrapText="1"/>
    </xf>
    <xf numFmtId="4" fontId="22" fillId="0" borderId="31" xfId="0" applyFont="1" applyBorder="1" applyNumberFormat="1">
      <alignment horizontal="center" vertical="center" wrapText="1"/>
    </xf>
    <xf numFmtId="0" fontId="22" fillId="0" borderId="33" xfId="0" applyFont="1" applyBorder="1" applyNumberFormat="1">
      <alignment horizontal="left" vertical="center" wrapText="1"/>
    </xf>
    <xf numFmtId="0" fontId="22" fillId="0" borderId="33" xfId="0" applyFont="1" applyBorder="1" applyNumberFormat="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pplyNumberFormat="1">
      <alignment horizontal="left" vertical="center" wrapText="1"/>
    </xf>
    <xf numFmtId="0" fontId="48"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0" borderId="0" xfId="0" applyFont="1" applyNumberFormat="1">
      <alignment horizontal="center"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pplyNumberFormat="1">
      <alignment horizontal="left" vertical="center" wrapText="1"/>
    </xf>
    <xf numFmtId="0" fontId="22" fillId="0" borderId="20" xfId="0" applyFont="1" applyBorder="1" applyNumberFormat="1">
      <alignment vertical="center" wrapText="1"/>
    </xf>
    <xf numFmtId="0" fontId="37" fillId="0" borderId="0" xfId="0" applyFont="1" applyNumberFormat="1">
      <alignment horizontal="center"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217" fontId="22" fillId="34" borderId="12" xfId="0" applyFont="1" applyFill="1" applyBorder="1" applyNumberFormat="1">
      <alignment horizontal="right" vertical="center" wrapText="1"/>
    </xf>
    <xf numFmtId="0" fontId="0" fillId="0" borderId="0" xfId="0" applyFont="1" applyNumberFormat="1">
      <alignment vertical="center"/>
    </xf>
    <xf numFmtId="4" fontId="22" fillId="36" borderId="12" xfId="0" applyFont="1" applyFill="1" applyBorder="1" applyNumberFormat="1">
      <alignment horizontal="right" vertical="center" wrapText="1"/>
      <protection locked="0"/>
    </xf>
    <xf numFmtId="0" fontId="73" fillId="35" borderId="0" xfId="0" applyFont="1" applyFill="1" applyNumberFormat="1">
      <alignment horizontal="right" vertical="center"/>
    </xf>
    <xf numFmtId="49" fontId="0" fillId="0" borderId="12" xfId="0" applyFont="1" applyBorder="1" applyNumberFormat="1">
      <alignment vertical="top"/>
    </xf>
    <xf numFmtId="0" fontId="22"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pplyNumberFormat="1">
      <alignment horizontal="center" vertical="center" wrapText="1"/>
    </xf>
    <xf numFmtId="0" fontId="50" fillId="35" borderId="0" xfId="0" applyFont="1" applyFill="1" applyNumberFormat="1">
      <alignment vertical="center" wrapText="1"/>
    </xf>
    <xf numFmtId="0" fontId="53" fillId="0" borderId="0" xfId="0" applyFont="1" applyNumberFormat="1">
      <alignment horizontal="left" vertical="center" indent="1"/>
    </xf>
    <xf numFmtId="0" fontId="0" fillId="35" borderId="0" xfId="0" applyFont="1" applyFill="1" applyNumberFormat="1">
      <alignment horizontal="right" vertical="center" wrapText="1" indent="1"/>
    </xf>
    <xf numFmtId="0" fontId="0" fillId="35" borderId="0" xfId="0" applyFont="1" applyFill="1" applyNumberFormat="1">
      <alignment horizontal="left" vertical="center" wrapText="1" indent="1"/>
    </xf>
    <xf numFmtId="14" fontId="22" fillId="35" borderId="0" xfId="0" applyFont="1" applyFill="1" applyNumberFormat="1">
      <alignment horizontal="center" vertical="center" wrapText="1"/>
    </xf>
    <xf numFmtId="215"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pplyNumberFormat="1">
      <alignment horizontal="center" vertical="center" wrapText="1"/>
    </xf>
    <xf numFmtId="49" fontId="0" fillId="45" borderId="12" xfId="0" applyFont="1" applyFill="1" applyBorder="1" applyNumberFormat="1">
      <alignment vertical="top"/>
    </xf>
    <xf numFmtId="0" fontId="37" fillId="0" borderId="0" xfId="0" applyFont="1" applyNumberFormat="1">
      <alignment horizontal="center" vertical="center" wrapText="1"/>
    </xf>
    <xf numFmtId="0" fontId="91" fillId="0" borderId="0" xfId="0" applyFont="1" applyNumberFormat="1">
      <alignment horizontal="left" vertical="center" wrapText="1"/>
    </xf>
    <xf numFmtId="0" fontId="91" fillId="0" borderId="0" xfId="0" applyFont="1" applyNumberForma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pplyNumberFormat="1">
      <alignment horizontal="left" vertical="center" wrapText="1"/>
    </xf>
    <xf numFmtId="14" fontId="93" fillId="0" borderId="12" xfId="0" applyFont="1" applyBorder="1" applyNumberFormat="1">
      <alignment horizontal="left" vertical="center" wrapText="1"/>
    </xf>
    <xf numFmtId="0" fontId="48" fillId="0" borderId="0" xfId="0" applyFont="1" applyNumberForma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pplyNumberFormat="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pplyNumberFormat="1">
      <alignment horizontal="center" vertical="center" wrapText="1"/>
    </xf>
    <xf numFmtId="49" fontId="22" fillId="0" borderId="14" xfId="0" applyFont="1" applyBorder="1" applyNumberFormat="1">
      <alignment horizontal="center" vertical="top"/>
    </xf>
    <xf numFmtId="0" fontId="36" fillId="0" borderId="24" xfId="0" applyFont="1" applyBorder="1" applyNumberFormat="1">
      <alignment vertical="top" wrapText="1"/>
    </xf>
    <xf numFmtId="0" fontId="36" fillId="0" borderId="0" xfId="0" applyFont="1" applyNumberFormat="1">
      <alignment vertical="top" wrapText="1"/>
    </xf>
    <xf numFmtId="0" fontId="48" fillId="0" borderId="12" xfId="0" applyFont="1" applyBorder="1" applyNumberFormat="1">
      <alignment horizontal="center" vertical="center" wrapText="1"/>
    </xf>
    <xf numFmtId="0" fontId="47" fillId="0" borderId="23" xfId="0" applyFont="1" applyBorder="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pplyNumberFormat="1">
      <alignment vertical="center"/>
    </xf>
    <xf numFmtId="0" fontId="22"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pplyNumberFormat="1">
      <alignment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36" fillId="35" borderId="15" xfId="0" applyFont="1" applyFill="1" applyBorder="1" applyNumberFormat="1">
      <alignment horizontal="center" vertical="center" wrapText="1"/>
    </xf>
    <xf numFmtId="0" fontId="22" fillId="0" borderId="0" xfId="0" applyFont="1" applyNumberFormat="1">
      <alignment horizontal="left" vertical="center" wrapText="1" indent="1"/>
    </xf>
    <xf numFmtId="0" fontId="81" fillId="0" borderId="17" xfId="0" applyFont="1" applyBorder="1" applyNumberFormat="1">
      <alignment horizontal="center" vertical="center" wrapText="1"/>
    </xf>
    <xf numFmtId="49" fontId="47" fillId="0" borderId="0" xfId="0" applyFont="1" applyNumberFormat="1">
      <alignment vertical="top"/>
    </xf>
    <xf numFmtId="0" fontId="9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pplyNumberFormat="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pplyNumberFormat="1">
      <alignment horizontal="left" vertical="top" wrapText="1"/>
    </xf>
    <xf numFmtId="0" fontId="95" fillId="41" borderId="12" xfId="0" applyFont="1" applyFill="1" applyBorder="1" applyNumberFormat="1">
      <alignment horizontal="right" vertical="center" wrapText="1"/>
    </xf>
    <xf numFmtId="49" fontId="95" fillId="0" borderId="12" xfId="0" applyFont="1" applyBorder="1" applyNumberFormat="1">
      <alignment vertical="top" wrapText="1"/>
    </xf>
    <xf numFmtId="0" fontId="95" fillId="0" borderId="17" xfId="0" applyFont="1" applyBorder="1" applyNumberFormat="1">
      <alignment horizontal="left" vertical="top" wrapText="1"/>
    </xf>
    <xf numFmtId="0" fontId="95" fillId="0" borderId="13" xfId="0" applyFont="1" applyBorder="1" applyNumberFormat="1">
      <alignment horizontal="left" vertical="top" wrapText="1"/>
    </xf>
    <xf numFmtId="0" fontId="95" fillId="0" borderId="12" xfId="0" applyFont="1" applyBorder="1" applyNumberFormat="1">
      <alignment vertical="top" wrapText="1"/>
    </xf>
    <xf numFmtId="0" fontId="91" fillId="41" borderId="12" xfId="0" applyFont="1" applyFill="1" applyBorder="1" applyNumberFormat="1">
      <alignment horizontal="center" vertical="top" wrapText="1"/>
    </xf>
    <xf numFmtId="0" fontId="95" fillId="0" borderId="0" xfId="0" applyFont="1" applyNumberFormat="1">
      <alignment vertical="top" wrapText="1"/>
    </xf>
    <xf numFmtId="0" fontId="90" fillId="0" borderId="0" xfId="0" applyFont="1" applyNumberFormat="1">
      <alignment vertical="center" wrapText="1"/>
    </xf>
    <xf numFmtId="0" fontId="4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pplyNumberFormat="1">
      <alignment horizontal="center" vertical="center" wrapText="1"/>
    </xf>
    <xf numFmtId="0" fontId="37" fillId="35" borderId="24" xfId="0" applyFont="1" applyFill="1" applyBorder="1" applyNumberFormat="1">
      <alignment vertical="top" wrapText="1"/>
    </xf>
    <xf numFmtId="0" fontId="37" fillId="35" borderId="0" xfId="0" applyFont="1" applyFill="1" applyNumberFormat="1">
      <alignment vertical="top" wrapText="1"/>
    </xf>
    <xf numFmtId="14" fontId="22" fillId="40" borderId="29" xfId="0" applyFont="1" applyFill="1" applyBorder="1" applyNumberFormat="1">
      <alignment horizontal="left" vertical="center" wrapText="1"/>
    </xf>
    <xf numFmtId="0" fontId="48" fillId="35" borderId="12" xfId="0" applyFont="1" applyFill="1" applyBorder="1" applyNumberFormat="1">
      <alignment horizontal="center" vertical="center" wrapText="1"/>
    </xf>
    <xf numFmtId="0" fontId="40" fillId="37" borderId="15" xfId="0" applyFont="1" applyFill="1" applyBorder="1" applyNumberFormat="1">
      <alignment vertical="center"/>
    </xf>
    <xf numFmtId="0" fontId="49" fillId="0" borderId="0" xfId="0" applyFont="1" applyNumberFormat="1">
      <alignment vertical="center"/>
    </xf>
    <xf numFmtId="0" fontId="48" fillId="0" borderId="0" xfId="0" applyFont="1" applyNumberForma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pplyNumberFormat="1">
      <alignment vertical="center" wrapText="1"/>
    </xf>
    <xf numFmtId="0" fontId="96" fillId="0" borderId="0" xfId="0" applyFont="1" applyNumberFormat="1">
      <alignment vertical="center" wrapText="1"/>
    </xf>
    <xf numFmtId="0" fontId="47" fillId="0" borderId="0" xfId="0" applyFont="1" applyNumberFormat="1">
      <alignment vertical="center" wrapText="1"/>
    </xf>
    <xf numFmtId="0" fontId="88" fillId="0" borderId="0" xfId="0" applyFont="1" applyNumberFormat="1">
      <alignment horizontal="center" vertical="center" wrapText="1"/>
    </xf>
    <xf numFmtId="0" fontId="47" fillId="0" borderId="0" xfId="0" applyFont="1" applyNumberForma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97" fillId="35" borderId="0" xfId="0" applyFont="1" applyFill="1" applyNumberFormat="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pplyNumberFormat="1">
      <alignment vertical="top" wrapText="1"/>
    </xf>
    <xf numFmtId="0" fontId="95" fillId="0" borderId="36" xfId="0" applyFont="1" applyBorder="1" applyNumberFormat="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98" fillId="0" borderId="0" xfId="0" applyFont="1" applyNumberFormat="1">
      <alignment horizontal="center" vertical="center" wrapText="1"/>
    </xf>
    <xf numFmtId="0" fontId="22"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0" fontId="22" fillId="0" borderId="38" xfId="0" applyFont="1" applyBorder="1" applyNumberFormat="1">
      <alignment vertical="center" wrapText="1"/>
    </xf>
    <xf numFmtId="0" fontId="47"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49" fontId="22" fillId="0" borderId="0" xfId="0" applyFont="1" applyNumberFormat="1">
      <alignment vertical="top"/>
    </xf>
    <xf numFmtId="0" fontId="22" fillId="0" borderId="0" xfId="0" applyFont="1" applyNumberFormat="1">
      <alignment vertical="center"/>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37" borderId="29" xfId="0" applyFont="1" applyFill="1" applyBorder="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pplyNumberFormat="1">
      <alignment vertical="top" wrapText="1"/>
    </xf>
    <xf numFmtId="0" fontId="22" fillId="0" borderId="1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91" fillId="0" borderId="12" xfId="0" applyFont="1" applyBorder="1" applyNumberFormat="1">
      <alignment horizontal="center" vertical="center" wrapText="1"/>
    </xf>
    <xf numFmtId="0" fontId="91" fillId="0" borderId="12" xfId="0" applyFont="1" applyBorder="1" applyNumberFormat="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pplyNumberFormat="1">
      <alignment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1" fillId="0" borderId="12" xfId="0" applyFont="1" applyBorder="1" applyNumberFormat="1">
      <alignment horizontal="left" vertical="top" wrapText="1"/>
    </xf>
    <xf numFmtId="217" fontId="22" fillId="39" borderId="17" xfId="0" applyFont="1" applyFill="1" applyBorder="1" applyNumberFormat="1">
      <alignment horizontal="right" vertical="center" wrapText="1"/>
      <protection locked="0"/>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pplyNumberFormat="1">
      <alignment horizontal="center" vertical="center" wrapText="1"/>
    </xf>
    <xf numFmtId="4" fontId="22" fillId="39" borderId="13" xfId="0" applyFont="1" applyFill="1" applyBorder="1" applyNumberFormat="1">
      <alignment horizontal="right" vertical="center" wrapText="1"/>
      <protection locked="0"/>
    </xf>
    <xf numFmtId="217" fontId="22" fillId="39" borderId="13" xfId="0" applyFont="1" applyFill="1" applyBorder="1" applyNumberFormat="1">
      <alignment horizontal="right" vertical="center" wrapText="1"/>
      <protection locked="0"/>
    </xf>
    <xf numFmtId="217"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pplyNumberFormat="1">
      <alignmen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0" fontId="48" fillId="0" borderId="23" xfId="0" applyFont="1" applyBorder="1" applyNumberFormat="1">
      <alignment horizontal="left" vertical="center" wrapText="1" indent="1"/>
    </xf>
    <xf numFmtId="0" fontId="48" fillId="0" borderId="17" xfId="0" applyFont="1" applyBorder="1" applyNumberFormat="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pplyNumberFormat="1">
      <alignment horizontal="center" vertical="center" wrapText="1"/>
    </xf>
    <xf numFmtId="0" fontId="22" fillId="0" borderId="23" xfId="0" applyFont="1" applyBorder="1" applyNumberFormat="1">
      <alignment vertical="top" wrapText="1"/>
    </xf>
    <xf numFmtId="0" fontId="22" fillId="0" borderId="23" xfId="0" applyFont="1" applyBorder="1" applyNumberFormat="1">
      <alignment vertical="top" wrapText="1"/>
    </xf>
    <xf numFmtId="0" fontId="91" fillId="0" borderId="14" xfId="0" applyFont="1" applyBorder="1" applyNumberFormat="1">
      <alignment horizontal="center" vertical="center"/>
    </xf>
    <xf numFmtId="49" fontId="48" fillId="35" borderId="12" xfId="0" applyFont="1" applyFill="1" applyBorder="1" applyNumberFormat="1">
      <alignment horizontal="center" vertical="center"/>
    </xf>
    <xf numFmtId="0" fontId="48" fillId="35" borderId="12" xfId="0" applyFont="1" applyFill="1" applyBorder="1" applyNumberFormat="1">
      <alignment horizontal="left" vertical="center" wrapText="1" indent="1"/>
    </xf>
    <xf numFmtId="0" fontId="48" fillId="35" borderId="12" xfId="0" applyFont="1" applyFill="1" applyBorder="1" applyNumberFormat="1">
      <alignment vertical="center" wrapText="1"/>
    </xf>
    <xf numFmtId="49" fontId="48" fillId="0" borderId="12" xfId="0" applyFont="1" applyBorder="1" applyNumberFormat="1">
      <alignment horizontal="center" vertical="center"/>
    </xf>
    <xf numFmtId="0" fontId="48" fillId="0" borderId="12" xfId="0" applyFont="1" applyBorder="1" applyNumberFormat="1">
      <alignment horizontal="left" vertical="center" wrapText="1" inden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22" fillId="0" borderId="23" xfId="0" applyFont="1" applyBorder="1" applyNumberFormat="1">
      <alignment horizontal="left"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pplyNumberFormat="1">
      <alignment vertical="center" wrapText="1"/>
    </xf>
    <xf numFmtId="0" fontId="22" fillId="0" borderId="32" xfId="0" applyFont="1" applyBorder="1" applyNumberFormat="1">
      <alignment horizontal="left"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0" xfId="0" applyFont="1" applyNumberFormat="1">
      <alignment vertical="top"/>
    </xf>
    <xf numFmtId="4" fontId="22" fillId="0" borderId="40"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pplyNumberFormat="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40" borderId="12" xfId="0" applyFont="1" applyFill="1" applyBorder="1" applyNumberFormat="1">
      <alignment horizontal="left" vertical="center" wrapText="1" inden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pplyNumberFormat="1">
      <alignment horizontal="left" vertical="center" wrapText="1" indent="1"/>
    </xf>
    <xf numFmtId="0" fontId="22" fillId="0" borderId="0" xfId="0" applyFont="1" applyNumberForma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pplyNumberFormat="1">
      <alignment vertical="center" wrapText="1"/>
    </xf>
    <xf numFmtId="0" fontId="22" fillId="0" borderId="27" xfId="0" applyFont="1" applyBorder="1" applyNumberFormat="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pplyNumberForma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pplyNumberFormat="1">
      <alignment horizontal="left" vertical="center"/>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pplyNumberFormat="1">
      <alignment vertical="center"/>
    </xf>
    <xf numFmtId="49" fontId="22" fillId="0" borderId="14" xfId="0" applyFont="1" applyBorder="1" applyNumberFormat="1">
      <alignment vertical="top"/>
    </xf>
    <xf numFmtId="0" fontId="0" fillId="0" borderId="0" xfId="0" applyFont="1" applyNumberFormat="1">
      <alignment vertical="center"/>
    </xf>
    <xf numFmtId="0" fontId="22" fillId="0" borderId="0" xfId="0" applyFont="1" applyNumberForma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pplyNumberFormat="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pplyNumberFormat="1">
      <alignment horizontal="right" vertical="center"/>
    </xf>
    <xf numFmtId="0" fontId="103" fillId="0" borderId="47" xfId="0" applyFont="1" applyBorder="1" applyNumberFormat="1">
      <alignment horizontal="left" vertical="center" inden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22" fillId="35" borderId="0" xfId="0" applyFont="1" applyFill="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0" fontId="0" fillId="0" borderId="12" xfId="0" applyFont="1" applyBorder="1" applyNumberFormat="1">
      <alignment horizontal="center" vertical="center" wrapTex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pplyNumberFormat="1">
      <alignment vertical="top"/>
    </xf>
    <xf numFmtId="0" fontId="47" fillId="0" borderId="0" xfId="0" applyFont="1" applyNumberForma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pplyNumberFormat="1">
      <alignment horizontal="left" vertical="center"/>
    </xf>
    <xf numFmtId="0" fontId="0" fillId="0" borderId="14" xfId="0" applyFont="1" applyBorder="1" applyNumberFormat="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pplyNumberFormat="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pplyNumberFormat="1">
      <alignment vertical="center" wrapText="1"/>
    </xf>
    <xf numFmtId="0" fontId="22" fillId="0" borderId="0" xfId="0" applyFont="1" applyNumberFormat="1">
      <alignment vertical="center"/>
    </xf>
    <xf numFmtId="0" fontId="22" fillId="0" borderId="0" xfId="0" applyFont="1" applyNumberFormat="1">
      <alignment vertical="center" wrapTex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pplyNumberFormat="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pplyNumberFormat="1">
      <alignment vertical="center" wrapTex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40" borderId="12" xfId="0" applyFont="1" applyFill="1" applyBorder="1" applyNumberFormat="1">
      <alignment horizontal="left" vertical="center" wrapText="1" indent="1"/>
    </xf>
    <xf numFmtId="0" fontId="0" fillId="37" borderId="50" xfId="0" applyFont="1" applyFill="1" applyBorder="1" applyNumberFormat="1">
      <alignment horizontal="left" vertical="center"/>
    </xf>
    <xf numFmtId="0" fontId="22" fillId="35" borderId="12" xfId="0" applyFont="1" applyFill="1" applyBorder="1" applyNumberFormat="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pplyNumberFormat="1">
      <alignment horizontal="left" vertical="center"/>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pplyNumberFormat="1">
      <alignment vertical="center" wrapText="1"/>
    </xf>
    <xf numFmtId="49" fontId="48" fillId="0" borderId="0" xfId="0" applyFont="1" applyNumberFormat="1">
      <alignment vertical="top"/>
    </xf>
    <xf numFmtId="0" fontId="4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pplyNumberFormat="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pplyNumberFormat="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pplyNumberFormat="1">
      <alignment vertical="center" wrapText="1"/>
    </xf>
    <xf numFmtId="0" fontId="22" fillId="35" borderId="27" xfId="0" applyFont="1" applyFill="1" applyBorder="1" applyNumberFormat="1">
      <alignment vertical="center" wrapText="1"/>
    </xf>
    <xf numFmtId="0" fontId="48" fillId="35" borderId="19" xfId="0" applyFont="1" applyFill="1" applyBorder="1" applyNumberFormat="1">
      <alignment horizontal="center" vertical="center" wrapText="1"/>
    </xf>
    <xf numFmtId="49" fontId="72" fillId="0" borderId="0" xfId="0" applyFont="1" applyNumberFormat="1">
      <alignment vertical="center" wrapText="1"/>
    </xf>
    <xf numFmtId="0" fontId="106" fillId="35" borderId="0" xfId="0" applyFont="1" applyFill="1" applyNumberFormat="1">
      <alignment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0" fontId="22" fillId="0" borderId="0" xfId="0" applyFont="1" applyNumberFormat="1">
      <alignment horizontal="left" vertical="center" wrapText="1"/>
    </xf>
    <xf numFmtId="0" fontId="48" fillId="0" borderId="0" xfId="0" applyFont="1" applyNumberFormat="1">
      <alignment vertical="center"/>
    </xf>
    <xf numFmtId="0" fontId="22" fillId="0" borderId="0" xfId="0" applyFont="1" applyNumberFormat="1">
      <alignment horizontal="left" vertical="center" wrapText="1" indent="1"/>
    </xf>
    <xf numFmtId="0" fontId="22" fillId="0" borderId="0" xfId="0" applyFont="1" applyNumberFormat="1">
      <alignment horizontal="right" vertical="top" wrapText="1"/>
    </xf>
    <xf numFmtId="0" fontId="107" fillId="35" borderId="0" xfId="0" applyFont="1" applyFill="1" applyNumberFormat="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216" fontId="22" fillId="36" borderId="12" xfId="0" applyFont="1" applyFill="1" applyBorder="1" applyNumberFormat="1">
      <alignment horizontal="right" vertical="center" wrapText="1"/>
      <protection locked="0"/>
    </xf>
    <xf numFmtId="0" fontId="45" fillId="0" borderId="12" xfId="0" applyFont="1" applyBorder="1" applyNumberFormat="1">
      <alignment vertical="top" wrapText="1"/>
    </xf>
    <xf numFmtId="0" fontId="22" fillId="0" borderId="0" xfId="0" applyFont="1" applyNumberFormat="1">
      <alignment vertical="center"/>
    </xf>
    <xf numFmtId="0" fontId="108"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22" fillId="0" borderId="0" xfId="0" applyFont="1" applyNumberForma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pplyNumberFormat="1">
      <alignment horizontal="left" vertical="center" wrapText="1"/>
    </xf>
    <xf numFmtId="0" fontId="0" fillId="0" borderId="0" xfId="0" applyFont="1" applyNumberForma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pplyNumberFormat="1">
      <alignment horizontal="right" vertical="center"/>
    </xf>
    <xf numFmtId="0" fontId="48" fillId="0" borderId="12" xfId="0" applyFont="1" applyBorder="1" applyNumberFormat="1">
      <alignment horizontal="center" vertical="center"/>
    </xf>
    <xf numFmtId="0" fontId="0" fillId="0" borderId="0" xfId="0" applyFont="1" applyNumberFormat="1">
      <alignment vertical="center"/>
    </xf>
    <xf numFmtId="0" fontId="22" fillId="0" borderId="12" xfId="0" applyFont="1" applyBorder="1" applyNumberFormat="1">
      <alignment horizontal="center" vertical="center" wrapText="1"/>
    </xf>
    <xf numFmtId="0" fontId="0" fillId="0" borderId="0" xfId="0" applyFont="1" applyNumberFormat="1">
      <alignment horizontal="left" vertical="top" wrapText="1"/>
    </xf>
    <xf numFmtId="49" fontId="22" fillId="0" borderId="0" xfId="0" applyFont="1" applyNumberFormat="1">
      <alignment vertical="center" wrapText="1"/>
    </xf>
    <xf numFmtId="0" fontId="22" fillId="0" borderId="0" xfId="0" applyFont="1" applyNumberFormat="1">
      <alignment horizontal="right" vertical="center" wrapText="1"/>
    </xf>
    <xf numFmtId="0" fontId="22" fillId="0" borderId="0" xfId="0" applyFont="1" applyNumberFormat="1">
      <alignment horizontal="left" vertical="top" wrapText="1"/>
    </xf>
    <xf numFmtId="0" fontId="80" fillId="35" borderId="19" xfId="0" applyFont="1" applyFill="1" applyBorder="1" applyNumberFormat="1">
      <alignment horizontal="center"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0" fontId="54" fillId="48" borderId="0" xfId="0" applyFont="1" applyFill="1" applyNumberFormat="1">
      <alignment horizontal="left" vertical="center"/>
    </xf>
    <xf numFmtId="49" fontId="22" fillId="0" borderId="20"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0" xfId="0" applyFont="1" applyNumberFormat="1">
      <alignmen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5" fillId="0" borderId="17" xfId="0" applyFont="1" applyBorder="1" applyNumberFormat="1">
      <alignment vertical="top" wrapText="1"/>
    </xf>
    <xf numFmtId="0" fontId="0" fillId="0" borderId="0" xfId="0" applyFont="1" applyNumberFormat="1">
      <alignment vertical="center"/>
    </xf>
    <xf numFmtId="0" fontId="22" fillId="35" borderId="12" xfId="0" applyFont="1" applyFill="1" applyBorder="1" applyNumberFormat="1">
      <alignment horizontal="left"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pplyNumberFormat="1">
      <alignment vertical="center"/>
    </xf>
    <xf numFmtId="0" fontId="22" fillId="0" borderId="0" xfId="0" applyFont="1" applyNumberFormat="1">
      <alignment horizontal="center"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left" vertical="top"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center" vertical="center"/>
    </xf>
    <xf numFmtId="0" fontId="22" fillId="0" borderId="0" xfId="0" applyFont="1" applyNumberFormat="1">
      <alignment horizontal="right" vertical="center" wrapText="1"/>
    </xf>
    <xf numFmtId="0" fontId="80" fillId="35" borderId="0" xfId="0" applyFont="1" applyFill="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pplyNumberFormat="1">
      <alignment horizontal="center" vertical="center"/>
    </xf>
    <xf numFmtId="0" fontId="22" fillId="40" borderId="12" xfId="0" applyFont="1" applyFill="1" applyBorder="1" applyNumberFormat="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pplyNumberFormat="1">
      <alignment vertical="center"/>
    </xf>
    <xf numFmtId="49" fontId="22" fillId="0" borderId="0" xfId="0" applyFont="1" applyNumberFormat="1">
      <alignment vertical="center" wrapText="1"/>
    </xf>
    <xf numFmtId="0" fontId="22" fillId="0" borderId="17"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pplyNumberFormat="1">
      <alignment horizontal="left" vertical="center" indent="1"/>
    </xf>
    <xf numFmtId="0" fontId="47" fillId="0" borderId="0" xfId="0" applyFont="1" applyNumberFormat="1">
      <alignment horizontal="center" vertical="center"/>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47" fillId="0" borderId="0" xfId="0" applyFont="1" applyNumberFormat="1">
      <alignment horizontal="center" vertical="center"/>
    </xf>
    <xf numFmtId="0" fontId="47" fillId="0" borderId="0" xfId="0" applyFont="1" applyNumberFormat="1">
      <alignment vertical="center"/>
    </xf>
    <xf numFmtId="0" fontId="69" fillId="0" borderId="0" xfId="0" applyFont="1" applyNumberFormat="1">
      <alignment vertical="center" wrapText="1"/>
    </xf>
    <xf numFmtId="0" fontId="0" fillId="0" borderId="15" xfId="0" applyFont="1" applyBorder="1" applyNumberFormat="1">
      <alignment vertical="center"/>
    </xf>
    <xf numFmtId="0" fontId="48" fillId="0" borderId="12" xfId="0" applyFont="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left" vertical="center" indent="1"/>
    </xf>
    <xf numFmtId="0" fontId="48" fillId="0" borderId="12" xfId="0" applyFont="1" applyBorder="1" applyNumberFormat="1">
      <alignment vertical="center" wrapText="1"/>
    </xf>
    <xf numFmtId="0" fontId="72" fillId="0" borderId="0" xfId="0" applyFont="1" applyNumberFormat="1">
      <alignment horizontal="center" vertical="center"/>
    </xf>
    <xf numFmtId="0" fontId="72" fillId="0" borderId="0" xfId="0" applyFont="1" applyNumberFormat="1">
      <alignment horizontal="left" vertical="center" wrapText="1"/>
    </xf>
    <xf numFmtId="49" fontId="72" fillId="0" borderId="0" xfId="0" applyFont="1" applyNumberFormat="1">
      <alignment horizontal="left" vertical="center"/>
    </xf>
    <xf numFmtId="0" fontId="22" fillId="0" borderId="0" xfId="0" applyFont="1" applyNumberFormat="1">
      <alignment horizontal="center" vertical="center"/>
    </xf>
    <xf numFmtId="0" fontId="72" fillId="0" borderId="0" xfId="0" applyFont="1" applyNumberFormat="1">
      <alignment horizontal="center" vertical="center"/>
    </xf>
    <xf numFmtId="4" fontId="22" fillId="0" borderId="13" xfId="0" applyFont="1" applyBorder="1" applyNumberFormat="1">
      <alignment horizontal="righ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pplyNumberFormat="1">
      <alignment horizontal="left" vertical="center" wrapText="1" indent="7"/>
      <protection locked="0"/>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216" fontId="22" fillId="37" borderId="13" xfId="0" applyFont="1" applyFill="1" applyBorder="1" applyNumberFormat="1">
      <alignment horizontal="right" vertical="center" wrapText="1"/>
    </xf>
    <xf numFmtId="0" fontId="22" fillId="40" borderId="12" xfId="0" applyFont="1" applyFill="1" applyBorder="1" applyNumberFormat="1">
      <alignment horizontal="left" vertical="center" wrapText="1" indent="1"/>
    </xf>
    <xf numFmtId="0" fontId="48" fillId="0" borderId="12" xfId="0" applyFont="1" applyBorder="1" applyNumberFormat="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6"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pplyNumberFormat="1">
      <alignment horizontal="left" vertical="center"/>
    </xf>
    <xf numFmtId="0" fontId="5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0" fillId="37" borderId="29" xfId="0" applyFont="1" applyFill="1" applyBorder="1" applyNumberFormat="1">
      <alignment horizontal="left" vertical="center"/>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pplyNumberFormat="1">
      <alignment vertical="center"/>
    </xf>
    <xf numFmtId="0" fontId="110" fillId="0" borderId="0" xfId="0" applyFont="1" applyNumberForma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8" fillId="0" borderId="0" xfId="0" applyFont="1" applyNumberFormat="1">
      <alignment horizontal="center" vertical="center"/>
    </xf>
    <xf numFmtId="0" fontId="22" fillId="35"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pplyNumberFormat="1">
      <alignment vertical="center"/>
    </xf>
    <xf numFmtId="0" fontId="22" fillId="0" borderId="0" xfId="0" applyFont="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pplyNumberFormat="1">
      <alignment horizontal="center" vertical="center" wrapText="1"/>
    </xf>
    <xf numFmtId="0" fontId="0" fillId="35" borderId="1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0" fontId="37" fillId="0" borderId="0" xfId="0" applyFont="1" applyNumberFormat="1">
      <alignment horizontal="center" vertical="center" wrapText="1"/>
    </xf>
    <xf numFmtId="216" fontId="22" fillId="37" borderId="15" xfId="0" applyFont="1" applyFill="1" applyBorder="1" applyNumberFormat="1">
      <alignment horizontal="righ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49" fontId="40" fillId="37" borderId="27" xfId="0" applyFont="1" applyFill="1" applyBorder="1" applyNumberFormat="1">
      <alignment horizontal="left" vertical="center"/>
    </xf>
    <xf numFmtId="0" fontId="111"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0" xfId="0" applyFont="1" applyNumberForma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pplyNumberFormat="1">
      <alignment horizontal="left" vertical="center" wrapText="1" inden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8" fillId="0" borderId="0" xfId="0" applyFont="1" applyNumberForma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pplyNumberFormat="1">
      <alignment horizontal="center" vertical="center" wrapText="1"/>
    </xf>
    <xf numFmtId="0" fontId="37" fillId="35" borderId="0" xfId="0" applyFont="1" applyFill="1" applyNumberFormat="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1"/>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indent="1"/>
    </xf>
    <xf numFmtId="0" fontId="22" fillId="0" borderId="12" xfId="0" applyFont="1" applyBorder="1" applyNumberFormat="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pplyNumberFormat="1">
      <alignment horizontal="left" vertical="center" wrapText="1"/>
    </xf>
    <xf numFmtId="0" fontId="48" fillId="35" borderId="12" xfId="0" applyFont="1" applyFill="1" applyBorder="1" applyNumberFormat="1">
      <alignment horizontal="center" vertical="center"/>
    </xf>
    <xf numFmtId="0" fontId="72" fillId="35" borderId="0" xfId="0" applyFont="1" applyFill="1" applyNumberFormat="1">
      <alignment vertical="center" wrapText="1"/>
    </xf>
    <xf numFmtId="0" fontId="67" fillId="35" borderId="0" xfId="0" applyFont="1" applyFill="1" applyNumberFormat="1"/>
    <xf numFmtId="49" fontId="22" fillId="36" borderId="12" xfId="0" applyFont="1" applyFill="1" applyBorder="1" applyNumberFormat="1">
      <alignment horizontal="left" vertical="center" wrapText="1"/>
      <protection locked="0"/>
    </xf>
    <xf numFmtId="0" fontId="84" fillId="35" borderId="0" xfId="0" applyFont="1" applyFill="1" applyNumberFormat="1"/>
    <xf numFmtId="0" fontId="68" fillId="35" borderId="0" xfId="0" applyFont="1" applyFill="1" applyNumberFormat="1"/>
    <xf numFmtId="14" fontId="22" fillId="39" borderId="23" xfId="0" applyFont="1" applyFill="1" applyBorder="1" applyNumberFormat="1">
      <alignment horizontal="left" vertical="center" wrapText="1" indent="1"/>
      <protection locked="0"/>
    </xf>
    <xf numFmtId="0" fontId="112" fillId="0" borderId="0" xfId="0" applyFont="1" applyNumberFormat="1">
      <alignment vertical="center"/>
    </xf>
    <xf numFmtId="0" fontId="112" fillId="0" borderId="0" xfId="0" applyFont="1" applyNumberFormat="1">
      <alignment vertical="center" wrapText="1"/>
    </xf>
    <xf numFmtId="21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pplyNumberFormat="1">
      <alignment horizontal="left" vertical="center" wrapText="1" indent="1"/>
    </xf>
    <xf numFmtId="215"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4" fontId="22" fillId="40" borderId="12" xfId="0" applyFont="1" applyFill="1" applyBorder="1" applyNumberFormat="1">
      <alignment horizontal="left" vertical="center" wrapText="1"/>
    </xf>
    <xf numFmtId="215" fontId="22" fillId="0" borderId="3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47" fillId="35" borderId="0" xfId="0" applyFont="1" applyFill="1" applyNumberFormat="1"/>
    <xf numFmtId="0" fontId="22" fillId="0" borderId="15" xfId="0" applyFont="1" applyBorder="1" applyNumberFormat="1">
      <alignment horizontal="right" vertical="center" wrapText="1" indent="1"/>
    </xf>
    <xf numFmtId="0" fontId="22" fillId="34" borderId="14" xfId="0" applyFont="1" applyFill="1" applyBorder="1" applyNumberFormat="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pplyNumberFormat="1">
      <alignment vertical="center"/>
    </xf>
    <xf numFmtId="0" fontId="22" fillId="0" borderId="36"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pplyNumberFormat="1">
      <alignment horizontal="left" vertical="center" wrapText="1"/>
    </xf>
    <xf numFmtId="49" fontId="22" fillId="0" borderId="36" xfId="0" applyFont="1" applyBorder="1" applyNumberFormat="1">
      <alignment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0" borderId="36" xfId="0" applyFont="1" applyBorder="1" applyNumberFormat="1">
      <alignment horizontal="left" vertical="center"/>
    </xf>
    <xf numFmtId="0" fontId="40" fillId="37" borderId="37" xfId="0" applyFont="1" applyFill="1" applyBorder="1" applyNumberFormat="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pplyNumberFormat="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17" xfId="0" applyFont="1" applyBorder="1" applyNumberFormat="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0" xfId="0" applyFont="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0" fontId="40" fillId="0" borderId="0" xfId="0" applyFont="1" applyNumberForma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pplyNumberFormat="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horizontal="left" vertical="center" wrapText="1"/>
    </xf>
    <xf numFmtId="0" fontId="58" fillId="0" borderId="0" xfId="0" applyFont="1" applyNumberFormat="1">
      <alignment vertical="center" wrapText="1"/>
    </xf>
    <xf numFmtId="0" fontId="60" fillId="0" borderId="0" xfId="0" applyFont="1" applyNumberFormat="1">
      <alignment vertical="center" wrapText="1"/>
    </xf>
    <xf numFmtId="0" fontId="88" fillId="0" borderId="0" xfId="0" applyFont="1" applyNumberFormat="1">
      <alignment vertical="center" wrapText="1"/>
    </xf>
    <xf numFmtId="0" fontId="48" fillId="0" borderId="0" xfId="0" applyFont="1" applyNumberFormat="1">
      <alignment vertical="center" wrapText="1"/>
    </xf>
    <xf numFmtId="0" fontId="64" fillId="0" borderId="0" xfId="0" applyFont="1" applyNumberFormat="1">
      <alignment vertical="center" wrapText="1"/>
    </xf>
    <xf numFmtId="49" fontId="22" fillId="0" borderId="12" xfId="0" applyFont="1" applyBorder="1" applyNumberFormat="1">
      <alignment horizontal="center" vertical="center" wrapText="1"/>
    </xf>
    <xf numFmtId="0" fontId="37" fillId="35" borderId="12" xfId="0" applyFont="1" applyFill="1" applyBorder="1" applyNumberFormat="1">
      <alignment horizontal="center"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center"/>
    </xf>
    <xf numFmtId="0" fontId="37" fillId="35" borderId="12" xfId="0" applyFont="1" applyFill="1" applyBorder="1" applyNumberFormat="1">
      <alignment horizontal="center" vertical="center" wrapText="1"/>
    </xf>
    <xf numFmtId="0" fontId="47" fillId="0" borderId="22" xfId="0" applyFont="1" applyBorder="1" applyNumberFormat="1">
      <alignment vertical="center"/>
    </xf>
    <xf numFmtId="0" fontId="47" fillId="0" borderId="22" xfId="0" applyFont="1" applyBorder="1" applyNumberFormat="1">
      <alignment vertical="center"/>
    </xf>
    <xf numFmtId="0" fontId="22" fillId="0" borderId="17" xfId="0" applyFont="1" applyBorder="1" applyNumberFormat="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54" fillId="0" borderId="0" xfId="0" applyFont="1" applyNumberFormat="1">
      <alignment vertical="center"/>
    </xf>
    <xf numFmtId="0" fontId="72" fillId="0" borderId="0" xfId="0" applyFont="1" applyNumberFormat="1">
      <alignment vertical="center" wrapText="1"/>
    </xf>
    <xf numFmtId="0" fontId="48" fillId="0" borderId="0" xfId="0" applyFont="1" applyNumberFormat="1">
      <alignment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pplyNumberFormat="1">
      <alignment horizontal="left" vertical="center" wrapText="1" indent="2"/>
    </xf>
    <xf numFmtId="0" fontId="48" fillId="0" borderId="17"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49" fontId="0" fillId="0" borderId="12" xfId="0" applyFont="1" applyBorder="1" applyNumberFormat="1">
      <alignment vertical="center" wrapText="1"/>
    </xf>
    <xf numFmtId="0" fontId="48" fillId="0" borderId="14" xfId="0" applyFont="1" applyBorder="1" applyNumberFormat="1">
      <alignment vertical="center" wrapText="1"/>
    </xf>
    <xf numFmtId="0" fontId="48" fillId="0" borderId="14" xfId="0" applyFont="1" applyBorder="1" applyNumberFormat="1">
      <alignment horizontal="left" vertical="top" wrapText="1"/>
    </xf>
    <xf numFmtId="49" fontId="22" fillId="0" borderId="58" xfId="0" applyFont="1" applyBorder="1" applyNumberFormat="1">
      <alignment horizontal="center" vertical="center" wrapText="1"/>
    </xf>
    <xf numFmtId="0" fontId="22" fillId="0" borderId="17" xfId="0" applyFont="1" applyBorder="1" applyNumberFormat="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pplyNumberFormat="1">
      <alignment horizontal="left" vertical="top" wrapText="1"/>
    </xf>
    <xf numFmtId="0" fontId="22" fillId="0" borderId="0" xfId="0" applyFont="1" applyNumberForma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applyNumberFormat="1"/>
    <xf numFmtId="0" fontId="22" fillId="0" borderId="0" xfId="0" applyFont="1" applyNumberFormat="1">
      <alignment vertical="top" wrapText="1"/>
    </xf>
    <xf numFmtId="0" fontId="37" fillId="35" borderId="0" xfId="0" applyFont="1" applyFill="1" applyNumberFormat="1">
      <alignment horizontal="center" vertical="center" wrapText="1"/>
    </xf>
    <xf numFmtId="0" fontId="0" fillId="35"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32" fillId="47" borderId="0" xfId="0" applyFont="1" applyFill="1" applyNumberFormat="1">
      <alignment horizontal="center" vertical="center"/>
    </xf>
    <xf numFmtId="0" fontId="0" fillId="48" borderId="0" xfId="0" applyFont="1" applyFill="1" applyNumberFormat="1">
      <alignment horizontal="left" vertical="center"/>
    </xf>
    <xf numFmtId="49" fontId="0" fillId="0" borderId="0" xfId="0" applyFont="1" applyNumberFormat="1">
      <alignment vertical="center"/>
    </xf>
    <xf numFmtId="0" fontId="0" fillId="48" borderId="0" xfId="0" applyFont="1" applyFill="1" applyNumberFormat="1">
      <alignment horizontal="right" vertical="center"/>
    </xf>
    <xf numFmtId="0" fontId="54" fillId="48" borderId="0" xfId="0" applyFont="1" applyFill="1" applyNumberFormat="1">
      <alignment horizontal="left" vertical="center"/>
    </xf>
    <xf numFmtId="0" fontId="0" fillId="0" borderId="0" xfId="0" applyFont="1" applyNumberFormat="1">
      <alignment horizontal="right" vertical="top"/>
    </xf>
    <xf numFmtId="0" fontId="0" fillId="48" borderId="10" xfId="0" applyFont="1" applyFill="1" applyBorder="1" applyNumberFormat="1">
      <alignment horizontal="center"/>
    </xf>
    <xf numFmtId="0" fontId="0" fillId="0" borderId="10" xfId="0" applyFont="1" applyBorder="1" applyNumberFormat="1">
      <alignment horizontal="center"/>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applyNumberFormat="1"/>
    <xf numFmtId="0" fontId="102" fillId="0" borderId="0" xfId="0" applyFont="1" applyNumberFormat="1">
      <alignment horizontal="left" vertical="center" wrapText="1"/>
    </xf>
    <xf numFmtId="49" fontId="117" fillId="0" borderId="0" xfId="0" applyFont="1" applyNumberFormat="1">
      <alignment wrapText="1"/>
    </xf>
    <xf numFmtId="0" fontId="46" fillId="0" borderId="0" xfId="0" applyFont="1" applyNumberFormat="1">
      <alignment horizontal="left" vertical="top" wrapText="1"/>
    </xf>
    <xf numFmtId="49" fontId="22" fillId="0" borderId="0" xfId="0" applyFont="1" applyNumberFormat="1">
      <alignment vertical="top" wrapText="1"/>
    </xf>
    <xf numFmtId="0" fontId="66" fillId="0" borderId="0" xfId="0" applyFont="1" applyNumberFormat="1">
      <alignment wrapTex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0" fillId="53" borderId="60" xfId="0" applyFont="1" applyFill="1" applyBorder="1" applyNumberFormat="1">
      <alignment horizontal="center"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120" fillId="0" borderId="0" xfId="0" applyFont="1" applyNumberFormat="1"/>
    <xf numFmtId="0" fontId="120" fillId="0" borderId="38" xfId="0" applyFont="1" applyBorder="1" applyNumberFormat="1">
      <alignment wrapTex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0" fontId="36" fillId="0" borderId="24" xfId="0" applyFont="1" applyBorder="1" applyNumberFormat="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8" fontId="0" fillId="39" borderId="12" xfId="0" applyFont="1" applyFill="1" applyBorder="1" applyNumberFormat="1">
      <alignment horizontal="left" vertical="center" wrapText="1" indent="1"/>
      <protection locked="0"/>
    </xf>
    <xf numFmtId="218" fontId="0" fillId="0" borderId="12" xfId="0" applyFont="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218" fontId="48" fillId="0" borderId="0" xfId="0" applyFont="1" applyNumberFormat="1">
      <alignment horizontal="center" vertical="center" wrapText="1"/>
    </xf>
    <xf numFmtId="218" fontId="48" fillId="0" borderId="12" xfId="0" applyFont="1" applyBorder="1" applyNumberFormat="1">
      <alignment horizontal="center" vertical="center" wrapText="1"/>
    </xf>
    <xf numFmtId="218" fontId="0" fillId="39" borderId="12" xfId="0" applyFont="1" applyFill="1" applyBorder="1" applyNumberFormat="1">
      <alignment horizontal="left" vertical="center" wrapText="1"/>
      <protection locked="0"/>
    </xf>
    <xf numFmtId="218" fontId="0" fillId="36" borderId="12" xfId="0" applyFont="1" applyFill="1" applyBorder="1" applyNumberFormat="1">
      <alignment horizontal="left" vertical="center" wrapText="1" indent="1"/>
      <protection locked="0"/>
    </xf>
    <xf numFmtId="218" fontId="0" fillId="39" borderId="13" xfId="0" applyFont="1" applyFill="1" applyBorder="1" applyNumberFormat="1">
      <alignment horizontal="left" vertical="center" wrapText="1"/>
      <protection locked="0"/>
    </xf>
    <xf numFmtId="0" fontId="22" fillId="0" borderId="0" xfId="0" applyFont="1" applyNumberFormat="1">
      <alignment horizontal="left" vertical="top" indent="1"/>
    </xf>
    <xf numFmtId="0" fontId="22" fillId="34"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2" fillId="34" borderId="30" xfId="0" applyFont="1" applyFill="1" applyBorder="1" applyNumberFormat="1">
      <alignment horizontal="left" vertical="top"/>
    </xf>
    <xf numFmtId="0" fontId="22" fillId="0" borderId="12" xfId="0" applyFont="1" applyBorder="1" applyNumberFormat="1">
      <alignment horizontal="left" vertical="top"/>
    </xf>
    <xf numFmtId="49" fontId="22" fillId="0" borderId="0" xfId="0" applyFont="1" applyNumberFormat="1">
      <alignment horizontal="left" vertical="top"/>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40" fillId="0" borderId="36" xfId="0" applyFont="1" applyBorder="1" applyNumberFormat="1">
      <alignment horizontal="left" vertical="center"/>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pplyNumberFormat="1">
      <alignment horizontal="center" vertical="center" wrapText="1"/>
    </xf>
    <xf numFmtId="0" fontId="0" fillId="35" borderId="12" xfId="0" applyFont="1" applyFill="1" applyBorder="1" applyNumberFormat="1">
      <alignment vertical="top" wrapText="1"/>
    </xf>
    <xf numFmtId="0" fontId="47" fillId="0" borderId="12" xfId="0" applyFont="1" applyBorder="1" applyNumberFormat="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2" fillId="0" borderId="0" xfId="0" applyFont="1" applyNumberFormat="1">
      <alignment horizontal="left" vertical="center" indent="1"/>
    </xf>
    <xf numFmtId="218" fontId="0" fillId="39" borderId="14" xfId="0" applyFont="1" applyFill="1" applyBorder="1" applyNumberFormat="1">
      <alignment horizontal="left" vertical="center" wrapText="1"/>
      <protection locked="0"/>
    </xf>
    <xf numFmtId="218"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pplyNumberFormat="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pplyNumberForma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0" fontId="45" fillId="0" borderId="12" xfId="0" applyFont="1" applyBorder="1" applyNumberFormat="1">
      <alignment horizontal="center" vertical="center"/>
    </xf>
    <xf numFmtId="49" fontId="0" fillId="39" borderId="12" xfId="0" applyFont="1" applyFill="1" applyBorder="1" applyNumberFormat="1">
      <alignment horizontal="left" vertical="center" wrapText="1"/>
      <protection locked="0"/>
    </xf>
    <xf numFmtId="0" fontId="47" fillId="0" borderId="0" xfId="0" applyFont="1" applyNumberFormat="1">
      <alignment horizontal="center" vertical="top"/>
    </xf>
    <xf numFmtId="49" fontId="22" fillId="0" borderId="36" xfId="0" applyFont="1" applyBorder="1" applyNumberFormat="1">
      <alignment horizontal="center" vertical="top" wrapText="1"/>
    </xf>
    <xf numFmtId="0" fontId="22" fillId="0" borderId="12" xfId="0" applyFont="1" applyBorder="1" applyNumberFormat="1">
      <alignment horizontal="left" vertical="center" wrapText="1"/>
    </xf>
    <xf numFmtId="0" fontId="36" fillId="0" borderId="12"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0" fillId="0" borderId="12" xfId="0" applyFont="1" applyBorder="1" applyNumberFormat="1">
      <alignment horizontal="left" vertical="center" wrapText="1"/>
    </xf>
    <xf numFmtId="0" fontId="22" fillId="0" borderId="36" xfId="0" applyFont="1" applyBorder="1" applyNumberFormat="1">
      <alignment horizontal="center" vertical="center" wrapText="1"/>
    </xf>
    <xf numFmtId="0" fontId="22" fillId="35" borderId="14" xfId="0" applyFont="1" applyFill="1" applyBorder="1" applyNumberFormat="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pplyNumberFormat="1">
      <alignment horizontal="center" vertical="center" wrapText="1"/>
    </xf>
    <xf numFmtId="0" fontId="45" fillId="0" borderId="13"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0" fontId="37" fillId="0" borderId="0" xfId="0" applyFont="1" applyNumberFormat="1">
      <alignment horizontal="center" vertical="center" wrapText="1"/>
    </xf>
    <xf numFmtId="0" fontId="4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pplyNumberFormat="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pplyNumberFormat="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7" borderId="15" xfId="0" applyFont="1" applyFill="1" applyBorder="1" applyNumberFormat="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pplyNumberFormat="1">
      <alignment horizontal="center" vertical="center" wrapText="1"/>
    </xf>
    <xf numFmtId="0" fontId="22"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2" fillId="40" borderId="12" xfId="0" applyFont="1" applyFill="1" applyBorder="1" applyNumberFormat="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2" fillId="40"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pplyNumberForma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23" xfId="0" applyFont="1" applyBorder="1" applyNumberFormat="1">
      <alignment horizontal="left" vertical="center" wrapText="1" inden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215" fontId="22" fillId="0" borderId="23" xfId="0" applyFont="1" applyBorder="1" applyNumberFormat="1">
      <alignment horizontal="center" vertical="center" wrapText="1"/>
    </xf>
    <xf numFmtId="0" fontId="22" fillId="0" borderId="0" xfId="0" applyFont="1" applyNumberFormat="1">
      <alignment horizontal="right" vertical="center" wrapText="1"/>
    </xf>
    <xf numFmtId="0" fontId="22" fillId="35" borderId="12" xfId="0" applyFont="1" applyFill="1" applyBorder="1" applyNumberFormat="1">
      <alignment vertical="top" wrapText="1"/>
    </xf>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pplyNumberFormat="1">
      <alignment horizontal="left" vertical="center" wrapText="1"/>
    </xf>
    <xf numFmtId="0" fontId="0" fillId="48" borderId="0" xfId="0" applyFont="1" applyFill="1" applyNumberFormat="1">
      <alignment horizontal="right" vertical="top" wrapText="1"/>
    </xf>
    <xf numFmtId="0" fontId="22" fillId="0" borderId="0" xfId="0" applyFont="1" applyNumberFormat="1">
      <alignment horizontal="left" vertical="top" wrapText="1"/>
    </xf>
    <xf numFmtId="14" fontId="22" fillId="0" borderId="23" xfId="0" applyFont="1" applyBorder="1" applyNumberFormat="1">
      <alignment horizontal="left" vertical="center" wrapText="1" indent="1"/>
    </xf>
    <xf numFmtId="0" fontId="22"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34" borderId="12" xfId="0" applyFont="1" applyFill="1" applyBorder="1" applyNumberFormat="1">
      <alignment horizontal="left" vertical="center" wrapText="1"/>
    </xf>
    <xf numFmtId="215"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48" fillId="0" borderId="0" xfId="0" applyFont="1" applyNumberForma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pplyNumberFormat="1">
      <alignment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219" fontId="22" fillId="39" borderId="12" xfId="0" applyFont="1" applyFill="1" applyBorder="1" applyNumberFormat="1">
      <alignment horizontal="left" vertical="center" wrapText="1" indent="1"/>
      <protection locked="0"/>
    </xf>
    <xf numFmtId="218"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pplyNumberFormat="1">
      <alignment horizontal="left" vertical="top" wrapText="1" indent="1"/>
      <protection locked="0"/>
    </xf>
    <xf numFmtId="0" fontId="22" fillId="0" borderId="15" xfId="0" applyFont="1" applyBorder="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pplyNumberFormat="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0" fontId="22" fillId="34" borderId="15" xfId="0" applyFont="1" applyFill="1" applyBorder="1" applyNumberFormat="1">
      <alignment horizontal="left"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0" fontId="80" fillId="35" borderId="19" xfId="0" applyFont="1" applyFill="1" applyBorder="1" applyNumberFormat="1">
      <alignment horizontal="center"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35" borderId="23" xfId="0" applyFont="1" applyFill="1" applyBorder="1" applyNumberFormat="1">
      <alignment horizontal="center" vertical="center" wrapText="1"/>
    </xf>
    <xf numFmtId="0" fontId="48" fillId="0" borderId="15" xfId="0" applyFont="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pplyNumberFormat="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pplyNumberFormat="1">
      <alignment horizontal="center" vertical="center" wrapText="1"/>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22" fillId="0" borderId="0" xfId="0" applyFont="1" applyNumberFormat="1">
      <alignment horizontal="left" vertical="center" indent="1"/>
    </xf>
    <xf numFmtId="49" fontId="22" fillId="0" borderId="0" xfId="0" applyFont="1" applyNumberFormat="1">
      <alignment horizontal="left" vertical="center"/>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pplyNumberFormat="1">
      <alignment vertical="center" wrapText="1"/>
    </xf>
    <xf numFmtId="0" fontId="0"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218" fontId="0" fillId="39" borderId="12" xfId="0" applyFont="1" applyFill="1" applyBorder="1" applyNumberFormat="1">
      <alignment horizontal="center" vertical="center" wrapText="1"/>
      <protection locked="0"/>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32" fillId="47" borderId="0" xfId="0" applyFont="1" applyFill="1" applyNumberFormat="1">
      <alignment horizontal="center" vertical="center" wrapText="1"/>
    </xf>
    <xf numFmtId="0" fontId="48"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35" borderId="17"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45" fillId="0" borderId="13" xfId="0" applyFont="1" applyBorder="1" applyNumberFormat="1">
      <alignment vertical="top" wrapText="1"/>
    </xf>
    <xf numFmtId="0" fontId="48" fillId="0" borderId="13" xfId="0" applyFont="1" applyBorder="1" applyNumberFormat="1">
      <alignment vertical="top"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left" vertical="center" wrapText="1"/>
    </xf>
    <xf numFmtId="0" fontId="22" fillId="0" borderId="37" xfId="0" applyFont="1" applyBorder="1" applyNumberFormat="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0" xfId="0" applyFont="1" applyNumberFormat="1">
      <alignment horizontal="left" vertical="top" wrapText="1"/>
    </xf>
    <xf numFmtId="0" fontId="22" fillId="34" borderId="14" xfId="0" applyFont="1" applyFill="1" applyBorder="1" applyNumberFormat="1">
      <alignment horizontal="left" vertical="top" wrapText="1"/>
    </xf>
    <xf numFmtId="49" fontId="22" fillId="0" borderId="0" xfId="0" applyFont="1" applyNumberFormat="1">
      <alignment vertical="center" wrapText="1"/>
    </xf>
    <xf numFmtId="0" fontId="0" fillId="0" borderId="12" xfId="0" applyFont="1" applyBorder="1" applyNumberFormat="1">
      <alignment horizontal="lef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7" xfId="0" applyFont="1" applyBorder="1" applyNumberFormat="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pplyNumberFormat="1">
      <alignment vertical="center"/>
    </xf>
    <xf numFmtId="0" fontId="47" fillId="55" borderId="12" xfId="0" applyFont="1" applyFill="1" applyBorder="1" applyNumberFormat="1">
      <alignment horizontal="left" vertical="center" wrapText="1"/>
    </xf>
    <xf numFmtId="0" fontId="91" fillId="0" borderId="0" xfId="0" applyFont="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pplyNumberFormat="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indent="2"/>
    </xf>
    <xf numFmtId="0" fontId="102" fillId="0" borderId="0" xfId="0" applyFont="1" applyNumberFormat="1">
      <alignment vertical="center" wrapText="1"/>
    </xf>
    <xf numFmtId="0" fontId="102" fillId="0" borderId="0" xfId="0" applyFont="1" applyNumberFormat="1">
      <alignment vertical="center"/>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46" fillId="46" borderId="0" xfId="0" applyFont="1" applyFill="1" applyNumberFormat="1">
      <alignment horizontal="right" vertical="center" wrapText="1" indent="1"/>
    </xf>
    <xf numFmtId="0" fontId="120" fillId="0" borderId="38" xfId="0" applyFont="1" applyBorder="1" applyNumberFormat="1">
      <alignment vertical="center" wrapText="1"/>
    </xf>
    <xf numFmtId="0" fontId="120" fillId="0" borderId="0" xfId="0" applyFont="1" applyNumberFormat="1">
      <alignment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120" fillId="0" borderId="0" xfId="0" applyFont="1" applyNumberFormat="1">
      <alignment vertical="top" wrapText="1"/>
    </xf>
    <xf numFmtId="49" fontId="66" fillId="0" borderId="0" xfId="0" applyFont="1" applyNumberFormat="1">
      <alignment vertical="top"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96" fillId="0" borderId="0" xfId="0" applyFont="1" applyNumberFormat="1">
      <alignment horizontal="left" vertical="center" wrapText="1"/>
    </xf>
    <xf numFmtId="14" fontId="93"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5" xfId="0" applyFont="1" applyBorder="1" applyNumberFormat="1">
      <alignment horizontal="left" vertical="center" wrapText="1" inden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0" fontId="22" fillId="40" borderId="23"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22" fillId="0" borderId="0" xfId="0" applyFont="1" applyNumberFormat="1">
      <alignment horizontal="center" vertical="center" wrapText="1"/>
    </xf>
    <xf numFmtId="0" fontId="22" fillId="42" borderId="0" xfId="0" applyFont="1" applyFill="1" applyNumberFormat="1">
      <alignment horizontal="center"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75"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pplyNumberFormat="1">
      <alignment horizontal="left" vertical="top" wrapText="1"/>
    </xf>
    <xf numFmtId="49" fontId="0" fillId="0" borderId="12" xfId="0" applyFont="1" applyBorder="1" applyNumberFormat="1">
      <alignment horizontal="left" vertical="top"/>
    </xf>
    <xf numFmtId="0" fontId="22" fillId="40" borderId="17" xfId="0" applyFont="1" applyFill="1" applyBorder="1" applyNumberFormat="1">
      <alignment horizontal="center" vertical="top" wrapText="1"/>
    </xf>
    <xf numFmtId="0" fontId="22" fillId="40" borderId="36" xfId="0" applyFont="1" applyFill="1" applyBorder="1" applyNumberFormat="1">
      <alignment horizontal="center" vertical="top" wrapText="1"/>
    </xf>
    <xf numFmtId="0" fontId="22" fillId="40"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pplyNumberFormat="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27" xfId="0" applyFont="1" applyBorder="1" applyNumberFormat="1">
      <alignment horizontal="left" vertical="center" indent="1"/>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2" fillId="0" borderId="17" xfId="0" applyFont="1" applyBorder="1" applyNumberFormat="1">
      <alignment horizontal="left" vertical="top" wrapText="1"/>
    </xf>
    <xf numFmtId="0" fontId="22" fillId="0" borderId="36" xfId="0" applyFont="1" applyBorder="1" applyNumberFormat="1">
      <alignment horizontal="left" vertical="top" wrapText="1"/>
    </xf>
    <xf numFmtId="0" fontId="22" fillId="0" borderId="23"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2" fillId="0" borderId="17" xfId="0" applyFont="1" applyBorder="1" applyNumberFormat="1">
      <alignment horizontal="center" vertical="center" wrapText="1"/>
    </xf>
    <xf numFmtId="0" fontId="22" fillId="0" borderId="27" xfId="0" applyFont="1" applyBorder="1" applyNumberFormat="1">
      <alignment horizontal="left" vertical="center" wrapText="1" indent="1"/>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0" borderId="12" xfId="0" applyFont="1" applyBorder="1" applyNumberFormat="1">
      <alignment horizontal="left" vertical="center" wrapText="1"/>
    </xf>
    <xf numFmtId="0" fontId="22" fillId="0" borderId="37" xfId="0" applyFont="1" applyBorder="1" applyNumberFormat="1">
      <alignment horizontal="left" vertical="center" wrapText="1"/>
    </xf>
    <xf numFmtId="0" fontId="22" fillId="0" borderId="19" xfId="0" applyFont="1" applyBorder="1" applyNumberFormat="1">
      <alignment horizontal="center" vertical="center"/>
    </xf>
    <xf numFmtId="0" fontId="22" fillId="0" borderId="0" xfId="0" applyFont="1" applyNumberFormat="1">
      <alignment horizontal="center" vertical="center"/>
    </xf>
    <xf numFmtId="49" fontId="22" fillId="0" borderId="12" xfId="0" applyFont="1" applyBorder="1" applyNumberFormat="1">
      <alignment horizontal="center" vertical="center"/>
    </xf>
    <xf numFmtId="0" fontId="22" fillId="0" borderId="14"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19" xfId="0" applyFont="1" applyBorder="1" applyNumberFormat="1">
      <alignment horizontal="left" vertical="center" wrapText="1" inden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49" fontId="22" fillId="35" borderId="0" xfId="0" applyFont="1" applyFill="1" applyNumberFormat="1">
      <alignment horizontal="center" vertical="center" wrapText="1"/>
    </xf>
    <xf numFmtId="0" fontId="45" fillId="0" borderId="0" xfId="0" applyFont="1" applyNumberForma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pplyNumberFormat="1">
      <alignment horizontal="left" vertical="top" wrapText="1" indent="1"/>
    </xf>
    <xf numFmtId="0" fontId="93" fillId="35" borderId="0" xfId="0" applyFont="1" applyFill="1" applyNumberFormat="1">
      <alignment horizontal="left"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7" xfId="0" applyFont="1" applyFill="1" applyBorder="1" applyNumberFormat="1">
      <alignment horizontal="left" vertical="top" wrapText="1"/>
    </xf>
    <xf numFmtId="0" fontId="22" fillId="35" borderId="36" xfId="0" applyFont="1" applyFill="1" applyBorder="1" applyNumberFormat="1">
      <alignment horizontal="left" vertical="top" wrapText="1"/>
    </xf>
    <xf numFmtId="0" fontId="22" fillId="35" borderId="23" xfId="0" applyFont="1" applyFill="1" applyBorder="1" applyNumberFormat="1">
      <alignment horizontal="left" vertical="top" wrapText="1"/>
    </xf>
    <xf numFmtId="0" fontId="22" fillId="35" borderId="24" xfId="0" applyFont="1" applyFill="1" applyBorder="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47"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3" xfId="0" applyFont="1" applyBorder="1" applyNumberFormat="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pplyNumberFormat="1">
      <alignment horizontal="left" vertical="center" wrapText="1"/>
    </xf>
    <xf numFmtId="0" fontId="22" fillId="40" borderId="27"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0" fillId="35" borderId="12" xfId="0" applyFont="1" applyFill="1" applyBorder="1" applyNumberFormat="1">
      <alignment horizontal="right" vertical="center" wrapText="1" indent="1"/>
    </xf>
    <xf numFmtId="0" fontId="22" fillId="34" borderId="12" xfId="0" applyFont="1" applyFill="1" applyBorder="1" applyNumberFormat="1">
      <alignment horizontal="left" vertical="center" wrapText="1" indent="1"/>
    </xf>
    <xf numFmtId="0" fontId="37" fillId="0" borderId="27" xfId="0" applyFont="1" applyBorder="1" applyNumberFormat="1">
      <alignment horizontal="center" vertical="center" wrapText="1"/>
    </xf>
    <xf numFmtId="0" fontId="45" fillId="0" borderId="17" xfId="0" applyFont="1" applyBorder="1" applyNumberFormat="1">
      <alignment horizontal="left" vertical="top" wrapText="1"/>
    </xf>
    <xf numFmtId="0" fontId="45" fillId="0" borderId="36" xfId="0" applyFont="1" applyBorder="1" applyNumberFormat="1">
      <alignment horizontal="left" vertical="top" wrapText="1"/>
    </xf>
    <xf numFmtId="0" fontId="45" fillId="0" borderId="23" xfId="0" applyFont="1" applyBorder="1" applyNumberFormat="1">
      <alignment horizontal="left" vertical="top" wrapText="1"/>
    </xf>
    <xf numFmtId="0" fontId="47" fillId="0" borderId="12" xfId="0" applyFont="1" applyBorder="1" applyNumberFormat="1">
      <alignment horizontal="center" vertical="center" wrapText="1"/>
    </xf>
    <xf numFmtId="0" fontId="48" fillId="0" borderId="0" xfId="0" applyFont="1" applyNumberFormat="1">
      <alignment horizontal="center" vertical="center" wrapText="1"/>
    </xf>
    <xf numFmtId="0" fontId="47" fillId="0" borderId="12" xfId="0" applyFont="1" applyBorder="1" applyNumberFormat="1">
      <alignment horizontal="center" vertical="center"/>
    </xf>
    <xf numFmtId="0" fontId="47" fillId="0" borderId="14" xfId="0" applyFont="1" applyBorder="1" applyNumberFormat="1">
      <alignment horizontal="center" vertical="center"/>
    </xf>
    <xf numFmtId="0" fontId="22" fillId="0" borderId="17" xfId="0" applyFont="1" applyBorder="1" applyNumberFormat="1">
      <alignment horizontal="center"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218" fontId="22" fillId="34"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35" borderId="36"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pplyNumberFormat="1">
      <alignment horizontal="center" vertical="center" wrapText="1"/>
    </xf>
    <xf numFmtId="0" fontId="47" fillId="0" borderId="23" xfId="0" applyFont="1" applyBorder="1" applyNumberFormat="1">
      <alignment horizontal="center" vertical="center" wrapText="1"/>
    </xf>
    <xf numFmtId="0" fontId="22" fillId="0" borderId="0" xfId="0" applyFont="1" applyNumberFormat="1">
      <alignment horizontal="left" vertical="top" wrapText="1"/>
    </xf>
    <xf numFmtId="0" fontId="47" fillId="0" borderId="14" xfId="0" applyFont="1" applyBorder="1" applyNumberFormat="1">
      <alignment horizontal="center" vertical="center" wrapText="1"/>
    </xf>
    <xf numFmtId="218"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48" fillId="0" borderId="23"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0" fillId="0" borderId="0" xfId="0" applyFont="1" applyNumberFormat="1">
      <alignment horizontal="left" vertical="top" wrapText="1"/>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8" fillId="0" borderId="12" xfId="0" applyFont="1" applyBorder="1" applyNumberFormat="1">
      <alignment horizontal="left" vertical="center" wrapText="1"/>
    </xf>
    <xf numFmtId="0" fontId="22" fillId="40" borderId="12" xfId="0" applyFont="1" applyFill="1" applyBorder="1" applyNumberFormat="1">
      <alignment horizontal="left" vertical="center" wrapText="1"/>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40" borderId="20" xfId="0" applyFont="1" applyFill="1" applyBorder="1" applyNumberFormat="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4" borderId="12" xfId="0" applyFont="1" applyFill="1" applyBorder="1" applyNumberFormat="1">
      <alignment horizontal="center" vertical="center" wrapText="1"/>
    </xf>
    <xf numFmtId="0" fontId="22" fillId="35" borderId="17" xfId="0" applyFont="1" applyFill="1" applyBorder="1" applyNumberFormat="1">
      <alignment horizontal="left" vertical="center" wrapText="1"/>
    </xf>
    <xf numFmtId="0" fontId="22" fillId="35" borderId="36"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0" borderId="12" xfId="0" applyFont="1" applyBorder="1" applyNumberFormat="1">
      <alignment horizontal="left" vertical="center" wrapText="1" indent="1"/>
    </xf>
    <xf numFmtId="0" fontId="45" fillId="0" borderId="12" xfId="0" applyFont="1" applyBorder="1" applyNumberFormat="1">
      <alignment horizontal="left" vertical="top"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pplyNumberFormat="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pplyNumberFormat="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91" fillId="46" borderId="0" xfId="0" applyFont="1" applyFill="1" applyNumberFormat="1">
      <alignment horizontal="center" vertical="center" textRotation="90" wrapText="1"/>
    </xf>
    <xf numFmtId="0" fontId="48" fillId="0" borderId="0" xfId="0" applyFont="1" applyNumberFormat="1">
      <alignment horizontal="center" vertical="center" wrapText="1"/>
    </xf>
    <xf numFmtId="0" fontId="47" fillId="0" borderId="0" xfId="0" applyFont="1" applyNumberFormat="1">
      <alignment horizontal="center" vertical="top"/>
    </xf>
    <xf numFmtId="0" fontId="22" fillId="0" borderId="23" xfId="0" applyFont="1" applyBorder="1" applyNumberFormat="1">
      <alignment horizontal="left"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pplyNumberFormat="1">
      <alignment horizontal="left" vertical="center" wrapText="1" indent="1"/>
    </xf>
    <xf numFmtId="0" fontId="45" fillId="0" borderId="0" xfId="0" applyFont="1" applyNumberFormat="1">
      <alignment horizontal="left" vertical="top" wrapText="1"/>
    </xf>
    <xf numFmtId="0" fontId="22" fillId="0" borderId="0" xfId="0" applyFont="1" applyNumberFormat="1">
      <alignment horizontal="left" vertical="top" wrapText="1"/>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49" fontId="0"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0" fillId="0" borderId="12" xfId="0" applyFont="1" applyBorder="1" applyNumberFormat="1">
      <alignment horizontal="center"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pplyNumberFormat="1">
      <alignment horizontal="left" vertical="top" wrapText="1"/>
    </xf>
    <xf numFmtId="0" fontId="22" fillId="35" borderId="13"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22" fillId="0" borderId="15" xfId="0" applyFont="1" applyBorder="1" applyNumberFormat="1">
      <alignment horizontal="left" vertical="top" wrapText="1" indent="1"/>
    </xf>
    <xf numFmtId="0" fontId="39" fillId="35" borderId="0" xfId="0" applyFont="1" applyFill="1" applyNumberFormat="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4" borderId="14" xfId="0" applyFont="1" applyFill="1" applyBorder="1" applyNumberFormat="1">
      <alignment horizontal="left" vertical="center" wrapText="1" indent="1"/>
    </xf>
    <xf numFmtId="0" fontId="0" fillId="35" borderId="17" xfId="0" applyFont="1" applyFill="1" applyBorder="1" applyNumberFormat="1">
      <alignment horizontal="left" vertical="top" wrapText="1"/>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pplyNumberFormat="1">
      <alignment horizontal="left" vertical="top" wrapText="1"/>
    </xf>
    <xf numFmtId="215" fontId="22" fillId="0" borderId="17"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pplyNumberFormat="1">
      <alignment horizontal="left"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215"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pplyNumberFormat="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pplyNumberFormat="1">
      <alignment horizontal="left" vertical="center" wrapText="1"/>
    </xf>
    <xf numFmtId="0" fontId="22" fillId="40" borderId="36" xfId="0" applyFont="1" applyFill="1" applyBorder="1" applyNumberFormat="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pplyNumberFormat="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pplyNumberFormat="1">
      <alignment horizontal="center" vertical="center"/>
    </xf>
    <xf numFmtId="49" fontId="0" fillId="0" borderId="12" xfId="0" applyFont="1" applyBorder="1" applyNumberFormat="1">
      <alignment horizontal="left" vertical="top"/>
    </xf>
    <xf numFmtId="0" fontId="22" fillId="40" borderId="12" xfId="0" applyFont="1" applyFill="1" applyBorder="1" applyNumberFormat="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218"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pplyNumberFormat="1">
      <alignment horizontal="left" vertical="center" wrapText="1" indent="1"/>
    </xf>
    <xf numFmtId="0" fontId="75" fillId="0" borderId="12" xfId="0" applyFont="1" applyBorder="1" applyNumberFormat="1">
      <alignment horizontal="left" vertical="top" indent="1"/>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pplyNumberFormat="1">
      <alignment horizontal="center" vertical="center"/>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8" fontId="0" fillId="39" borderId="12" xfId="0" applyFont="1" applyFill="1" applyBorder="1" applyNumberFormat="1">
      <alignment horizontal="center" vertical="center" wrapText="1"/>
      <protection locked="0"/>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22" fillId="0" borderId="0" xfId="0" applyFont="1" applyNumberFormat="1">
      <alignment horizontal="right" vertical="center" wrapText="1"/>
    </xf>
    <xf numFmtId="4" fontId="22" fillId="34" borderId="12" xfId="0" applyFont="1" applyFill="1" applyBorder="1" applyNumberFormat="1">
      <alignment horizontal="left" vertical="center" wrapText="1"/>
    </xf>
    <xf numFmtId="0" fontId="47" fillId="0" borderId="0" xfId="0" applyFont="1" applyNumberForma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7" xfId="0" applyFont="1" applyBorder="1" applyNumberFormat="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applyNumberFormat="1"/>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18"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8"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18"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18"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0" fillId="0" borderId="0" xfId="0" applyFont="1" applyNumberFormat="1">
      <alignment vertical="center"/>
    </xf>
    <xf numFmtId="0" fontId="0" fillId="0" borderId="0" xfId="0" applyFont="1" applyNumberFormat="1">
      <alignment vertical="center"/>
    </xf>
    <xf numFmtId="49" fontId="0" fillId="0" borderId="36" xfId="0" applyFont="1" applyBorder="1" applyNumberFormat="1">
      <alignment vertical="top"/>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0" fontId="0" fillId="35"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22" fillId="0" borderId="0" xfId="0" applyFont="1" applyNumberFormat="1">
      <alignment horizontal="left" vertical="center" indent="1"/>
    </xf>
    <xf numFmtId="0" fontId="0" fillId="0" borderId="0" xfId="0" applyFont="1" applyNumberFormat="1">
      <alignment horizontal="left" vertical="center" indent="1"/>
    </xf>
    <xf numFmtId="0" fontId="40" fillId="0" borderId="36" xfId="0" applyFont="1" applyBorder="1" applyNumberFormat="1">
      <alignment horizontal="left" vertical="center"/>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0" fontId="0" fillId="0" borderId="0" xfId="0" applyFont="1" applyNumberFormat="1">
      <alignment vertical="center"/>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49" fontId="0" fillId="35"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35" borderId="12" xfId="0" applyFont="1" applyFill="1" applyBorder="1" applyNumberFormat="1">
      <alignment horizontal="left" vertical="center" wrapText="1"/>
    </xf>
    <xf numFmtId="0" fontId="0" fillId="37" borderId="15" xfId="0" applyFont="1" applyFill="1" applyBorder="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1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16"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1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49" fontId="0" fillId="0" borderId="0" xfId="0" applyFont="1" applyNumberFormat="1">
      <alignment vertical="top"/>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47" fillId="0" borderId="0" xfId="0" applyFont="1" applyNumberFormat="1">
      <alignment vertical="center" wrapText="1"/>
    </xf>
    <xf numFmtId="49" fontId="47"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45" fillId="0" borderId="12" xfId="0" applyFont="1" applyBorder="1" applyNumberFormat="1">
      <alignment vertical="top" wrapText="1"/>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0" xfId="0" applyFont="1" applyNumberFormat="1">
      <alignment vertical="top"/>
    </xf>
    <xf numFmtId="0" fontId="47" fillId="0" borderId="14" xfId="0" applyFont="1" applyBorder="1" applyNumberFormat="1">
      <alignment horizontal="center" vertical="center"/>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49" fontId="0" fillId="0" borderId="0" xfId="0" applyFont="1" applyNumberFormat="1">
      <alignment vertical="top"/>
    </xf>
    <xf numFmtId="0" fontId="56" fillId="0" borderId="0" xfId="0" applyFont="1" applyNumberFormat="1">
      <alignment vertical="center" wrapText="1"/>
    </xf>
    <xf numFmtId="0" fontId="22" fillId="35" borderId="12" xfId="0" applyFont="1" applyFill="1" applyBorder="1" applyNumberFormat="1">
      <alignment horizontal="left" vertical="center" wrapText="1" indent="2"/>
    </xf>
    <xf numFmtId="49" fontId="0" fillId="0" borderId="0" xfId="0" applyFont="1" applyNumberFormat="1">
      <alignment vertical="top"/>
    </xf>
    <xf numFmtId="0" fontId="22" fillId="35" borderId="12" xfId="0" applyFont="1" applyFill="1" applyBorder="1" applyNumberFormat="1">
      <alignment horizontal="left" vertical="center" wrapText="1" indent="3"/>
    </xf>
    <xf numFmtId="0" fontId="63" fillId="0" borderId="0" xfId="0" applyFont="1" applyNumberFormat="1">
      <alignment vertical="center" wrapText="1"/>
    </xf>
    <xf numFmtId="0" fontId="48" fillId="0" borderId="0" xfId="0" applyFont="1" applyNumberFormat="1">
      <alignment horizontal="left" vertical="center" indent="1"/>
    </xf>
    <xf numFmtId="0" fontId="47" fillId="0" borderId="12" xfId="0" applyFont="1" applyBorder="1" applyNumberFormat="1">
      <alignment horizontal="center" vertical="center" wrapText="1"/>
    </xf>
    <xf numFmtId="0" fontId="48" fillId="0" borderId="0" xfId="0" applyFont="1" applyNumberFormat="1">
      <alignment horizontal="center" vertical="center"/>
    </xf>
    <xf numFmtId="49" fontId="48" fillId="0" borderId="0" xfId="0" applyFont="1" applyNumberFormat="1">
      <alignment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4" xfId="0" applyFont="1" applyBorder="1" applyNumberFormat="1">
      <alignment horizontal="left" vertical="center" wrapText="1"/>
    </xf>
    <xf numFmtId="0" fontId="48" fillId="0" borderId="12" xfId="0" applyFont="1" applyBorder="1" applyNumberFormat="1">
      <alignment vertical="top" wrapText="1"/>
    </xf>
    <xf numFmtId="0" fontId="63" fillId="0" borderId="0" xfId="0" applyFont="1" applyNumberFormat="1">
      <alignment vertical="center" wrapText="1"/>
    </xf>
    <xf numFmtId="0" fontId="47" fillId="0" borderId="14" xfId="0" applyFont="1" applyBorder="1" applyNumberFormat="1">
      <alignment horizontal="center" vertical="center" wrapText="1"/>
    </xf>
    <xf numFmtId="0" fontId="48" fillId="0" borderId="24" xfId="0" applyFont="1" applyBorder="1" applyNumberFormat="1">
      <alignment vertical="center" wrapText="1"/>
    </xf>
    <xf numFmtId="0" fontId="48" fillId="0" borderId="12" xfId="0" applyFont="1" applyBorder="1" applyNumberFormat="1">
      <alignment horizontal="left" vertical="center" wrapText="1" indent="5"/>
    </xf>
    <xf numFmtId="49" fontId="0" fillId="0" borderId="0" xfId="0" applyFont="1" applyNumberFormat="1">
      <alignment vertical="top"/>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 fontId="22" fillId="36" borderId="12" xfId="0" applyFont="1" applyFill="1" applyBorder="1" applyNumberFormat="1">
      <alignment horizontal="right" vertical="center" wrapText="1"/>
      <protection locked="0"/>
    </xf>
    <xf numFmtId="216" fontId="22" fillId="36" borderId="12" xfId="0" applyFont="1" applyFill="1" applyBorder="1" applyNumberFormat="1">
      <alignment horizontal="right" vertical="center" wrapText="1"/>
      <protection locked="0"/>
    </xf>
    <xf numFmtId="0" fontId="3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indent="1"/>
    </xf>
    <xf numFmtId="49" fontId="22" fillId="40" borderId="12" xfId="0" applyFont="1" applyFill="1" applyBorder="1" applyNumberFormat="1">
      <alignment horizontal="left" vertical="center" wrapText="1" indent="1"/>
      <protection locked="0"/>
    </xf>
    <xf numFmtId="0" fontId="22" fillId="0" borderId="12" xfId="0" applyFont="1" applyBorder="1" applyNumberFormat="1">
      <alignment horizontal="left" vertical="center" wrapText="1" indent="4"/>
    </xf>
    <xf numFmtId="0" fontId="22" fillId="40" borderId="12" xfId="0" applyFont="1" applyFill="1" applyBorder="1" applyNumberFormat="1">
      <alignment horizontal="left" vertical="center" wrapText="1" indent="1"/>
    </xf>
    <xf numFmtId="4" fontId="22" fillId="0" borderId="17" xfId="0" applyFont="1" applyBorder="1" applyNumberFormat="1">
      <alignment horizontal="right" vertical="center" wrapText="1"/>
    </xf>
    <xf numFmtId="0" fontId="45" fillId="0" borderId="17" xfId="0" applyFont="1" applyBorder="1" applyNumberFormat="1">
      <alignment horizontal="left" vertical="top" wrapText="1"/>
    </xf>
    <xf numFmtId="49" fontId="0" fillId="0" borderId="0" xfId="0" applyFont="1" applyNumberFormat="1">
      <alignment vertical="top"/>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0" fontId="45" fillId="0" borderId="36" xfId="0" applyFont="1" applyBorder="1" applyNumberFormat="1">
      <alignment horizontal="left" vertical="top" wrapText="1"/>
    </xf>
    <xf numFmtId="0" fontId="36" fillId="0" borderId="0" xfId="0" applyFont="1" applyNumberFormat="1">
      <alignment horizontal="center"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0" borderId="23" xfId="0" applyFont="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0" fontId="63" fillId="0" borderId="0" xfId="0" applyFont="1" applyNumberFormat="1">
      <alignment vertical="center"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0" fontId="63" fillId="0" borderId="0" xfId="0" applyFont="1" applyNumberFormat="1">
      <alignment vertical="center" wrapText="1"/>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48" fillId="0" borderId="24" xfId="0" applyFont="1" applyBorder="1" applyNumberFormat="1">
      <alignment vertical="top"/>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0" fontId="63" fillId="0" borderId="0" xfId="0" applyFont="1" applyNumberFormat="1">
      <alignment vertical="center" wrapText="1"/>
    </xf>
    <xf numFmtId="49" fontId="97" fillId="0" borderId="0" xfId="0" applyFont="1" applyNumberFormat="1">
      <alignment horizontal="left" vertical="center"/>
    </xf>
    <xf numFmtId="49" fontId="48" fillId="0" borderId="0" xfId="0" applyFont="1" applyNumberFormat="1">
      <alignment horizontal="left" vertical="center" indent="1"/>
    </xf>
    <xf numFmtId="49" fontId="48" fillId="0" borderId="0" xfId="0" applyFont="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0" fontId="63" fillId="0" borderId="0" xfId="0" applyFont="1" applyNumberFormat="1">
      <alignment vertical="center" wrapText="1"/>
    </xf>
    <xf numFmtId="0" fontId="63" fillId="0" borderId="0" xfId="0" applyFont="1" applyNumberFormat="1">
      <alignment vertical="center" wrapText="1"/>
    </xf>
    <xf numFmtId="49" fontId="0" fillId="0" borderId="0" xfId="0" applyFont="1" applyNumberFormat="1">
      <alignment vertical="top"/>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inden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216"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 fontId="22" fillId="37" borderId="15"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0" fillId="37" borderId="15" xfId="0" applyFont="1" applyFill="1" applyBorder="1" applyNumberFormat="1">
      <alignment horizontal="left" vertical="center" inden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 fontId="22" fillId="37" borderId="15" xfId="0" applyFont="1" applyFill="1" applyBorder="1" applyNumberFormat="1">
      <alignment horizontal="right" vertical="center" wrapText="1"/>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63" fillId="0" borderId="0" xfId="0" applyFont="1" applyNumberFormat="1">
      <alignment vertical="center" wrapText="1"/>
    </xf>
    <xf numFmtId="0" fontId="63" fillId="0" borderId="0" xfId="0" applyFont="1" applyNumberFormat="1">
      <alignment vertical="center" wrapText="1"/>
    </xf>
    <xf numFmtId="0" fontId="63" fillId="0" borderId="0" xfId="0" applyFont="1" applyNumberFormat="1">
      <alignment vertical="center" wrapText="1"/>
    </xf>
    <xf numFmtId="0" fontId="63" fillId="0" borderId="0" xfId="0" applyFont="1" applyNumberFormat="1">
      <alignment vertical="center" wrapText="1"/>
    </xf>
    <xf numFmtId="49" fontId="48" fillId="0" borderId="0" xfId="0" applyFont="1" applyNumberFormat="1">
      <alignment horizontal="left" vertical="center"/>
    </xf>
    <xf numFmtId="0" fontId="63" fillId="0" borderId="0" xfId="0" applyFont="1" applyNumberFormat="1">
      <alignment vertical="center" wrapText="1"/>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17"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7"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17"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17" fontId="22" fillId="34" borderId="13" xfId="0" applyFont="1" applyFill="1" applyBorder="1" applyNumberFormat="1">
      <alignment horizontal="right" vertical="center" wrapText="1"/>
    </xf>
    <xf numFmtId="217"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17"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1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18"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49" fontId="22" fillId="0" borderId="0" xfId="0" applyFont="1" applyNumberFormat="1">
      <alignment vertical="top"/>
    </xf>
    <xf numFmtId="0" fontId="22" fillId="0" borderId="0" xfId="0" applyFont="1" applyNumberFormat="1">
      <alignment vertical="top" wrapText="1"/>
    </xf>
    <xf numFmtId="0" fontId="39" fillId="0" borderId="0" xfId="0" applyFont="1" applyNumberFormat="1">
      <alignment vertical="center" wrapText="1"/>
    </xf>
    <xf numFmtId="0" fontId="22" fillId="0" borderId="36" xfId="0" applyFont="1" applyBorder="1" applyNumberFormat="1">
      <alignment vertical="center" wrapText="1"/>
    </xf>
    <xf numFmtId="0" fontId="0" fillId="34" borderId="12" xfId="0" applyFont="1" applyFill="1" applyBorder="1" applyNumberFormat="1">
      <alignment horizontal="center" vertical="center" wrapText="1"/>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71" fillId="0" borderId="0" xfId="0" applyFont="1" applyNumberFormat="1">
      <alignment vertical="center" wrapText="1"/>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 fontId="0" fillId="39" borderId="12" xfId="0" applyFont="1" applyFill="1" applyBorder="1" applyNumberFormat="1">
      <alignment horizontal="right" vertical="center" wrapText="1"/>
      <protection locked="0"/>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0" fillId="0" borderId="0" xfId="0" applyFont="1" applyNumberFormat="1">
      <alignment vertical="center" wrapText="1"/>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15" fontId="22" fillId="0" borderId="37" xfId="0" applyFont="1" applyBorder="1" applyNumberFormat="1">
      <alignment horizontal="center" vertical="center" wrapText="1"/>
    </xf>
    <xf numFmtId="215"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18" fontId="0" fillId="39" borderId="15" xfId="0" applyFont="1" applyFill="1" applyBorder="1" applyNumberFormat="1">
      <alignment horizontal="left" vertical="center" wrapText="1" indent="1"/>
      <protection locked="0"/>
    </xf>
    <xf numFmtId="219" fontId="22" fillId="39" borderId="12" xfId="0" applyFont="1" applyFill="1" applyBorder="1" applyNumberFormat="1">
      <alignment horizontal="left" vertical="center" wrapText="1" indent="1"/>
      <protection locked="0"/>
    </xf>
    <xf numFmtId="218" fontId="48" fillId="0" borderId="0" xfId="0" applyFont="1" applyNumberFormat="1">
      <alignment horizontal="center" vertical="center" wrapText="1"/>
    </xf>
    <xf numFmtId="215" fontId="22" fillId="0" borderId="17"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15"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15" fontId="45" fillId="0" borderId="19" xfId="0" applyFont="1" applyBorder="1" applyNumberFormat="1">
      <alignment horizontal="center"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0" fontId="48" fillId="0" borderId="0" xfId="0" applyFont="1" applyNumberFormat="1">
      <alignment horizontal="center" vertical="center"/>
    </xf>
    <xf numFmtId="215" fontId="22" fillId="0" borderId="12" xfId="0" applyFont="1" applyBorder="1" applyNumberFormat="1">
      <alignment horizontal="center"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21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22" fillId="40" borderId="12" xfId="0" applyFont="1" applyFill="1" applyBorder="1" applyNumberFormat="1">
      <alignment horizontal="left" vertical="top" wrapText="1"/>
    </xf>
    <xf numFmtId="0" fontId="0" fillId="40" borderId="12" xfId="0" applyFont="1" applyFill="1" applyBorder="1" applyNumberFormat="1">
      <alignment horizontal="left" vertical="center" wrapText="1"/>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40" borderId="12" xfId="0" applyFont="1" applyFill="1" applyBorder="1" applyNumberFormat="1">
      <alignment horizontal="left" vertical="center" wrapText="1"/>
    </xf>
    <xf numFmtId="49" fontId="0" fillId="40" borderId="36" xfId="0" applyFont="1" applyFill="1" applyBorder="1" applyNumberFormat="1">
      <alignment horizontal="left" vertical="center" wrapText="1"/>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18"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8"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18"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49" fontId="0" fillId="40" borderId="12" xfId="0" applyFont="1" applyFill="1" applyBorder="1" applyNumberFormat="1">
      <alignment horizontal="left" vertical="top"/>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0" fillId="0" borderId="0" xfId="0" applyFont="1" applyNumberFormat="1">
      <alignment vertical="center"/>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0" fontId="22" fillId="35" borderId="12" xfId="0" applyFont="1" applyFill="1" applyBorder="1" applyNumberFormat="1">
      <alignment horizontal="left"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35" borderId="12" xfId="0" applyFont="1" applyFill="1" applyBorder="1" applyNumberFormat="1">
      <alignment horizontal="left" vertical="top"/>
    </xf>
    <xf numFmtId="49" fontId="0" fillId="0" borderId="0" xfId="0" applyFont="1" applyNumberFormat="1">
      <alignment horizontal="left" vertical="top"/>
    </xf>
    <xf numFmtId="0" fontId="0" fillId="0" borderId="0" xfId="0" applyFont="1" applyNumberFormat="1">
      <alignmen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218"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22" fillId="34" borderId="12" xfId="0" applyFont="1" applyFill="1" applyBorder="1" applyNumberFormat="1">
      <alignment horizontal="left" vertical="center" wrapText="1" inden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18" fontId="22" fillId="34" borderId="12" xfId="0" applyFont="1" applyFill="1" applyBorder="1" applyNumberFormat="1">
      <alignment horizontal="left" vertical="center" wrapText="1" indent="1"/>
    </xf>
    <xf numFmtId="21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218" fontId="0" fillId="39" borderId="17" xfId="0" applyFont="1" applyFill="1" applyBorder="1" applyNumberFormat="1">
      <alignment horizontal="center" vertical="center" wrapText="1"/>
      <protection locked="0"/>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16"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1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17"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7"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17"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17" fontId="22" fillId="34" borderId="13" xfId="0" applyFont="1" applyFill="1" applyBorder="1" applyNumberFormat="1">
      <alignment horizontal="right" vertical="center" wrapText="1"/>
    </xf>
    <xf numFmtId="217"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17"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1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18" fontId="0" fillId="39" borderId="12" xfId="0" applyFont="1" applyFill="1" applyBorder="1" applyNumberFormat="1">
      <alignment horizontal="left" vertical="center" wrapText="1"/>
      <protection locked="0"/>
    </xf>
    <xf numFmtId="0" fontId="27"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48" fillId="0" borderId="0" xfId="0" applyFont="1" applyNumberFormat="1">
      <alignment vertical="center"/>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top" wrapText="1"/>
    </xf>
    <xf numFmtId="0" fontId="39" fillId="0" borderId="0" xfId="0" applyFont="1" applyNumberFormat="1">
      <alignment vertical="center" wrapText="1"/>
    </xf>
    <xf numFmtId="0" fontId="22" fillId="0" borderId="36" xfId="0" applyFont="1" applyBorder="1" applyNumberFormat="1">
      <alignment vertical="center" wrapText="1"/>
    </xf>
    <xf numFmtId="0" fontId="0" fillId="34" borderId="12" xfId="0" applyFont="1" applyFill="1" applyBorder="1" applyNumberFormat="1">
      <alignment horizontal="center" vertical="center" wrapText="1"/>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 fontId="0" fillId="39" borderId="12" xfId="0" applyFont="1" applyFill="1" applyBorder="1" applyNumberFormat="1">
      <alignment horizontal="right" vertical="center" wrapText="1"/>
      <protection locked="0"/>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15" fontId="22" fillId="0" borderId="37" xfId="0" applyFont="1" applyBorder="1" applyNumberFormat="1">
      <alignment horizontal="center" vertical="center" wrapText="1"/>
    </xf>
    <xf numFmtId="215"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18" fontId="0" fillId="39" borderId="15" xfId="0" applyFont="1" applyFill="1" applyBorder="1" applyNumberFormat="1">
      <alignment horizontal="left" vertical="center" wrapText="1" indent="1"/>
      <protection locked="0"/>
    </xf>
    <xf numFmtId="219" fontId="22" fillId="39" borderId="12" xfId="0" applyFont="1" applyFill="1" applyBorder="1" applyNumberFormat="1">
      <alignment horizontal="left" vertical="center" wrapText="1" indent="1"/>
      <protection locked="0"/>
    </xf>
    <xf numFmtId="218" fontId="48" fillId="0" borderId="0" xfId="0" applyFont="1" applyNumberFormat="1">
      <alignment horizontal="center" vertical="center" wrapText="1"/>
    </xf>
    <xf numFmtId="215" fontId="22" fillId="0" borderId="17"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15"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15" fontId="45" fillId="0" borderId="19" xfId="0" applyFont="1" applyBorder="1" applyNumberFormat="1">
      <alignment horizontal="center"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215" fontId="22" fillId="0" borderId="12" xfId="0" applyFont="1" applyBorder="1" applyNumberFormat="1">
      <alignment horizontal="center"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0" borderId="0" xfId="0" applyFont="1" applyNumberFormat="1"/>
    <xf numFmtId="0" fontId="36" fillId="0" borderId="0" xfId="0" applyFont="1" applyNumberFormat="1">
      <alignment horizontal="center"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21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218"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18"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218" fontId="0" fillId="39" borderId="12" xfId="0" applyFont="1" applyFill="1" applyBorder="1" applyNumberFormat="1">
      <alignment horizontal="left" vertical="center" wrapText="1" indent="1"/>
      <protection locked="0"/>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218"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49" fontId="0" fillId="40" borderId="12" xfId="0" applyFont="1" applyFill="1" applyBorder="1" applyNumberFormat="1">
      <alignment horizontal="left" vertical="top"/>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0" fillId="0" borderId="0" xfId="0" applyFont="1" applyNumberFormat="1">
      <alignment vertical="center"/>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0" fontId="22" fillId="35" borderId="12" xfId="0" applyFont="1" applyFill="1" applyBorder="1" applyNumberFormat="1">
      <alignment horizontal="left"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35" borderId="12" xfId="0" applyFont="1" applyFill="1" applyBorder="1" applyNumberFormat="1">
      <alignment horizontal="left" vertical="top"/>
    </xf>
    <xf numFmtId="49" fontId="0" fillId="0" borderId="0" xfId="0" applyFont="1" applyNumberFormat="1">
      <alignment horizontal="left" vertical="top"/>
    </xf>
    <xf numFmtId="0" fontId="0" fillId="0" borderId="0" xfId="0" applyFont="1" applyNumberFormat="1">
      <alignmen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218"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216" fontId="22" fillId="36" borderId="12" xfId="0" applyFont="1" applyFill="1" applyBorder="1" applyNumberFormat="1">
      <alignment horizontal="right" vertical="center" wrapText="1"/>
      <protection locked="0"/>
    </xf>
    <xf numFmtId="218"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216" fontId="47" fillId="0" borderId="12" xfId="0" applyFont="1" applyBorder="1" applyNumberFormat="1">
      <alignment horizontal="right" vertical="center" wrapText="1"/>
    </xf>
    <xf numFmtId="218"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22" fillId="34" borderId="12" xfId="0" applyFont="1" applyFill="1" applyBorder="1" applyNumberFormat="1">
      <alignment horizontal="left" vertical="center" wrapText="1" inden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218" fontId="22" fillId="34" borderId="12" xfId="0" applyFont="1" applyFill="1" applyBorder="1" applyNumberFormat="1">
      <alignment horizontal="left" vertical="center" wrapText="1" indent="1"/>
    </xf>
    <xf numFmtId="218"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37" fillId="0" borderId="27"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218" fontId="0" fillId="39" borderId="17" xfId="0" applyFont="1" applyFill="1" applyBorder="1" applyNumberFormat="1">
      <alignment horizontal="center" vertical="center" wrapText="1"/>
      <protection locked="0"/>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216"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216" fontId="22" fillId="36" borderId="23" xfId="0" applyFont="1" applyFill="1" applyBorder="1" applyNumberFormat="1">
      <alignment horizontal="right" vertical="center" wrapText="1"/>
      <protection locked="0"/>
    </xf>
    <xf numFmtId="218"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216"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216"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216"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216" fontId="48" fillId="0" borderId="12" xfId="0" applyFont="1" applyBorder="1" applyNumberFormat="1">
      <alignment horizontal="right" vertical="center" wrapText="1"/>
    </xf>
    <xf numFmtId="218"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218" fontId="0" fillId="39" borderId="12" xfId="0" applyFont="1" applyFill="1" applyBorder="1" applyNumberFormat="1">
      <alignment horizontal="center" vertical="center" wrapText="1"/>
      <protection locked="0"/>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18"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217"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17"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217"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217" fontId="22" fillId="34" borderId="13" xfId="0" applyFont="1" applyFill="1" applyBorder="1" applyNumberFormat="1">
      <alignment horizontal="right" vertical="center" wrapText="1"/>
    </xf>
    <xf numFmtId="217"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217"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218"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218" fontId="0" fillId="39" borderId="12" xfId="0" applyFont="1" applyFill="1" applyBorder="1" applyNumberFormat="1">
      <alignment horizontal="left" vertical="center" wrapText="1"/>
      <protection locked="0"/>
    </xf>
    <xf numFmtId="0" fontId="27"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48" fillId="0" borderId="0" xfId="0" applyFont="1" applyNumberFormat="1">
      <alignment vertical="center"/>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top" wrapText="1"/>
    </xf>
    <xf numFmtId="0" fontId="39" fillId="0" borderId="0" xfId="0" applyFont="1" applyNumberFormat="1">
      <alignment vertical="center" wrapText="1"/>
    </xf>
    <xf numFmtId="0" fontId="22" fillId="0" borderId="36" xfId="0" applyFont="1" applyBorder="1" applyNumberFormat="1">
      <alignment vertical="center" wrapText="1"/>
    </xf>
    <xf numFmtId="0" fontId="0" fillId="34" borderId="12" xfId="0" applyFont="1" applyFill="1" applyBorder="1" applyNumberFormat="1">
      <alignment horizontal="center" vertical="center" wrapText="1"/>
    </xf>
    <xf numFmtId="0" fontId="0" fillId="0" borderId="13" xfId="0" applyFont="1" applyBorder="1" applyNumberFormat="1">
      <alignment horizontal="center" vertical="center" wrapText="1"/>
    </xf>
    <xf numFmtId="218" fontId="0" fillId="39" borderId="13" xfId="0" applyFont="1" applyFill="1" applyBorder="1" applyNumberFormat="1">
      <alignment horizontal="left" vertical="center" wrapText="1"/>
      <protection locked="0"/>
    </xf>
    <xf numFmtId="218"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 fontId="0" fillId="39" borderId="12" xfId="0" applyFont="1" applyFill="1" applyBorder="1" applyNumberFormat="1">
      <alignment horizontal="right" vertical="center" wrapText="1"/>
      <protection locked="0"/>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40" fillId="37" borderId="27" xfId="0" applyFont="1" applyFill="1" applyBorder="1" applyNumberFormat="1">
      <alignment horizontal="left" vertical="center"/>
    </xf>
    <xf numFmtId="49" fontId="40" fillId="37" borderId="15" xfId="0" applyFont="1" applyFill="1" applyBorder="1" applyNumberFormat="1">
      <alignment horizontal="left" vertical="center"/>
    </xf>
    <xf numFmtId="49" fontId="40" fillId="37" borderId="15" xfId="0" applyFont="1" applyFill="1" applyBorder="1" applyNumberFormat="1">
      <alignment horizontal="left" vertical="center" indent="2"/>
    </xf>
    <xf numFmtId="49" fontId="40" fillId="37" borderId="27" xfId="0" applyFont="1" applyFill="1" applyBorder="1" applyNumberFormat="1">
      <alignment horizontal="left" vertical="center"/>
    </xf>
    <xf numFmtId="49" fontId="44" fillId="37" borderId="13" xfId="0" applyFont="1" applyFill="1" applyBorder="1" applyNumberFormat="1">
      <alignment horizontal="center" vertical="top"/>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215" fontId="22" fillId="0" borderId="37" xfId="0" applyFont="1" applyBorder="1" applyNumberFormat="1">
      <alignment horizontal="center" vertical="center" wrapText="1"/>
    </xf>
    <xf numFmtId="215"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218" fontId="0" fillId="39" borderId="15" xfId="0" applyFont="1" applyFill="1" applyBorder="1" applyNumberFormat="1">
      <alignment horizontal="left" vertical="center" wrapText="1" indent="1"/>
      <protection locked="0"/>
    </xf>
    <xf numFmtId="219" fontId="22" fillId="39" borderId="12" xfId="0" applyFont="1" applyFill="1" applyBorder="1" applyNumberFormat="1">
      <alignment horizontal="left" vertical="center" wrapText="1" indent="1"/>
      <protection locked="0"/>
    </xf>
    <xf numFmtId="218" fontId="48" fillId="0" borderId="0" xfId="0" applyFont="1" applyNumberFormat="1">
      <alignment horizontal="center" vertical="center" wrapText="1"/>
    </xf>
    <xf numFmtId="215" fontId="22" fillId="0" borderId="17" xfId="0" applyFont="1" applyBorder="1" applyNumberFormat="1">
      <alignment horizontal="center" vertical="center" wrapText="1"/>
    </xf>
    <xf numFmtId="215" fontId="22" fillId="0" borderId="14" xfId="0" applyFont="1" applyBorder="1" applyNumberFormat="1">
      <alignment horizontal="center" vertical="center" wrapText="1"/>
    </xf>
    <xf numFmtId="215" fontId="22" fillId="0" borderId="15" xfId="0" applyFont="1" applyBorder="1" applyNumberFormat="1">
      <alignment horizontal="center" vertical="center" wrapText="1"/>
    </xf>
    <xf numFmtId="215"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15" fontId="22" fillId="0" borderId="23" xfId="0" applyFont="1" applyBorder="1" applyNumberFormat="1">
      <alignment horizontal="center" vertical="center" wrapText="1"/>
    </xf>
    <xf numFmtId="215"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215"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215" fontId="45" fillId="0" borderId="19" xfId="0" applyFont="1" applyBorder="1" applyNumberFormat="1">
      <alignment horizontal="center" vertical="center" wrapText="1"/>
    </xf>
    <xf numFmtId="215" fontId="45" fillId="0" borderId="19" xfId="0" applyFont="1" applyBorder="1" applyNumberFormat="1">
      <alignment horizontal="center" vertical="center" wrapText="1"/>
    </xf>
    <xf numFmtId="215"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215" fontId="22" fillId="0" borderId="12" xfId="0" applyFont="1" applyBorder="1" applyNumberFormat="1">
      <alignment horizontal="center" vertical="center" wrapText="1"/>
    </xf>
    <xf numFmtId="215" fontId="22" fillId="0" borderId="36" xfId="0" applyFont="1" applyBorder="1" applyNumberFormat="1">
      <alignment horizontal="center" vertical="center" wrapText="1"/>
    </xf>
    <xf numFmtId="215"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0" borderId="0" xfId="0" applyFont="1" applyNumberFormat="1"/>
    <xf numFmtId="0" fontId="36" fillId="0" borderId="0" xfId="0" applyFont="1" applyNumberFormat="1">
      <alignment horizontal="center"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218" fontId="0" fillId="39" borderId="12" xfId="0" applyFont="1" applyFill="1" applyBorder="1" applyNumberFormat="1">
      <alignment horizontal="center" vertical="top" wrapText="1"/>
      <protection locked="0"/>
    </xf>
    <xf numFmtId="218"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218"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17</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Krapotkina_OV@unipro.energ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www.unipro.energy/activities/tariff/warm/shaturskaya/2025/" TargetMode="External"/><Relationship Id="rId3" Type="http://schemas.openxmlformats.org/officeDocument/2006/relationships/hyperlink" Target="https://portal.eias.ru/Portal/DownloadPage.aspx?type=12&amp;guid=a530ef06-1f5b-4156-a8cd-f095cb2addc2" TargetMode="External"/><Relationship Id="rId4" Type="http://schemas.openxmlformats.org/officeDocument/2006/relationships/hyperlink" Target="https://portal.eias.ru/Portal/DownloadPage.aspx?type=12&amp;guid=e7b9e985-9f93-4a17-9ff1-46f168cb151d" TargetMode="External"/><Relationship Id="rId5" Type="http://schemas.openxmlformats.org/officeDocument/2006/relationships/hyperlink" Target="https://portal.eias.ru/Portal/DownloadPage.aspx?type=12&amp;guid=15b5c5dd-402e-4df3-b5a3-5ca4f583bfda"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87F58F-E42F-1CEF-FDFF-FFC100AC893E}"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1869" width="5.421875" customWidth="1"/>
    <col min="2" max="2" style="11869" width="9.140625" customWidth="1"/>
    <col min="3" max="3" style="11869" width="16.421875" customWidth="1"/>
    <col min="4" max="25" style="11869" width="6.28125" customWidth="1"/>
    <col min="26" max="28" style="11869" width="11.00390625"/>
  </cols>
  <sheetData>
    <row customHeight="1" ht="15.75">
      <c r="A1" s="1870"/>
      <c r="B1" s="1871"/>
      <c r="C1" s="1871"/>
      <c r="D1" s="1871"/>
      <c r="E1" s="1871"/>
      <c r="F1" s="1871"/>
      <c r="G1" s="1871"/>
      <c r="H1" s="1871"/>
      <c r="I1" s="1871"/>
      <c r="J1" s="1871"/>
      <c r="K1" s="1871"/>
      <c r="L1" s="1871"/>
      <c r="M1" s="1871"/>
      <c r="N1" s="1871"/>
      <c r="O1" s="1871"/>
      <c r="P1" s="1871"/>
      <c r="Q1" s="1871"/>
      <c r="R1" s="1871"/>
      <c r="S1" s="1871"/>
      <c r="T1" s="1871"/>
      <c r="U1" s="1871"/>
      <c r="V1" s="1871"/>
      <c r="W1" s="1871"/>
      <c r="X1" s="1871"/>
      <c r="Y1" s="1872"/>
      <c r="Z1" s="1871"/>
      <c r="AA1" s="1873" t="s">
        <v>0</v>
      </c>
      <c r="AB1" s="1871"/>
    </row>
    <row customHeight="1" ht="17.25">
      <c r="A2" s="1871"/>
      <c r="B2" s="2247" t="s">
        <v>1</v>
      </c>
      <c r="C2" s="2247"/>
      <c r="D2" s="2247"/>
      <c r="E2" s="2247"/>
      <c r="F2" s="2247"/>
      <c r="G2" s="2247"/>
      <c r="H2" s="2247"/>
      <c r="I2" s="2247"/>
      <c r="J2" s="2247"/>
      <c r="K2" s="2247"/>
      <c r="L2" s="2247"/>
      <c r="M2" s="2247"/>
      <c r="N2" s="2247"/>
      <c r="O2" s="2247"/>
      <c r="P2" s="2247"/>
      <c r="Q2" s="1875"/>
      <c r="R2" s="1875"/>
      <c r="S2" s="1875"/>
      <c r="T2" s="1875"/>
      <c r="U2" s="1875"/>
      <c r="V2" s="1876"/>
      <c r="W2" s="1875"/>
      <c r="X2" s="1875"/>
      <c r="Y2" s="1872"/>
      <c r="Z2" s="1871"/>
      <c r="AA2" s="1873"/>
      <c r="AB2" s="1871"/>
    </row>
    <row customHeight="1" ht="15.75">
      <c r="A3" s="1871"/>
      <c r="B3" s="2248" t="s">
        <v>2</v>
      </c>
      <c r="C3" s="2248"/>
      <c r="D3" s="2248"/>
      <c r="E3" s="2248"/>
      <c r="F3" s="2248"/>
      <c r="G3" s="2248"/>
      <c r="H3" s="2248"/>
      <c r="I3" s="2248"/>
      <c r="J3" s="2248"/>
      <c r="K3" s="2248"/>
      <c r="L3" s="2248"/>
      <c r="M3" s="2248"/>
      <c r="N3" s="2248"/>
      <c r="O3" s="2248"/>
      <c r="P3" s="2248"/>
      <c r="Q3" s="1876"/>
      <c r="R3" s="1876"/>
      <c r="S3" s="1875"/>
      <c r="T3" s="1875"/>
      <c r="U3" s="1875"/>
      <c r="V3" s="1876"/>
      <c r="W3" s="1876"/>
      <c r="X3" s="1876"/>
      <c r="Y3" s="1876"/>
      <c r="Z3" s="1871"/>
      <c r="AA3" s="1873"/>
      <c r="AB3" s="1871"/>
    </row>
    <row customHeight="1" ht="17.25">
      <c r="A4" s="1871"/>
      <c r="B4" s="1877"/>
      <c r="C4" s="1871"/>
      <c r="D4" s="1876"/>
      <c r="E4" s="1876"/>
      <c r="F4" s="1876"/>
      <c r="G4" s="1876"/>
      <c r="H4" s="1876"/>
      <c r="I4" s="1876"/>
      <c r="J4" s="1876"/>
      <c r="K4" s="1876"/>
      <c r="L4" s="1876"/>
      <c r="M4" s="1876"/>
      <c r="N4" s="1876"/>
      <c r="O4" s="1876"/>
      <c r="P4" s="1876"/>
      <c r="Q4" s="1876"/>
      <c r="R4" s="1876"/>
      <c r="S4" s="1876"/>
      <c r="T4" s="1876"/>
      <c r="U4" s="1876"/>
      <c r="V4" s="1876"/>
      <c r="W4" s="1876"/>
      <c r="X4" s="1876"/>
      <c r="Y4" s="1876"/>
      <c r="Z4" s="1871"/>
      <c r="AA4" s="1873"/>
      <c r="AB4" s="1871"/>
    </row>
    <row customHeight="1" ht="22.5">
      <c r="A5" s="1878"/>
      <c r="B5" s="2249"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250"/>
      <c r="D5" s="2250"/>
      <c r="E5" s="2250"/>
      <c r="F5" s="2250"/>
      <c r="G5" s="2250"/>
      <c r="H5" s="2250"/>
      <c r="I5" s="2250"/>
      <c r="J5" s="2250"/>
      <c r="K5" s="2250"/>
      <c r="L5" s="2250"/>
      <c r="M5" s="2250"/>
      <c r="N5" s="2250"/>
      <c r="O5" s="2250"/>
      <c r="P5" s="2250"/>
      <c r="Q5" s="2250"/>
      <c r="R5" s="2250"/>
      <c r="S5" s="2250"/>
      <c r="T5" s="2250"/>
      <c r="U5" s="2250"/>
      <c r="V5" s="2250"/>
      <c r="W5" s="2250"/>
      <c r="X5" s="2250"/>
      <c r="Y5" s="2251"/>
      <c r="Z5" s="1878"/>
      <c r="AA5" s="1873"/>
      <c r="AB5" s="1878"/>
    </row>
    <row customHeight="1" ht="15">
      <c r="A6" s="1879"/>
      <c r="B6" s="2252" t="s">
        <v>3</v>
      </c>
      <c r="C6" s="2253"/>
      <c r="D6" s="1880"/>
      <c r="E6" s="1880"/>
      <c r="F6" s="1880"/>
      <c r="G6" s="1880"/>
      <c r="H6" s="1880"/>
      <c r="I6" s="1880"/>
      <c r="J6" s="1880"/>
      <c r="K6" s="1880"/>
      <c r="L6" s="1880"/>
      <c r="M6" s="1880"/>
      <c r="N6" s="1880"/>
      <c r="O6" s="1880"/>
      <c r="P6" s="1880"/>
      <c r="Q6" s="1880"/>
      <c r="R6" s="1880"/>
      <c r="S6" s="1880"/>
      <c r="T6" s="1880"/>
      <c r="U6" s="1880"/>
      <c r="V6" s="1880"/>
      <c r="W6" s="1880"/>
      <c r="X6" s="1880"/>
      <c r="Y6" s="1881"/>
      <c r="Z6" s="1882"/>
      <c r="AA6" s="1883"/>
      <c r="AB6" s="1883"/>
    </row>
    <row customHeight="1" ht="15">
      <c r="A7" s="1879"/>
      <c r="B7" s="2252"/>
      <c r="C7" s="2253"/>
      <c r="D7" s="1880"/>
      <c r="E7" s="1880"/>
      <c r="F7" s="1884"/>
      <c r="G7" s="1884"/>
      <c r="H7" s="1884"/>
      <c r="I7" s="1884"/>
      <c r="J7" s="1884"/>
      <c r="K7" s="1884"/>
      <c r="L7" s="1884"/>
      <c r="M7" s="1884"/>
      <c r="N7" s="1884"/>
      <c r="O7" s="1880"/>
      <c r="P7" s="1884"/>
      <c r="Q7" s="1884"/>
      <c r="R7" s="1884"/>
      <c r="S7" s="1884"/>
      <c r="T7" s="1884"/>
      <c r="U7" s="1884"/>
      <c r="V7" s="1884"/>
      <c r="W7" s="1884"/>
      <c r="X7" s="1884"/>
      <c r="Y7" s="1881"/>
      <c r="Z7" s="1882"/>
      <c r="AA7" s="1883"/>
      <c r="AB7" s="1883"/>
    </row>
    <row customHeight="1" ht="15">
      <c r="A8" s="1879"/>
      <c r="B8" s="2252"/>
      <c r="C8" s="2253"/>
      <c r="D8" s="1885"/>
      <c r="E8" s="1886" t="s">
        <v>4</v>
      </c>
      <c r="F8" s="2255" t="s">
        <v>5</v>
      </c>
      <c r="G8" s="2256"/>
      <c r="H8" s="2256"/>
      <c r="I8" s="2256"/>
      <c r="J8" s="2256"/>
      <c r="K8" s="2256"/>
      <c r="L8" s="2256"/>
      <c r="M8" s="2256"/>
      <c r="N8" s="1885"/>
      <c r="O8" s="1887" t="s">
        <v>4</v>
      </c>
      <c r="P8" s="2257" t="s">
        <v>6</v>
      </c>
      <c r="Q8" s="2258"/>
      <c r="R8" s="2258"/>
      <c r="S8" s="2258"/>
      <c r="T8" s="2258"/>
      <c r="U8" s="2258"/>
      <c r="V8" s="2258"/>
      <c r="W8" s="2258"/>
      <c r="X8" s="2258"/>
      <c r="Y8" s="1881"/>
      <c r="Z8" s="1882"/>
      <c r="AA8" s="1883"/>
      <c r="AB8" s="1883"/>
    </row>
    <row customHeight="1" ht="15">
      <c r="A9" s="1879"/>
      <c r="B9" s="2252"/>
      <c r="C9" s="2253"/>
      <c r="D9" s="1885"/>
      <c r="E9" s="1888" t="s">
        <v>4</v>
      </c>
      <c r="F9" s="2255" t="s">
        <v>7</v>
      </c>
      <c r="G9" s="2256"/>
      <c r="H9" s="2256"/>
      <c r="I9" s="2256"/>
      <c r="J9" s="2256"/>
      <c r="K9" s="2256"/>
      <c r="L9" s="2256"/>
      <c r="M9" s="2256"/>
      <c r="N9" s="1885"/>
      <c r="O9" s="1889" t="s">
        <v>4</v>
      </c>
      <c r="P9" s="2257" t="s">
        <v>8</v>
      </c>
      <c r="Q9" s="2258"/>
      <c r="R9" s="2258"/>
      <c r="S9" s="2258"/>
      <c r="T9" s="2258"/>
      <c r="U9" s="2258"/>
      <c r="V9" s="2258"/>
      <c r="W9" s="2258"/>
      <c r="X9" s="2258"/>
      <c r="Y9" s="1881"/>
      <c r="Z9" s="1882"/>
      <c r="AA9" s="1883"/>
      <c r="AB9" s="1883"/>
    </row>
    <row customHeight="1" ht="30">
      <c r="A10" s="1879"/>
      <c r="B10" s="2252"/>
      <c r="C10" s="2254"/>
      <c r="D10" s="1890"/>
      <c r="E10" s="1891"/>
      <c r="F10" s="1884"/>
      <c r="G10" s="1884"/>
      <c r="H10" s="1884"/>
      <c r="I10" s="1884"/>
      <c r="J10" s="1884"/>
      <c r="K10" s="1884"/>
      <c r="L10" s="1884"/>
      <c r="M10" s="1884"/>
      <c r="N10" s="1884"/>
      <c r="O10" s="1891"/>
      <c r="P10" s="1884"/>
      <c r="Q10" s="1884"/>
      <c r="R10" s="1884"/>
      <c r="S10" s="1884"/>
      <c r="T10" s="1884"/>
      <c r="U10" s="1884"/>
      <c r="V10" s="1884"/>
      <c r="W10" s="1884"/>
      <c r="X10" s="1884"/>
      <c r="Y10" s="1881"/>
      <c r="Z10" s="1882"/>
      <c r="AA10" s="1883"/>
      <c r="AB10" s="1883"/>
    </row>
    <row customHeight="1" ht="19.5">
      <c r="A11" s="1879"/>
      <c r="B11" s="2259" t="s">
        <v>9</v>
      </c>
      <c r="C11" s="2260"/>
      <c r="D11" s="1885"/>
      <c r="E11" s="1892"/>
      <c r="F11" s="1892"/>
      <c r="G11" s="1892"/>
      <c r="H11" s="1892"/>
      <c r="I11" s="1892"/>
      <c r="J11" s="1892"/>
      <c r="K11" s="1892"/>
      <c r="L11" s="1892"/>
      <c r="M11" s="1892"/>
      <c r="N11" s="1892"/>
      <c r="O11" s="1892"/>
      <c r="P11" s="1892"/>
      <c r="Q11" s="1892"/>
      <c r="R11" s="1892"/>
      <c r="S11" s="1892"/>
      <c r="T11" s="1892"/>
      <c r="U11" s="1892"/>
      <c r="V11" s="1892"/>
      <c r="W11" s="1892"/>
      <c r="X11" s="1892"/>
      <c r="Y11" s="1881"/>
      <c r="Z11" s="1882"/>
      <c r="AA11" s="1883"/>
      <c r="AB11" s="1883"/>
    </row>
    <row customHeight="1" ht="69">
      <c r="A12" s="1879"/>
      <c r="B12" s="2252"/>
      <c r="C12" s="2254"/>
      <c r="D12" s="1893"/>
      <c r="E12" s="2256" t="s">
        <v>10</v>
      </c>
      <c r="F12" s="2256"/>
      <c r="G12" s="2256"/>
      <c r="H12" s="2256"/>
      <c r="I12" s="2256"/>
      <c r="J12" s="2256"/>
      <c r="K12" s="2256"/>
      <c r="L12" s="2256"/>
      <c r="M12" s="2256"/>
      <c r="N12" s="2256"/>
      <c r="O12" s="2256"/>
      <c r="P12" s="2256"/>
      <c r="Q12" s="2256"/>
      <c r="R12" s="2256"/>
      <c r="S12" s="2256"/>
      <c r="T12" s="2256"/>
      <c r="U12" s="2256"/>
      <c r="V12" s="2256"/>
      <c r="W12" s="2256"/>
      <c r="X12" s="2256"/>
      <c r="Y12" s="1881"/>
      <c r="Z12" s="1882"/>
      <c r="AA12" s="1883"/>
      <c r="AB12" s="1883"/>
    </row>
    <row customHeight="1" ht="15">
      <c r="A13" s="1879"/>
      <c r="B13" s="2259" t="s">
        <v>11</v>
      </c>
      <c r="C13" s="2260"/>
      <c r="D13" s="1880"/>
      <c r="E13" s="1892"/>
      <c r="F13" s="1892"/>
      <c r="G13" s="1892"/>
      <c r="H13" s="1892"/>
      <c r="I13" s="1892"/>
      <c r="J13" s="1892"/>
      <c r="K13" s="1892"/>
      <c r="L13" s="1892"/>
      <c r="M13" s="1892"/>
      <c r="N13" s="1892"/>
      <c r="O13" s="1892"/>
      <c r="P13" s="1892"/>
      <c r="Q13" s="1892"/>
      <c r="R13" s="1892"/>
      <c r="S13" s="1892"/>
      <c r="T13" s="1892"/>
      <c r="U13" s="1892"/>
      <c r="V13" s="1892"/>
      <c r="W13" s="1892"/>
      <c r="X13" s="1892"/>
      <c r="Y13" s="1881"/>
      <c r="Z13" s="1882"/>
      <c r="AA13" s="1883"/>
      <c r="AB13" s="1883"/>
    </row>
    <row customHeight="1" ht="57">
      <c r="A14" s="1879"/>
      <c r="B14" s="2252"/>
      <c r="C14" s="2253"/>
      <c r="D14" s="1885"/>
      <c r="E14" s="2263" t="s">
        <v>12</v>
      </c>
      <c r="F14" s="2263"/>
      <c r="G14" s="2263"/>
      <c r="H14" s="2263"/>
      <c r="I14" s="2263"/>
      <c r="J14" s="2263"/>
      <c r="K14" s="2263"/>
      <c r="L14" s="2263"/>
      <c r="M14" s="2263"/>
      <c r="N14" s="2263"/>
      <c r="O14" s="2263"/>
      <c r="P14" s="2263"/>
      <c r="Q14" s="2263"/>
      <c r="R14" s="2263"/>
      <c r="S14" s="2263"/>
      <c r="T14" s="2263"/>
      <c r="U14" s="2263"/>
      <c r="V14" s="2263"/>
      <c r="W14" s="2263"/>
      <c r="X14" s="2263"/>
      <c r="Y14" s="1881"/>
      <c r="Z14" s="1882"/>
      <c r="AA14" s="1883"/>
      <c r="AB14" s="1883"/>
    </row>
    <row customHeight="1" ht="16.5">
      <c r="A15" s="1879"/>
      <c r="B15" s="2261"/>
      <c r="C15" s="2262"/>
      <c r="D15" s="1894"/>
      <c r="E15" s="1895"/>
      <c r="F15" s="1895"/>
      <c r="G15" s="1895"/>
      <c r="H15" s="1895"/>
      <c r="I15" s="1895"/>
      <c r="J15" s="1895"/>
      <c r="K15" s="1895"/>
      <c r="L15" s="1895"/>
      <c r="M15" s="1895"/>
      <c r="N15" s="1895"/>
      <c r="O15" s="1895"/>
      <c r="P15" s="1895"/>
      <c r="Q15" s="1895"/>
      <c r="R15" s="1895"/>
      <c r="S15" s="1895"/>
      <c r="T15" s="1895"/>
      <c r="U15" s="1895"/>
      <c r="V15" s="1895"/>
      <c r="W15" s="1895"/>
      <c r="X15" s="1895"/>
      <c r="Y15" s="1896"/>
      <c r="Z15" s="1882"/>
      <c r="AA15" s="1897"/>
      <c r="AB15" s="1883"/>
    </row>
    <row customHeight="1" ht="95.25">
      <c r="A16" s="1871"/>
      <c r="B16" s="2263"/>
      <c r="C16" s="2264"/>
      <c r="D16" s="2264"/>
      <c r="E16" s="2264"/>
      <c r="F16" s="2264"/>
      <c r="G16" s="2264"/>
      <c r="H16" s="2264"/>
      <c r="I16" s="2264"/>
      <c r="J16" s="2264"/>
      <c r="K16" s="2264"/>
      <c r="L16" s="2264"/>
      <c r="M16" s="2264"/>
      <c r="N16" s="2264"/>
      <c r="O16" s="2264"/>
      <c r="P16" s="2264"/>
      <c r="Q16" s="2264"/>
      <c r="R16" s="2264"/>
      <c r="S16" s="2264"/>
      <c r="T16" s="2264"/>
      <c r="U16" s="2264"/>
      <c r="V16" s="2264"/>
      <c r="W16" s="2264"/>
      <c r="X16" s="2264"/>
      <c r="Y16" s="2264"/>
      <c r="Z16" s="1871"/>
      <c r="AA16" s="1873"/>
      <c r="AB16" s="1871"/>
    </row>
    <row customHeight="1" ht="14.25">
      <c r="A17" s="1871"/>
      <c r="B17" s="1871"/>
      <c r="C17" s="1871"/>
      <c r="D17" s="1871"/>
      <c r="E17" s="1871"/>
      <c r="F17" s="1871"/>
      <c r="G17" s="1871"/>
      <c r="H17" s="1871"/>
      <c r="I17" s="1871"/>
      <c r="J17" s="1871"/>
      <c r="K17" s="1871"/>
      <c r="L17" s="1871"/>
      <c r="M17" s="1871"/>
      <c r="N17" s="1871"/>
      <c r="O17" s="1871"/>
      <c r="P17" s="1871"/>
      <c r="Q17" s="1871"/>
      <c r="R17" s="1871"/>
      <c r="S17" s="1871"/>
      <c r="T17" s="1871"/>
      <c r="U17" s="1871"/>
      <c r="V17" s="1871"/>
      <c r="W17" s="1871"/>
      <c r="X17" s="1871"/>
      <c r="Y17" s="1872"/>
      <c r="Z17" s="1871"/>
      <c r="AA17" s="1873"/>
      <c r="AB17" s="1871"/>
    </row>
    <row customHeight="1" ht="14.25">
      <c r="A18" s="1871"/>
      <c r="B18" s="1871"/>
      <c r="C18" s="1871"/>
      <c r="D18" s="1871"/>
      <c r="E18" s="1871"/>
      <c r="F18" s="1871"/>
      <c r="G18" s="1871"/>
      <c r="H18" s="1871"/>
      <c r="I18" s="1871"/>
      <c r="J18" s="1871"/>
      <c r="K18" s="1871"/>
      <c r="L18" s="1871"/>
      <c r="M18" s="1871"/>
      <c r="N18" s="1871"/>
      <c r="O18" s="1871"/>
      <c r="P18" s="1871"/>
      <c r="Q18" s="1871"/>
      <c r="R18" s="1871"/>
      <c r="S18" s="1871"/>
      <c r="T18" s="1871"/>
      <c r="U18" s="1871"/>
      <c r="V18" s="1871"/>
      <c r="W18" s="1871"/>
      <c r="X18" s="1871"/>
      <c r="Y18" s="1872"/>
      <c r="Z18" s="1871"/>
      <c r="AA18" s="1873"/>
      <c r="AB18" s="1871"/>
    </row>
    <row customHeight="1" ht="14.25">
      <c r="A19" s="1871"/>
      <c r="B19" s="1871"/>
      <c r="C19" s="1871"/>
      <c r="D19" s="1871"/>
      <c r="E19" s="1871"/>
      <c r="F19" s="1871"/>
      <c r="G19" s="1871"/>
      <c r="H19" s="1871"/>
      <c r="I19" s="1871"/>
      <c r="J19" s="1871"/>
      <c r="K19" s="1871"/>
      <c r="L19" s="1871"/>
      <c r="M19" s="1871"/>
      <c r="N19" s="1871"/>
      <c r="O19" s="1871"/>
      <c r="P19" s="1871"/>
      <c r="Q19" s="1871"/>
      <c r="R19" s="1871"/>
      <c r="S19" s="1871"/>
      <c r="T19" s="1871"/>
      <c r="U19" s="1871"/>
      <c r="V19" s="1871"/>
      <c r="W19" s="1871"/>
      <c r="X19" s="1871"/>
      <c r="Y19" s="1872"/>
      <c r="Z19" s="1871"/>
      <c r="AA19" s="1873"/>
      <c r="AB19" s="1871"/>
    </row>
    <row customHeight="1" ht="14.25">
      <c r="A20" s="1871"/>
      <c r="B20" s="1871"/>
      <c r="C20" s="1871"/>
      <c r="D20" s="1871"/>
      <c r="E20" s="1871"/>
      <c r="F20" s="1871"/>
      <c r="G20" s="1871"/>
      <c r="H20" s="1871"/>
      <c r="I20" s="1871"/>
      <c r="J20" s="1871"/>
      <c r="K20" s="1871"/>
      <c r="L20" s="1871"/>
      <c r="M20" s="1871"/>
      <c r="N20" s="1871"/>
      <c r="O20" s="1871"/>
      <c r="P20" s="1871"/>
      <c r="Q20" s="1871"/>
      <c r="R20" s="1871"/>
      <c r="S20" s="1871"/>
      <c r="T20" s="1871"/>
      <c r="U20" s="1871"/>
      <c r="V20" s="1871"/>
      <c r="W20" s="1871"/>
      <c r="X20" s="1871"/>
      <c r="Y20" s="1872"/>
      <c r="Z20" s="1871"/>
      <c r="AA20" s="1873"/>
      <c r="AB20" s="1871"/>
    </row>
    <row customHeight="1" ht="14.25">
      <c r="A21" s="1871"/>
      <c r="B21" s="1871"/>
      <c r="C21" s="1871"/>
      <c r="D21" s="1871"/>
      <c r="E21" s="1871"/>
      <c r="F21" s="1871"/>
      <c r="G21" s="1871"/>
      <c r="H21" s="1871"/>
      <c r="I21" s="1871"/>
      <c r="J21" s="1871"/>
      <c r="K21" s="1871"/>
      <c r="L21" s="1871"/>
      <c r="M21" s="1871"/>
      <c r="N21" s="1871"/>
      <c r="O21" s="1871"/>
      <c r="P21" s="1871"/>
      <c r="Q21" s="1871"/>
      <c r="R21" s="1871"/>
      <c r="S21" s="1871"/>
      <c r="T21" s="1871"/>
      <c r="U21" s="1871"/>
      <c r="V21" s="1871"/>
      <c r="W21" s="1871"/>
      <c r="X21" s="1871"/>
      <c r="Y21" s="1872"/>
      <c r="Z21" s="1871"/>
      <c r="AA21" s="1873"/>
      <c r="AB21" s="187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69F6C5-EB1F-8DD1-14FC-B968383AF3B2}"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1877" width="9.140625" hidden="1" customWidth="1"/>
    <col min="2" max="3" style="11913" width="9.140625" hidden="1" customWidth="1"/>
    <col min="4" max="4" style="12081" width="3.00390625" customWidth="1"/>
    <col min="5" max="5" style="11913" width="6.00390625" customWidth="1"/>
    <col min="6" max="6" style="11913" width="1.7109375" hidden="1" customWidth="1"/>
    <col min="7" max="8" style="11913" width="30.00390625" customWidth="1"/>
    <col min="9" max="9" style="11913" width="8.00390625" customWidth="1"/>
    <col min="10" max="10" style="11913" width="12.140625" customWidth="1"/>
    <col min="11" max="11" style="11913" width="46.00390625" customWidth="1"/>
    <col min="12" max="12" style="11913" width="100.00390625" customWidth="1"/>
    <col min="13" max="13" style="12008" width="7.00390625" customWidth="1"/>
    <col min="14" max="22" style="11913" width="10.00390625" customWidth="1"/>
    <col min="23" max="23" style="11913" width="10.57421875" hidden="1"/>
  </cols>
  <sheetData>
    <row s="11993" customFormat="1" customHeight="1" ht="5.25" hidden="1">
      <c r="C1" s="681"/>
      <c r="D1" s="664"/>
      <c r="F1" s="681"/>
      <c r="G1" s="659" t="s">
        <v>86</v>
      </c>
      <c r="H1" s="659" t="s">
        <v>87</v>
      </c>
      <c r="I1" s="659" t="s">
        <v>88</v>
      </c>
      <c r="P1" s="659" t="s">
        <v>86</v>
      </c>
      <c r="Q1" s="659" t="s">
        <v>87</v>
      </c>
      <c r="R1" s="659" t="s">
        <v>88</v>
      </c>
      <c r="W1" s="659" t="s">
        <v>14</v>
      </c>
    </row>
    <row s="11993" customFormat="1" customHeight="1" ht="5.25" hidden="1">
      <c r="C2" s="681"/>
      <c r="D2" s="664"/>
      <c r="F2" s="681"/>
      <c r="W2" s="659">
        <v>0</v>
      </c>
    </row>
    <row s="11888" customFormat="1" customHeight="1" ht="5.25">
      <c r="A3" s="649"/>
      <c r="D3" s="656"/>
      <c r="E3" s="651"/>
      <c r="F3" s="651"/>
      <c r="G3" s="651"/>
      <c r="H3" s="651"/>
      <c r="I3" s="652"/>
      <c r="J3" s="653"/>
      <c r="K3" s="653"/>
      <c r="L3" s="653"/>
      <c r="W3" s="650">
        <v>5</v>
      </c>
    </row>
    <row customHeight="1" ht="23.25">
      <c r="D4" s="620"/>
      <c r="E4" s="2408" t="s">
        <v>400</v>
      </c>
      <c r="F4" s="2408"/>
      <c r="G4" s="2409"/>
      <c r="H4" s="2409"/>
      <c r="I4" s="2410"/>
      <c r="J4" s="661"/>
      <c r="K4" s="623"/>
      <c r="L4" s="623"/>
      <c r="W4" s="617">
        <v>22</v>
      </c>
    </row>
    <row s="11913" customFormat="1" customHeight="1" ht="18">
      <c r="A5" s="929"/>
      <c r="D5" s="992"/>
      <c r="E5" s="2384" t="str">
        <f>IF(org=0,"Не определено",org)</f>
        <v>Филиал "Шатурская ГРЭС" ПАО "Юнипро"</v>
      </c>
      <c r="F5" s="2384"/>
      <c r="G5" s="2385"/>
      <c r="H5" s="2385"/>
      <c r="I5" s="2386"/>
      <c r="J5" s="661"/>
      <c r="K5" s="623"/>
      <c r="L5" s="623"/>
      <c r="M5" s="677"/>
      <c r="W5" s="928">
        <v>17</v>
      </c>
    </row>
    <row s="11888" customFormat="1" customHeight="1" ht="11.549999999999999">
      <c r="A6" s="649"/>
      <c r="D6" s="656"/>
      <c r="E6" s="651"/>
      <c r="F6" s="651"/>
      <c r="G6" s="654"/>
      <c r="H6" s="654"/>
      <c r="I6" s="655"/>
      <c r="J6" s="655"/>
      <c r="K6" s="922"/>
      <c r="L6" s="655"/>
      <c r="W6" s="650">
        <v>11</v>
      </c>
    </row>
    <row customHeight="1" ht="14.699999999999998">
      <c r="D7" s="620"/>
      <c r="E7" s="2378" t="s">
        <v>312</v>
      </c>
      <c r="F7" s="2378"/>
      <c r="G7" s="2379"/>
      <c r="H7" s="2379"/>
      <c r="I7" s="2379"/>
      <c r="J7" s="2379"/>
      <c r="K7" s="2379"/>
      <c r="L7" s="2393" t="s">
        <v>313</v>
      </c>
      <c r="W7" s="617">
        <v>14</v>
      </c>
    </row>
    <row customHeight="1" ht="48.29999999999999">
      <c r="D8" s="620"/>
      <c r="E8" s="643" t="s">
        <v>91</v>
      </c>
      <c r="F8" s="993"/>
      <c r="G8" s="635" t="s">
        <v>89</v>
      </c>
      <c r="H8" s="635" t="s">
        <v>90</v>
      </c>
      <c r="I8" s="584" t="s">
        <v>88</v>
      </c>
      <c r="J8" s="584" t="s">
        <v>401</v>
      </c>
      <c r="K8" s="584" t="s">
        <v>402</v>
      </c>
      <c r="L8" s="2393"/>
      <c r="W8" s="617">
        <v>46</v>
      </c>
    </row>
    <row customHeight="1" ht="12" hidden="1">
      <c r="D9" s="657"/>
      <c r="E9" s="663"/>
      <c r="F9" s="1000"/>
      <c r="G9" s="663"/>
      <c r="H9" s="663"/>
      <c r="I9" s="663"/>
      <c r="J9" s="663"/>
      <c r="K9" s="663"/>
      <c r="L9" s="663"/>
      <c r="M9" s="617"/>
      <c r="W9" s="617">
        <v>0</v>
      </c>
    </row>
    <row customHeight="1" ht="14.25" hidden="1">
      <c r="A10" s="675"/>
      <c r="B10" s="675"/>
      <c r="D10" s="676"/>
      <c r="E10" s="682">
        <v>0</v>
      </c>
      <c r="F10" s="991"/>
      <c r="G10" s="678"/>
      <c r="H10" s="678"/>
      <c r="I10" s="678"/>
      <c r="J10" s="678"/>
      <c r="K10" s="678"/>
      <c r="L10" s="2391" t="s">
        <v>403</v>
      </c>
      <c r="M10" s="677"/>
      <c r="N10" s="675"/>
      <c r="O10" s="675"/>
      <c r="P10" s="675"/>
      <c r="Q10" s="675"/>
      <c r="R10" s="675"/>
      <c r="S10" s="675"/>
      <c r="T10" s="675"/>
      <c r="U10" s="675"/>
      <c r="V10" s="675"/>
      <c r="W10" s="617">
        <v>0</v>
      </c>
    </row>
    <row customHeight="1" ht="15" hidden="1">
      <c r="A11" s="2269"/>
      <c r="B11" s="674"/>
      <c r="C11" s="674"/>
      <c r="D11" s="1035"/>
      <c r="E11" s="683"/>
      <c r="F11" s="683"/>
      <c r="G11" s="683"/>
      <c r="H11" s="683"/>
      <c r="I11" s="684"/>
      <c r="J11" s="685"/>
      <c r="K11" s="883"/>
      <c r="L11" s="2411"/>
      <c r="M11" s="681"/>
      <c r="N11" s="681"/>
      <c r="O11" s="681"/>
      <c r="P11" s="686"/>
      <c r="Q11" s="686"/>
      <c r="R11" s="687"/>
      <c r="S11" s="681"/>
      <c r="T11" s="681"/>
      <c r="U11" s="681"/>
      <c r="V11" s="681"/>
      <c r="W11" s="617">
        <v>0</v>
      </c>
    </row>
    <row s="11888" customFormat="1" customHeight="1" ht="15">
      <c r="A12" s="2269"/>
      <c r="B12" s="674"/>
      <c r="C12" s="674"/>
      <c r="D12" s="1036"/>
      <c r="E12" s="993">
        <v>1</v>
      </c>
      <c r="F12" s="1034">
        <v>23</v>
      </c>
      <c r="G12" s="1033"/>
      <c r="H12" s="963"/>
      <c r="I12" s="961"/>
      <c r="J12" s="690" t="s">
        <v>64</v>
      </c>
      <c r="K12" s="1334" t="s">
        <v>28</v>
      </c>
      <c r="L12" s="2411"/>
      <c r="M12" s="681"/>
      <c r="N12" s="681"/>
      <c r="O12" s="681"/>
      <c r="P12" s="686" t="s">
        <v>404</v>
      </c>
      <c r="Q12" s="686" t="s">
        <v>405</v>
      </c>
      <c r="R12" s="687" t="s">
        <v>406</v>
      </c>
      <c r="S12" s="681" t="s">
        <v>407</v>
      </c>
      <c r="T12" s="681"/>
      <c r="U12" s="681"/>
      <c r="V12" s="681"/>
      <c r="W12" s="650">
        <v>14</v>
      </c>
    </row>
    <row customHeight="1" ht="15.75">
      <c r="A13" s="2269"/>
      <c r="B13" s="675"/>
      <c r="D13" s="676"/>
      <c r="E13" s="575"/>
      <c r="F13" s="699"/>
      <c r="G13" s="586" t="s">
        <v>105</v>
      </c>
      <c r="H13" s="574"/>
      <c r="I13" s="574"/>
      <c r="J13" s="574"/>
      <c r="K13" s="573"/>
      <c r="L13" s="2392"/>
      <c r="M13" s="679"/>
      <c r="N13" s="675"/>
      <c r="O13" s="675"/>
      <c r="P13" s="675"/>
      <c r="Q13" s="675"/>
      <c r="R13" s="675"/>
      <c r="S13" s="675"/>
      <c r="T13" s="675"/>
      <c r="U13" s="675"/>
      <c r="V13" s="675"/>
      <c r="W13" s="617">
        <v>15</v>
      </c>
    </row>
    <row customHeight="1" ht="11.549999999999999">
      <c r="A14" s="649"/>
      <c r="B14" s="650"/>
      <c r="C14" s="650"/>
      <c r="D14" s="665"/>
      <c r="E14" s="650"/>
      <c r="F14" s="650"/>
      <c r="G14" s="650"/>
      <c r="H14" s="650"/>
      <c r="I14" s="650"/>
      <c r="J14" s="650"/>
      <c r="K14" s="650"/>
      <c r="L14" s="650"/>
      <c r="M14" s="650"/>
      <c r="N14" s="650"/>
      <c r="O14" s="650"/>
      <c r="P14" s="650"/>
      <c r="Q14" s="650"/>
      <c r="R14" s="650"/>
      <c r="S14" s="650"/>
      <c r="T14" s="650"/>
      <c r="U14" s="650"/>
      <c r="V14" s="650"/>
      <c r="W14" s="617">
        <v>11</v>
      </c>
    </row>
    <row customHeight="1" ht="14.699999999999998">
      <c r="D15" s="636"/>
      <c r="E15" s="506"/>
      <c r="F15" s="506"/>
      <c r="G15" s="83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636"/>
      <c r="I15" s="636"/>
      <c r="J15" s="636"/>
      <c r="K15" s="636"/>
      <c r="L15" s="636"/>
      <c r="W15" s="617">
        <v>14</v>
      </c>
    </row>
    <row customHeight="1" ht="14.699999999999998">
      <c r="W16" s="617">
        <v>14</v>
      </c>
    </row>
    <row customHeight="1" ht="14.699999999999998">
      <c r="W17" s="617">
        <v>14</v>
      </c>
    </row>
    <row customHeight="1" ht="14.699999999999998">
      <c r="G18" s="675"/>
      <c r="W18" s="617">
        <v>14</v>
      </c>
    </row>
    <row customHeight="1" ht="22.5" hidden="1">
      <c r="A19" s="619" t="s">
        <v>85</v>
      </c>
      <c r="B19" s="617">
        <v>0</v>
      </c>
      <c r="C19" s="928">
        <v>0</v>
      </c>
      <c r="D19" s="621">
        <v>3</v>
      </c>
      <c r="E19" s="617">
        <v>6</v>
      </c>
      <c r="F19" s="928">
        <v>0</v>
      </c>
      <c r="G19" s="617">
        <v>30</v>
      </c>
      <c r="H19" s="617">
        <v>30</v>
      </c>
      <c r="I19" s="617">
        <v>8</v>
      </c>
      <c r="J19" s="617">
        <v>12</v>
      </c>
      <c r="K19" s="617">
        <v>46</v>
      </c>
      <c r="L19" s="617">
        <v>100</v>
      </c>
      <c r="M19" s="622">
        <v>7</v>
      </c>
      <c r="N19" s="617">
        <v>10</v>
      </c>
      <c r="O19" s="617">
        <v>10</v>
      </c>
      <c r="P19" s="617">
        <v>10</v>
      </c>
      <c r="Q19" s="617">
        <v>10</v>
      </c>
      <c r="R19" s="617">
        <v>10</v>
      </c>
      <c r="S19" s="617">
        <v>10</v>
      </c>
      <c r="T19" s="617">
        <v>10</v>
      </c>
      <c r="U19" s="617">
        <v>10</v>
      </c>
      <c r="V19" s="617">
        <v>10</v>
      </c>
      <c r="W19" s="61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1B923B-DAE1-337A-8D68-C7623110D795}" mc:Ignorable="x14ac xr xr2 xr3">
  <sheetPr>
    <tabColor theme="6" tint="0.4"/>
  </sheetPr>
  <dimension ref="A1:DM65"/>
  <sheetViews>
    <sheetView topLeftCell="A1" showGridLines="0" zoomScale="90" workbookViewId="0">
      <selection activeCell="AN58" sqref="AN58"/>
    </sheetView>
  </sheetViews>
  <sheetFormatPr defaultColWidth="10.57421875" customHeight="1" defaultRowHeight="14.25"/>
  <cols>
    <col min="1" max="1" style="11992" width="10.57421875" hidden="1"/>
    <col min="2" max="2" style="11992" width="11.00390625" hidden="1" customWidth="1"/>
    <col min="3" max="3" style="11992" width="10.57421875" hidden="1"/>
    <col min="4" max="4" style="11992" width="11.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2.00390625" hidden="1" customWidth="1"/>
    <col min="10" max="10" style="11992" width="9.8515625" hidden="1" customWidth="1"/>
    <col min="11" max="11" style="11992" width="11.421875" hidden="1" customWidth="1"/>
    <col min="12" max="12" style="13388" width="19.140625" hidden="1" customWidth="1"/>
    <col min="13" max="14" style="13389" width="12.28125" hidden="1" customWidth="1"/>
    <col min="15" max="15" style="13389" width="23.421875" hidden="1" customWidth="1"/>
    <col min="16" max="16" style="13390" width="3.00390625" customWidth="1"/>
    <col min="17" max="18" style="13391" width="3.00390625" customWidth="1"/>
    <col min="19" max="19" style="13392" width="12.00390625" customWidth="1"/>
    <col min="20" max="20" style="11913" width="35.00390625" customWidth="1"/>
    <col min="21" max="21" style="11913" width="0.140625" customWidth="1"/>
    <col min="22" max="22" style="11913" width="24.7109375" hidden="1" customWidth="1"/>
    <col min="23" max="23" style="11913" width="0.140625" hidden="1" customWidth="1"/>
    <col min="24" max="25" style="11913" width="24.7109375" hidden="1" customWidth="1"/>
    <col min="26" max="26" style="11913" width="11.7109375" hidden="1" customWidth="1"/>
    <col min="27" max="27" style="11913" width="3.7109375" hidden="1" customWidth="1"/>
    <col min="28" max="28" style="11913" width="11.7109375" hidden="1" customWidth="1"/>
    <col min="29" max="29" style="11913" width="8.57421875" hidden="1" customWidth="1"/>
    <col min="30" max="30" style="11913" width="24.7109375" customWidth="1"/>
    <col min="31" max="31" style="11913" width="0.140625" customWidth="1"/>
    <col min="32" max="33" style="11913" width="24.00390625" customWidth="1"/>
    <col min="34" max="34" style="11913" width="13.421875" customWidth="1"/>
    <col min="35" max="35" style="11913" width="3.7109375" customWidth="1"/>
    <col min="36" max="36" style="11913" width="17.421875" customWidth="1"/>
    <col min="37" max="37" style="11913" width="8.57421875" customWidth="1"/>
    <col min="42" max="42" style="62" width="13.8515625" customWidth="1"/>
    <col min="44" max="44" style="62" width="12.8515625" customWidth="1"/>
    <col min="50" max="50" style="62" width="13.8515625" customWidth="1"/>
    <col min="109" max="109" style="62" width="10.57421875" hidden="1"/>
    <col min="110" max="110" style="11913" width="4.00390625" customWidth="1"/>
    <col min="111" max="111" style="11913" width="115.00390625" customWidth="1"/>
    <col min="112" max="116" style="11993" width="10.00390625" customWidth="1"/>
    <col min="117" max="117" style="11913" width="10.57421875" hidden="1"/>
  </cols>
  <sheetData>
    <row customHeight="1" ht="22.5" hidden="1">
      <c r="Y1" s="497"/>
      <c r="Z1" s="497"/>
      <c r="AG1" s="497"/>
      <c r="AH1" s="497"/>
      <c r="AL1" s="8724"/>
      <c r="AM1" s="8724"/>
      <c r="AN1" s="8724"/>
      <c r="AO1" s="8724"/>
      <c r="AP1" s="8724"/>
      <c r="AQ1" s="8724"/>
      <c r="AR1" s="8724"/>
      <c r="AS1" s="8724"/>
      <c r="AT1" s="8724"/>
      <c r="AU1" s="8724"/>
      <c r="AV1" s="8724"/>
      <c r="AW1" s="8724"/>
      <c r="AX1" s="8724"/>
      <c r="AY1" s="8724"/>
      <c r="AZ1" s="8724"/>
      <c r="BA1" s="8724"/>
      <c r="BB1" s="8724"/>
      <c r="BC1" s="8724"/>
      <c r="BD1" s="8724"/>
      <c r="BE1" s="8724"/>
      <c r="BF1" s="8724"/>
      <c r="BG1" s="8724"/>
      <c r="BH1" s="8724"/>
      <c r="BI1" s="8724"/>
      <c r="BJ1" s="8724"/>
      <c r="BK1" s="8724"/>
      <c r="BL1" s="8724"/>
      <c r="BM1" s="8724"/>
      <c r="BN1" s="8724"/>
      <c r="BO1" s="8724"/>
      <c r="BP1" s="8724"/>
      <c r="BQ1" s="8724"/>
      <c r="BR1" s="8724"/>
      <c r="BS1" s="8724"/>
      <c r="BT1" s="8724"/>
      <c r="BU1" s="8724"/>
      <c r="BV1" s="8724"/>
      <c r="BW1" s="8724"/>
      <c r="BX1" s="8724"/>
      <c r="BY1" s="8724"/>
      <c r="BZ1" s="8724"/>
      <c r="CA1" s="8724"/>
      <c r="CB1" s="8724"/>
      <c r="CC1" s="8724"/>
      <c r="CD1" s="8724"/>
      <c r="CE1" s="8724"/>
      <c r="CF1" s="8724"/>
      <c r="CG1" s="8724"/>
      <c r="CH1" s="8724"/>
      <c r="CI1" s="8724"/>
      <c r="CJ1" s="8724"/>
      <c r="CK1" s="8724"/>
      <c r="CL1" s="8724"/>
      <c r="CM1" s="8724"/>
      <c r="CN1" s="8724"/>
      <c r="CO1" s="8724"/>
      <c r="CP1" s="8724"/>
      <c r="CQ1" s="8724"/>
      <c r="CR1" s="8724"/>
      <c r="CS1" s="8724"/>
      <c r="CT1" s="8724"/>
      <c r="CU1" s="8724"/>
      <c r="CV1" s="8724"/>
      <c r="CW1" s="8724"/>
      <c r="CX1" s="8724"/>
      <c r="CY1" s="8724"/>
      <c r="CZ1" s="8724"/>
      <c r="DA1" s="8724"/>
      <c r="DB1" s="8724"/>
      <c r="DC1" s="8724"/>
      <c r="DD1" s="8724"/>
      <c r="DE1" s="8724"/>
      <c r="DM1" s="1325" t="s">
        <v>14</v>
      </c>
    </row>
    <row customHeight="1" ht="21" hidden="1">
      <c r="A2" s="1533"/>
      <c r="B2" s="1533"/>
      <c r="C2" s="1533"/>
      <c r="D2" s="1533"/>
      <c r="E2" s="2428">
        <v>1</v>
      </c>
      <c r="F2" s="1533"/>
      <c r="G2" s="1533"/>
      <c r="H2" s="1533"/>
      <c r="I2" s="1533"/>
      <c r="J2" s="1533"/>
      <c r="K2" s="1533"/>
      <c r="L2" s="1534"/>
      <c r="M2" s="1535"/>
      <c r="N2" s="1535"/>
      <c r="O2" s="1535"/>
      <c r="P2" s="531"/>
      <c r="Q2" s="530"/>
      <c r="R2" s="525"/>
      <c r="S2" s="1479">
        <f>INDEX(PT_DIFFERENTIATION_NUM_NTAR,MATCH(A2,PT_DIFFERENTIATION_NTAR_ID,0))</f>
      </c>
      <c r="T2" s="468" t="s">
        <v>126</v>
      </c>
      <c r="U2" s="470"/>
      <c r="V2" s="2412"/>
      <c r="W2" s="2413"/>
      <c r="X2" s="2413"/>
      <c r="Y2" s="2413"/>
      <c r="Z2" s="2413"/>
      <c r="AA2" s="2413"/>
      <c r="AB2" s="2413"/>
      <c r="AC2" s="2414"/>
      <c r="AD2" s="2412">
        <f>INDEX(PT_DIFFERENTIATION_NTAR,MATCH(A2,PT_DIFFERENTIATION_NTAR_ID,0))</f>
      </c>
      <c r="AE2" s="2413"/>
      <c r="AF2" s="2413"/>
      <c r="AG2" s="2413"/>
      <c r="AH2" s="2413"/>
      <c r="AI2" s="2413"/>
      <c r="AJ2" s="2413"/>
      <c r="AK2" s="2413"/>
      <c r="AL2" s="8738"/>
      <c r="AM2" s="8739"/>
      <c r="AN2" s="8739"/>
      <c r="AO2" s="8739"/>
      <c r="AP2" s="8739"/>
      <c r="AQ2" s="8739"/>
      <c r="AR2" s="8739"/>
      <c r="AS2" s="8740"/>
      <c r="AT2" s="8738"/>
      <c r="AU2" s="8739"/>
      <c r="AV2" s="8739"/>
      <c r="AW2" s="8739"/>
      <c r="AX2" s="8739"/>
      <c r="AY2" s="8739"/>
      <c r="AZ2" s="8739"/>
      <c r="BA2" s="8740"/>
      <c r="BB2" s="8738"/>
      <c r="BC2" s="8739"/>
      <c r="BD2" s="8739"/>
      <c r="BE2" s="8739"/>
      <c r="BF2" s="8739"/>
      <c r="BG2" s="8739"/>
      <c r="BH2" s="8739"/>
      <c r="BI2" s="8740"/>
      <c r="BJ2" s="8738"/>
      <c r="BK2" s="8739"/>
      <c r="BL2" s="8739"/>
      <c r="BM2" s="8739"/>
      <c r="BN2" s="8739"/>
      <c r="BO2" s="8739"/>
      <c r="BP2" s="8739"/>
      <c r="BQ2" s="8740"/>
      <c r="BR2" s="8738"/>
      <c r="BS2" s="8739"/>
      <c r="BT2" s="8739"/>
      <c r="BU2" s="8739"/>
      <c r="BV2" s="8739"/>
      <c r="BW2" s="8739"/>
      <c r="BX2" s="8739"/>
      <c r="BY2" s="8740"/>
      <c r="BZ2" s="8738"/>
      <c r="CA2" s="8739"/>
      <c r="CB2" s="8739"/>
      <c r="CC2" s="8739"/>
      <c r="CD2" s="8739"/>
      <c r="CE2" s="8739"/>
      <c r="CF2" s="8739"/>
      <c r="CG2" s="8740"/>
      <c r="CH2" s="8738"/>
      <c r="CI2" s="8739"/>
      <c r="CJ2" s="8739"/>
      <c r="CK2" s="8739"/>
      <c r="CL2" s="8739"/>
      <c r="CM2" s="8739"/>
      <c r="CN2" s="8739"/>
      <c r="CO2" s="8740"/>
      <c r="CP2" s="8738"/>
      <c r="CQ2" s="8739"/>
      <c r="CR2" s="8739"/>
      <c r="CS2" s="8739"/>
      <c r="CT2" s="8739"/>
      <c r="CU2" s="8739"/>
      <c r="CV2" s="8739"/>
      <c r="CW2" s="8740"/>
      <c r="CX2" s="8738"/>
      <c r="CY2" s="8739"/>
      <c r="CZ2" s="8739"/>
      <c r="DA2" s="8739"/>
      <c r="DB2" s="8739"/>
      <c r="DC2" s="8739"/>
      <c r="DD2" s="8739"/>
      <c r="DE2" s="8740"/>
      <c r="DF2" s="2414"/>
      <c r="DG2" s="1428" t="s">
        <v>408</v>
      </c>
      <c r="DI2" s="670"/>
      <c r="DJ2" s="670" t="str">
        <f>IF(T2="","",T2)</f>
        <v>Наименование тарифа</v>
      </c>
      <c r="DK2" s="670"/>
      <c r="DL2" s="670"/>
      <c r="DM2" s="1325">
        <v>0</v>
      </c>
    </row>
    <row customHeight="1" ht="21" hidden="1">
      <c r="A3" s="1533"/>
      <c r="B3" s="1533"/>
      <c r="C3" s="1533"/>
      <c r="D3" s="1533"/>
      <c r="E3" s="2429"/>
      <c r="F3" s="2428">
        <v>1</v>
      </c>
      <c r="G3" s="1533"/>
      <c r="H3" s="1533"/>
      <c r="I3" s="1533"/>
      <c r="J3" s="1533"/>
      <c r="K3" s="1533"/>
      <c r="L3" s="1534"/>
      <c r="M3" s="1535"/>
      <c r="N3" s="1535"/>
      <c r="O3" s="1535"/>
      <c r="P3" s="1474"/>
      <c r="Q3" s="522"/>
      <c r="R3" s="523"/>
      <c r="S3" s="1479">
        <f>INDEX(PT_DIFFERENTIATION_NUM_TER,MATCH(B3,PT_DIFFERENTIATION_TER_ID,0))</f>
      </c>
      <c r="T3" s="478" t="s">
        <v>409</v>
      </c>
      <c r="U3" s="470"/>
      <c r="V3" s="2412"/>
      <c r="W3" s="2413"/>
      <c r="X3" s="2413"/>
      <c r="Y3" s="2413"/>
      <c r="Z3" s="2413"/>
      <c r="AA3" s="2413"/>
      <c r="AB3" s="2413"/>
      <c r="AC3" s="2414"/>
      <c r="AD3" s="2412">
        <f>INDEX(PT_DIFFERENTIATION_TER,MATCH(B3,PT_DIFFERENTIATION_TER_ID,0))</f>
      </c>
      <c r="AE3" s="2413"/>
      <c r="AF3" s="2413"/>
      <c r="AG3" s="2413"/>
      <c r="AH3" s="2413"/>
      <c r="AI3" s="2413"/>
      <c r="AJ3" s="2413"/>
      <c r="AK3" s="2413"/>
      <c r="AL3" s="8738"/>
      <c r="AM3" s="8739"/>
      <c r="AN3" s="8739"/>
      <c r="AO3" s="8739"/>
      <c r="AP3" s="8739"/>
      <c r="AQ3" s="8739"/>
      <c r="AR3" s="8739"/>
      <c r="AS3" s="8740"/>
      <c r="AT3" s="8738"/>
      <c r="AU3" s="8739"/>
      <c r="AV3" s="8739"/>
      <c r="AW3" s="8739"/>
      <c r="AX3" s="8739"/>
      <c r="AY3" s="8739"/>
      <c r="AZ3" s="8739"/>
      <c r="BA3" s="8740"/>
      <c r="BB3" s="8738"/>
      <c r="BC3" s="8739"/>
      <c r="BD3" s="8739"/>
      <c r="BE3" s="8739"/>
      <c r="BF3" s="8739"/>
      <c r="BG3" s="8739"/>
      <c r="BH3" s="8739"/>
      <c r="BI3" s="8740"/>
      <c r="BJ3" s="8738"/>
      <c r="BK3" s="8739"/>
      <c r="BL3" s="8739"/>
      <c r="BM3" s="8739"/>
      <c r="BN3" s="8739"/>
      <c r="BO3" s="8739"/>
      <c r="BP3" s="8739"/>
      <c r="BQ3" s="8740"/>
      <c r="BR3" s="8738"/>
      <c r="BS3" s="8739"/>
      <c r="BT3" s="8739"/>
      <c r="BU3" s="8739"/>
      <c r="BV3" s="8739"/>
      <c r="BW3" s="8739"/>
      <c r="BX3" s="8739"/>
      <c r="BY3" s="8740"/>
      <c r="BZ3" s="8738"/>
      <c r="CA3" s="8739"/>
      <c r="CB3" s="8739"/>
      <c r="CC3" s="8739"/>
      <c r="CD3" s="8739"/>
      <c r="CE3" s="8739"/>
      <c r="CF3" s="8739"/>
      <c r="CG3" s="8740"/>
      <c r="CH3" s="8738"/>
      <c r="CI3" s="8739"/>
      <c r="CJ3" s="8739"/>
      <c r="CK3" s="8739"/>
      <c r="CL3" s="8739"/>
      <c r="CM3" s="8739"/>
      <c r="CN3" s="8739"/>
      <c r="CO3" s="8740"/>
      <c r="CP3" s="8738"/>
      <c r="CQ3" s="8739"/>
      <c r="CR3" s="8739"/>
      <c r="CS3" s="8739"/>
      <c r="CT3" s="8739"/>
      <c r="CU3" s="8739"/>
      <c r="CV3" s="8739"/>
      <c r="CW3" s="8740"/>
      <c r="CX3" s="8738"/>
      <c r="CY3" s="8739"/>
      <c r="CZ3" s="8739"/>
      <c r="DA3" s="8739"/>
      <c r="DB3" s="8739"/>
      <c r="DC3" s="8739"/>
      <c r="DD3" s="8739"/>
      <c r="DE3" s="8740"/>
      <c r="DF3" s="2414"/>
      <c r="DG3" s="1428" t="s">
        <v>410</v>
      </c>
      <c r="DI3" s="670"/>
      <c r="DJ3" s="670" t="str">
        <f>IF(T3="","",T3)</f>
        <v>Территория действия тарифа</v>
      </c>
      <c r="DK3" s="670"/>
      <c r="DL3" s="670"/>
      <c r="DM3" s="1325">
        <v>0</v>
      </c>
    </row>
    <row customHeight="1" ht="23.25" hidden="1">
      <c r="A4" s="1533"/>
      <c r="B4" s="1533"/>
      <c r="C4" s="1533"/>
      <c r="D4" s="1533"/>
      <c r="E4" s="2429"/>
      <c r="F4" s="2429"/>
      <c r="G4" s="2428">
        <v>1</v>
      </c>
      <c r="H4" s="1533"/>
      <c r="I4" s="1533"/>
      <c r="J4" s="1533"/>
      <c r="K4" s="1533"/>
      <c r="L4" s="1534"/>
      <c r="M4" s="1535"/>
      <c r="N4" s="1535"/>
      <c r="O4" s="1535"/>
      <c r="P4" s="524"/>
      <c r="Q4" s="522"/>
      <c r="R4" s="523"/>
      <c r="S4" s="1479">
        <f>INDEX(PT_DIFFERENTIATION_NUM_CS,MATCH(C4,PT_DIFFERENTIATION_CS_ID,0))</f>
      </c>
      <c r="T4" s="479" t="s">
        <v>411</v>
      </c>
      <c r="U4" s="470"/>
      <c r="V4" s="2412"/>
      <c r="W4" s="2413"/>
      <c r="X4" s="2413"/>
      <c r="Y4" s="2413"/>
      <c r="Z4" s="2413"/>
      <c r="AA4" s="2413"/>
      <c r="AB4" s="2413"/>
      <c r="AC4" s="2414"/>
      <c r="AD4" s="2412">
        <f>INDEX(PT_DIFFERENTIATION_CS,MATCH(C4,PT_DIFFERENTIATION_CS_ID,0))</f>
      </c>
      <c r="AE4" s="2413"/>
      <c r="AF4" s="2413"/>
      <c r="AG4" s="2413"/>
      <c r="AH4" s="2413"/>
      <c r="AI4" s="2413"/>
      <c r="AJ4" s="2413"/>
      <c r="AK4" s="2413"/>
      <c r="AL4" s="8738"/>
      <c r="AM4" s="8739"/>
      <c r="AN4" s="8739"/>
      <c r="AO4" s="8739"/>
      <c r="AP4" s="8739"/>
      <c r="AQ4" s="8739"/>
      <c r="AR4" s="8739"/>
      <c r="AS4" s="8740"/>
      <c r="AT4" s="8738"/>
      <c r="AU4" s="8739"/>
      <c r="AV4" s="8739"/>
      <c r="AW4" s="8739"/>
      <c r="AX4" s="8739"/>
      <c r="AY4" s="8739"/>
      <c r="AZ4" s="8739"/>
      <c r="BA4" s="8740"/>
      <c r="BB4" s="8738"/>
      <c r="BC4" s="8739"/>
      <c r="BD4" s="8739"/>
      <c r="BE4" s="8739"/>
      <c r="BF4" s="8739"/>
      <c r="BG4" s="8739"/>
      <c r="BH4" s="8739"/>
      <c r="BI4" s="8740"/>
      <c r="BJ4" s="8738"/>
      <c r="BK4" s="8739"/>
      <c r="BL4" s="8739"/>
      <c r="BM4" s="8739"/>
      <c r="BN4" s="8739"/>
      <c r="BO4" s="8739"/>
      <c r="BP4" s="8739"/>
      <c r="BQ4" s="8740"/>
      <c r="BR4" s="8738"/>
      <c r="BS4" s="8739"/>
      <c r="BT4" s="8739"/>
      <c r="BU4" s="8739"/>
      <c r="BV4" s="8739"/>
      <c r="BW4" s="8739"/>
      <c r="BX4" s="8739"/>
      <c r="BY4" s="8740"/>
      <c r="BZ4" s="8738"/>
      <c r="CA4" s="8739"/>
      <c r="CB4" s="8739"/>
      <c r="CC4" s="8739"/>
      <c r="CD4" s="8739"/>
      <c r="CE4" s="8739"/>
      <c r="CF4" s="8739"/>
      <c r="CG4" s="8740"/>
      <c r="CH4" s="8738"/>
      <c r="CI4" s="8739"/>
      <c r="CJ4" s="8739"/>
      <c r="CK4" s="8739"/>
      <c r="CL4" s="8739"/>
      <c r="CM4" s="8739"/>
      <c r="CN4" s="8739"/>
      <c r="CO4" s="8740"/>
      <c r="CP4" s="8738"/>
      <c r="CQ4" s="8739"/>
      <c r="CR4" s="8739"/>
      <c r="CS4" s="8739"/>
      <c r="CT4" s="8739"/>
      <c r="CU4" s="8739"/>
      <c r="CV4" s="8739"/>
      <c r="CW4" s="8740"/>
      <c r="CX4" s="8738"/>
      <c r="CY4" s="8739"/>
      <c r="CZ4" s="8739"/>
      <c r="DA4" s="8739"/>
      <c r="DB4" s="8739"/>
      <c r="DC4" s="8739"/>
      <c r="DD4" s="8739"/>
      <c r="DE4" s="8740"/>
      <c r="DF4" s="2414"/>
      <c r="DG4" s="1428" t="s">
        <v>412</v>
      </c>
      <c r="DI4" s="670"/>
      <c r="DJ4" s="670" t="str">
        <f>IF(T4="","",T4)</f>
        <v>Наименование системы теплоснабжения </v>
      </c>
      <c r="DK4" s="670"/>
      <c r="DL4" s="670"/>
      <c r="DM4" s="1325">
        <v>0</v>
      </c>
    </row>
    <row customHeight="1" ht="21" hidden="1">
      <c r="A5" s="1533"/>
      <c r="B5" s="1533"/>
      <c r="C5" s="1533"/>
      <c r="D5" s="1533"/>
      <c r="E5" s="2429"/>
      <c r="F5" s="2429"/>
      <c r="G5" s="2429"/>
      <c r="H5" s="2428">
        <v>1</v>
      </c>
      <c r="I5" s="1533"/>
      <c r="J5" s="1533"/>
      <c r="K5" s="1533"/>
      <c r="L5" s="1534"/>
      <c r="M5" s="1535"/>
      <c r="N5" s="1535"/>
      <c r="O5" s="1535"/>
      <c r="P5" s="524"/>
      <c r="Q5" s="522"/>
      <c r="R5" s="523"/>
      <c r="S5" s="1479">
        <f>INDEX(PT_DIFFERENTIATION_NUM_IST_TE,MATCH(D5,PT_DIFFERENTIATION_IST_TE_ID,0))</f>
      </c>
      <c r="T5" s="480" t="s">
        <v>413</v>
      </c>
      <c r="U5" s="470"/>
      <c r="V5" s="2412"/>
      <c r="W5" s="2413"/>
      <c r="X5" s="2413"/>
      <c r="Y5" s="2413"/>
      <c r="Z5" s="2413"/>
      <c r="AA5" s="2413"/>
      <c r="AB5" s="2413"/>
      <c r="AC5" s="2414"/>
      <c r="AD5" s="2412">
        <f>INDEX(PT_DIFFERENTIATION_IST_TE,MATCH(D5,PT_DIFFERENTIATION_IST_TE_ID,0))</f>
      </c>
      <c r="AE5" s="2413"/>
      <c r="AF5" s="2413"/>
      <c r="AG5" s="2413"/>
      <c r="AH5" s="2413"/>
      <c r="AI5" s="2413"/>
      <c r="AJ5" s="2413"/>
      <c r="AK5" s="2413"/>
      <c r="AL5" s="8738"/>
      <c r="AM5" s="8739"/>
      <c r="AN5" s="8739"/>
      <c r="AO5" s="8739"/>
      <c r="AP5" s="8739"/>
      <c r="AQ5" s="8739"/>
      <c r="AR5" s="8739"/>
      <c r="AS5" s="8740"/>
      <c r="AT5" s="8738"/>
      <c r="AU5" s="8739"/>
      <c r="AV5" s="8739"/>
      <c r="AW5" s="8739"/>
      <c r="AX5" s="8739"/>
      <c r="AY5" s="8739"/>
      <c r="AZ5" s="8739"/>
      <c r="BA5" s="8740"/>
      <c r="BB5" s="8738"/>
      <c r="BC5" s="8739"/>
      <c r="BD5" s="8739"/>
      <c r="BE5" s="8739"/>
      <c r="BF5" s="8739"/>
      <c r="BG5" s="8739"/>
      <c r="BH5" s="8739"/>
      <c r="BI5" s="8740"/>
      <c r="BJ5" s="8738"/>
      <c r="BK5" s="8739"/>
      <c r="BL5" s="8739"/>
      <c r="BM5" s="8739"/>
      <c r="BN5" s="8739"/>
      <c r="BO5" s="8739"/>
      <c r="BP5" s="8739"/>
      <c r="BQ5" s="8740"/>
      <c r="BR5" s="8738"/>
      <c r="BS5" s="8739"/>
      <c r="BT5" s="8739"/>
      <c r="BU5" s="8739"/>
      <c r="BV5" s="8739"/>
      <c r="BW5" s="8739"/>
      <c r="BX5" s="8739"/>
      <c r="BY5" s="8740"/>
      <c r="BZ5" s="8738"/>
      <c r="CA5" s="8739"/>
      <c r="CB5" s="8739"/>
      <c r="CC5" s="8739"/>
      <c r="CD5" s="8739"/>
      <c r="CE5" s="8739"/>
      <c r="CF5" s="8739"/>
      <c r="CG5" s="8740"/>
      <c r="CH5" s="8738"/>
      <c r="CI5" s="8739"/>
      <c r="CJ5" s="8739"/>
      <c r="CK5" s="8739"/>
      <c r="CL5" s="8739"/>
      <c r="CM5" s="8739"/>
      <c r="CN5" s="8739"/>
      <c r="CO5" s="8740"/>
      <c r="CP5" s="8738"/>
      <c r="CQ5" s="8739"/>
      <c r="CR5" s="8739"/>
      <c r="CS5" s="8739"/>
      <c r="CT5" s="8739"/>
      <c r="CU5" s="8739"/>
      <c r="CV5" s="8739"/>
      <c r="CW5" s="8740"/>
      <c r="CX5" s="8738"/>
      <c r="CY5" s="8739"/>
      <c r="CZ5" s="8739"/>
      <c r="DA5" s="8739"/>
      <c r="DB5" s="8739"/>
      <c r="DC5" s="8739"/>
      <c r="DD5" s="8739"/>
      <c r="DE5" s="8740"/>
      <c r="DF5" s="2414"/>
      <c r="DG5" s="1428" t="s">
        <v>414</v>
      </c>
      <c r="DI5" s="670"/>
      <c r="DJ5" s="670" t="str">
        <f>IF(T5="","",T5)</f>
        <v>Источник тепловой энергии  </v>
      </c>
      <c r="DK5" s="670"/>
      <c r="DL5" s="670"/>
      <c r="DM5" s="1325">
        <v>0</v>
      </c>
    </row>
    <row customHeight="1" ht="47.25" hidden="1">
      <c r="A6" s="1533"/>
      <c r="B6" s="1533"/>
      <c r="C6" s="1533"/>
      <c r="D6" s="1533"/>
      <c r="E6" s="2429"/>
      <c r="F6" s="2429"/>
      <c r="G6" s="2429"/>
      <c r="H6" s="2429"/>
      <c r="I6" s="2426">
        <f>S5&amp;".1"</f>
      </c>
      <c r="J6" s="1533"/>
      <c r="K6" s="1533"/>
      <c r="L6" s="1534" t="s">
        <v>415</v>
      </c>
      <c r="M6" s="707"/>
      <c r="P6" s="2427">
        <v>1</v>
      </c>
      <c r="Q6" s="1475"/>
      <c r="R6" s="526"/>
      <c r="S6" s="1479">
        <f>$I6</f>
      </c>
      <c r="T6" s="455" t="s">
        <v>416</v>
      </c>
      <c r="U6" s="470"/>
      <c r="V6" s="2415"/>
      <c r="W6" s="2416"/>
      <c r="X6" s="2416"/>
      <c r="Y6" s="2416"/>
      <c r="Z6" s="2416"/>
      <c r="AA6" s="2416"/>
      <c r="AB6" s="2416"/>
      <c r="AC6" s="2417"/>
      <c r="AD6" s="2415"/>
      <c r="AE6" s="2416"/>
      <c r="AF6" s="2416"/>
      <c r="AG6" s="2416"/>
      <c r="AH6" s="2416"/>
      <c r="AI6" s="2416"/>
      <c r="AJ6" s="2416"/>
      <c r="AK6" s="2416"/>
      <c r="AL6" s="8759"/>
      <c r="AM6" s="8760"/>
      <c r="AN6" s="8760"/>
      <c r="AO6" s="8760"/>
      <c r="AP6" s="8760"/>
      <c r="AQ6" s="8760"/>
      <c r="AR6" s="8760"/>
      <c r="AS6" s="8761"/>
      <c r="AT6" s="8759"/>
      <c r="AU6" s="8760"/>
      <c r="AV6" s="8760"/>
      <c r="AW6" s="8760"/>
      <c r="AX6" s="8760"/>
      <c r="AY6" s="8760"/>
      <c r="AZ6" s="8760"/>
      <c r="BA6" s="8761"/>
      <c r="BB6" s="8759"/>
      <c r="BC6" s="8760"/>
      <c r="BD6" s="8760"/>
      <c r="BE6" s="8760"/>
      <c r="BF6" s="8760"/>
      <c r="BG6" s="8760"/>
      <c r="BH6" s="8760"/>
      <c r="BI6" s="8761"/>
      <c r="BJ6" s="8759"/>
      <c r="BK6" s="8760"/>
      <c r="BL6" s="8760"/>
      <c r="BM6" s="8760"/>
      <c r="BN6" s="8760"/>
      <c r="BO6" s="8760"/>
      <c r="BP6" s="8760"/>
      <c r="BQ6" s="8761"/>
      <c r="BR6" s="8759"/>
      <c r="BS6" s="8760"/>
      <c r="BT6" s="8760"/>
      <c r="BU6" s="8760"/>
      <c r="BV6" s="8760"/>
      <c r="BW6" s="8760"/>
      <c r="BX6" s="8760"/>
      <c r="BY6" s="8761"/>
      <c r="BZ6" s="8759"/>
      <c r="CA6" s="8760"/>
      <c r="CB6" s="8760"/>
      <c r="CC6" s="8760"/>
      <c r="CD6" s="8760"/>
      <c r="CE6" s="8760"/>
      <c r="CF6" s="8760"/>
      <c r="CG6" s="8761"/>
      <c r="CH6" s="8759"/>
      <c r="CI6" s="8760"/>
      <c r="CJ6" s="8760"/>
      <c r="CK6" s="8760"/>
      <c r="CL6" s="8760"/>
      <c r="CM6" s="8760"/>
      <c r="CN6" s="8760"/>
      <c r="CO6" s="8761"/>
      <c r="CP6" s="8759"/>
      <c r="CQ6" s="8760"/>
      <c r="CR6" s="8760"/>
      <c r="CS6" s="8760"/>
      <c r="CT6" s="8760"/>
      <c r="CU6" s="8760"/>
      <c r="CV6" s="8760"/>
      <c r="CW6" s="8761"/>
      <c r="CX6" s="8759"/>
      <c r="CY6" s="8760"/>
      <c r="CZ6" s="8760"/>
      <c r="DA6" s="8760"/>
      <c r="DB6" s="8760"/>
      <c r="DC6" s="8760"/>
      <c r="DD6" s="8760"/>
      <c r="DE6" s="8761"/>
      <c r="DF6" s="2417"/>
      <c r="DG6" s="1428" t="s">
        <v>417</v>
      </c>
      <c r="DI6" s="670"/>
      <c r="DJ6" s="670" t="str">
        <f>IF(T6="","",T6)</f>
        <v>Схема подключения теплопотребляющей установки к коллектору источника тепловой энергии</v>
      </c>
      <c r="DK6" s="670"/>
      <c r="DL6" s="670"/>
      <c r="DM6" s="1325">
        <v>0</v>
      </c>
    </row>
    <row customHeight="1" ht="21" hidden="1">
      <c r="A7" s="1533"/>
      <c r="B7" s="1533"/>
      <c r="C7" s="1533"/>
      <c r="D7" s="1533"/>
      <c r="E7" s="2429"/>
      <c r="F7" s="2429"/>
      <c r="G7" s="2429"/>
      <c r="H7" s="2429"/>
      <c r="I7" s="2456"/>
      <c r="J7" s="2426">
        <f>I6&amp;".1"</f>
      </c>
      <c r="K7" s="1533"/>
      <c r="L7" s="1534" t="s">
        <v>418</v>
      </c>
      <c r="M7" s="707"/>
      <c r="N7" s="1536"/>
      <c r="P7" s="2427"/>
      <c r="Q7" s="2427">
        <v>1</v>
      </c>
      <c r="R7" s="527"/>
      <c r="S7" s="1479">
        <f>$J7</f>
      </c>
      <c r="T7" s="456" t="s">
        <v>419</v>
      </c>
      <c r="U7" s="470"/>
      <c r="V7" s="2415"/>
      <c r="W7" s="2416"/>
      <c r="X7" s="2416"/>
      <c r="Y7" s="2416"/>
      <c r="Z7" s="2416"/>
      <c r="AA7" s="2416"/>
      <c r="AB7" s="2416"/>
      <c r="AC7" s="2417"/>
      <c r="AD7" s="2415"/>
      <c r="AE7" s="2416"/>
      <c r="AF7" s="2416"/>
      <c r="AG7" s="2416"/>
      <c r="AH7" s="2416"/>
      <c r="AI7" s="2416"/>
      <c r="AJ7" s="2416"/>
      <c r="AK7" s="2416"/>
      <c r="AL7" s="8759"/>
      <c r="AM7" s="8760"/>
      <c r="AN7" s="8760"/>
      <c r="AO7" s="8760"/>
      <c r="AP7" s="8760"/>
      <c r="AQ7" s="8760"/>
      <c r="AR7" s="8760"/>
      <c r="AS7" s="8761"/>
      <c r="AT7" s="8759"/>
      <c r="AU7" s="8760"/>
      <c r="AV7" s="8760"/>
      <c r="AW7" s="8760"/>
      <c r="AX7" s="8760"/>
      <c r="AY7" s="8760"/>
      <c r="AZ7" s="8760"/>
      <c r="BA7" s="8761"/>
      <c r="BB7" s="8759"/>
      <c r="BC7" s="8760"/>
      <c r="BD7" s="8760"/>
      <c r="BE7" s="8760"/>
      <c r="BF7" s="8760"/>
      <c r="BG7" s="8760"/>
      <c r="BH7" s="8760"/>
      <c r="BI7" s="8761"/>
      <c r="BJ7" s="8759"/>
      <c r="BK7" s="8760"/>
      <c r="BL7" s="8760"/>
      <c r="BM7" s="8760"/>
      <c r="BN7" s="8760"/>
      <c r="BO7" s="8760"/>
      <c r="BP7" s="8760"/>
      <c r="BQ7" s="8761"/>
      <c r="BR7" s="8759"/>
      <c r="BS7" s="8760"/>
      <c r="BT7" s="8760"/>
      <c r="BU7" s="8760"/>
      <c r="BV7" s="8760"/>
      <c r="BW7" s="8760"/>
      <c r="BX7" s="8760"/>
      <c r="BY7" s="8761"/>
      <c r="BZ7" s="8759"/>
      <c r="CA7" s="8760"/>
      <c r="CB7" s="8760"/>
      <c r="CC7" s="8760"/>
      <c r="CD7" s="8760"/>
      <c r="CE7" s="8760"/>
      <c r="CF7" s="8760"/>
      <c r="CG7" s="8761"/>
      <c r="CH7" s="8759"/>
      <c r="CI7" s="8760"/>
      <c r="CJ7" s="8760"/>
      <c r="CK7" s="8760"/>
      <c r="CL7" s="8760"/>
      <c r="CM7" s="8760"/>
      <c r="CN7" s="8760"/>
      <c r="CO7" s="8761"/>
      <c r="CP7" s="8759"/>
      <c r="CQ7" s="8760"/>
      <c r="CR7" s="8760"/>
      <c r="CS7" s="8760"/>
      <c r="CT7" s="8760"/>
      <c r="CU7" s="8760"/>
      <c r="CV7" s="8760"/>
      <c r="CW7" s="8761"/>
      <c r="CX7" s="8759"/>
      <c r="CY7" s="8760"/>
      <c r="CZ7" s="8760"/>
      <c r="DA7" s="8760"/>
      <c r="DB7" s="8760"/>
      <c r="DC7" s="8760"/>
      <c r="DD7" s="8760"/>
      <c r="DE7" s="8761"/>
      <c r="DF7" s="2417"/>
      <c r="DG7" s="1428" t="s">
        <v>420</v>
      </c>
      <c r="DI7" s="670"/>
      <c r="DJ7" s="670" t="str">
        <f>IF(T7="","",T7)</f>
        <v>Группа потребителей</v>
      </c>
      <c r="DK7" s="670"/>
      <c r="DL7" s="670"/>
      <c r="DM7" s="1325">
        <v>0</v>
      </c>
    </row>
    <row customHeight="1" ht="21" hidden="1">
      <c r="A8" s="1533"/>
      <c r="B8" s="1533"/>
      <c r="C8" s="1533"/>
      <c r="D8" s="1533"/>
      <c r="E8" s="2429"/>
      <c r="F8" s="2429"/>
      <c r="G8" s="2429"/>
      <c r="H8" s="2429"/>
      <c r="I8" s="2456"/>
      <c r="J8" s="2456"/>
      <c r="K8" s="2426">
        <f>J7&amp;".1"</f>
      </c>
      <c r="L8" s="1534" t="s">
        <v>421</v>
      </c>
      <c r="M8" s="707"/>
      <c r="N8" s="1536"/>
      <c r="O8" s="1536"/>
      <c r="P8" s="2427"/>
      <c r="Q8" s="2427"/>
      <c r="R8" s="527">
        <v>1</v>
      </c>
      <c r="S8" s="1479">
        <f>$K8</f>
      </c>
      <c r="T8" s="1517"/>
      <c r="U8" s="470"/>
      <c r="V8" s="921"/>
      <c r="W8" s="495"/>
      <c r="X8" s="921"/>
      <c r="Y8" s="1427"/>
      <c r="Z8" s="2435"/>
      <c r="AA8" s="2277" t="s">
        <v>64</v>
      </c>
      <c r="AB8" s="2435"/>
      <c r="AC8" s="2277" t="s">
        <v>64</v>
      </c>
      <c r="AD8" s="921"/>
      <c r="AE8" s="495"/>
      <c r="AF8" s="921"/>
      <c r="AG8" s="1427"/>
      <c r="AH8" s="2435"/>
      <c r="AI8" s="2277" t="s">
        <v>64</v>
      </c>
      <c r="AJ8" s="2435"/>
      <c r="AK8" s="2277" t="s">
        <v>64</v>
      </c>
      <c r="AL8" s="8771"/>
      <c r="AM8" s="8772"/>
      <c r="AN8" s="8771"/>
      <c r="AO8" s="8773"/>
      <c r="AP8" s="8774"/>
      <c r="AQ8" s="8192" t="s">
        <v>64</v>
      </c>
      <c r="AR8" s="8774"/>
      <c r="AS8" s="8192" t="s">
        <v>64</v>
      </c>
      <c r="AT8" s="8771"/>
      <c r="AU8" s="8772"/>
      <c r="AV8" s="8771"/>
      <c r="AW8" s="8773"/>
      <c r="AX8" s="8774"/>
      <c r="AY8" s="8192" t="s">
        <v>64</v>
      </c>
      <c r="AZ8" s="8774"/>
      <c r="BA8" s="8192" t="s">
        <v>64</v>
      </c>
      <c r="BB8" s="8771"/>
      <c r="BC8" s="8772"/>
      <c r="BD8" s="8771"/>
      <c r="BE8" s="8773"/>
      <c r="BF8" s="8774"/>
      <c r="BG8" s="8192" t="s">
        <v>64</v>
      </c>
      <c r="BH8" s="8774"/>
      <c r="BI8" s="8192" t="s">
        <v>64</v>
      </c>
      <c r="BJ8" s="8771"/>
      <c r="BK8" s="8772"/>
      <c r="BL8" s="8771"/>
      <c r="BM8" s="8773"/>
      <c r="BN8" s="8774"/>
      <c r="BO8" s="8192" t="s">
        <v>64</v>
      </c>
      <c r="BP8" s="8774"/>
      <c r="BQ8" s="8192" t="s">
        <v>64</v>
      </c>
      <c r="BR8" s="8771"/>
      <c r="BS8" s="8772"/>
      <c r="BT8" s="8771"/>
      <c r="BU8" s="8773"/>
      <c r="BV8" s="8774"/>
      <c r="BW8" s="8192" t="s">
        <v>64</v>
      </c>
      <c r="BX8" s="8774"/>
      <c r="BY8" s="8192" t="s">
        <v>64</v>
      </c>
      <c r="BZ8" s="8771"/>
      <c r="CA8" s="8772"/>
      <c r="CB8" s="8771"/>
      <c r="CC8" s="8773"/>
      <c r="CD8" s="8774"/>
      <c r="CE8" s="8192" t="s">
        <v>64</v>
      </c>
      <c r="CF8" s="8774"/>
      <c r="CG8" s="8192" t="s">
        <v>64</v>
      </c>
      <c r="CH8" s="8771"/>
      <c r="CI8" s="8772"/>
      <c r="CJ8" s="8771"/>
      <c r="CK8" s="8773"/>
      <c r="CL8" s="8774"/>
      <c r="CM8" s="8192" t="s">
        <v>64</v>
      </c>
      <c r="CN8" s="8774"/>
      <c r="CO8" s="8192" t="s">
        <v>64</v>
      </c>
      <c r="CP8" s="8771"/>
      <c r="CQ8" s="8772"/>
      <c r="CR8" s="8771"/>
      <c r="CS8" s="8773"/>
      <c r="CT8" s="8774"/>
      <c r="CU8" s="8192" t="s">
        <v>64</v>
      </c>
      <c r="CV8" s="8774"/>
      <c r="CW8" s="8192" t="s">
        <v>64</v>
      </c>
      <c r="CX8" s="8771"/>
      <c r="CY8" s="8772"/>
      <c r="CZ8" s="8771"/>
      <c r="DA8" s="8773"/>
      <c r="DB8" s="8774"/>
      <c r="DC8" s="8192" t="s">
        <v>64</v>
      </c>
      <c r="DD8" s="8774"/>
      <c r="DE8" s="8192" t="s">
        <v>64</v>
      </c>
      <c r="DF8" s="495"/>
      <c r="DG8" s="2423" t="s">
        <v>422</v>
      </c>
      <c r="DH8" s="681">
        <f>STRCHECKDATE(V9:DF9)</f>
      </c>
      <c r="DI8" s="670"/>
      <c r="DJ8" s="670" t="str">
        <f>IF(T8="","",T8)</f>
        <v/>
      </c>
      <c r="DK8" s="670"/>
      <c r="DL8" s="670"/>
      <c r="DM8" s="1325">
        <v>0</v>
      </c>
    </row>
    <row customHeight="1" ht="0.75" hidden="1">
      <c r="A9" s="1533"/>
      <c r="B9" s="1533"/>
      <c r="C9" s="1533"/>
      <c r="D9" s="1533"/>
      <c r="E9" s="2429"/>
      <c r="F9" s="2429"/>
      <c r="G9" s="2429"/>
      <c r="H9" s="2429"/>
      <c r="I9" s="2456"/>
      <c r="J9" s="2456"/>
      <c r="K9" s="2426"/>
      <c r="L9" s="1534"/>
      <c r="M9" s="707"/>
      <c r="N9" s="1536"/>
      <c r="O9" s="1536"/>
      <c r="P9" s="2427"/>
      <c r="Q9" s="2427"/>
      <c r="R9" s="527"/>
      <c r="S9" s="1476"/>
      <c r="T9" s="470"/>
      <c r="U9" s="470"/>
      <c r="V9" s="495"/>
      <c r="W9" s="495"/>
      <c r="X9" s="495"/>
      <c r="Y9" s="498" t="str">
        <f>Z8&amp;"-"&amp;AB8</f>
        <v>-</v>
      </c>
      <c r="Z9" s="2436"/>
      <c r="AA9" s="2277"/>
      <c r="AB9" s="2436"/>
      <c r="AC9" s="2277"/>
      <c r="AD9" s="495"/>
      <c r="AE9" s="495"/>
      <c r="AF9" s="495"/>
      <c r="AG9" s="498" t="str">
        <f>AH8&amp;"-"&amp;AJ8</f>
        <v>-</v>
      </c>
      <c r="AH9" s="2436"/>
      <c r="AI9" s="2277"/>
      <c r="AJ9" s="2436"/>
      <c r="AK9" s="2277"/>
      <c r="AL9" s="8772"/>
      <c r="AM9" s="8772"/>
      <c r="AN9" s="8772"/>
      <c r="AO9" s="8779" t="str">
        <f>AP8&amp;"-"&amp;AR8</f>
        <v>-</v>
      </c>
      <c r="AP9" s="8780"/>
      <c r="AQ9" s="8192"/>
      <c r="AR9" s="8780"/>
      <c r="AS9" s="8192"/>
      <c r="AT9" s="8772"/>
      <c r="AU9" s="8772"/>
      <c r="AV9" s="8772"/>
      <c r="AW9" s="8779" t="str">
        <f>AX8&amp;"-"&amp;AZ8</f>
        <v>-</v>
      </c>
      <c r="AX9" s="8780"/>
      <c r="AY9" s="8192"/>
      <c r="AZ9" s="8780"/>
      <c r="BA9" s="8192"/>
      <c r="BB9" s="8772"/>
      <c r="BC9" s="8772"/>
      <c r="BD9" s="8772"/>
      <c r="BE9" s="8779" t="str">
        <f>BF8&amp;"-"&amp;BH8</f>
        <v>-</v>
      </c>
      <c r="BF9" s="8780"/>
      <c r="BG9" s="8192"/>
      <c r="BH9" s="8780"/>
      <c r="BI9" s="8192"/>
      <c r="BJ9" s="8772"/>
      <c r="BK9" s="8772"/>
      <c r="BL9" s="8772"/>
      <c r="BM9" s="8779" t="str">
        <f>BN8&amp;"-"&amp;BP8</f>
        <v>-</v>
      </c>
      <c r="BN9" s="8780"/>
      <c r="BO9" s="8192"/>
      <c r="BP9" s="8780"/>
      <c r="BQ9" s="8192"/>
      <c r="BR9" s="8772"/>
      <c r="BS9" s="8772"/>
      <c r="BT9" s="8772"/>
      <c r="BU9" s="8779" t="str">
        <f>BV8&amp;"-"&amp;BX8</f>
        <v>-</v>
      </c>
      <c r="BV9" s="8780"/>
      <c r="BW9" s="8192"/>
      <c r="BX9" s="8780"/>
      <c r="BY9" s="8192"/>
      <c r="BZ9" s="8772"/>
      <c r="CA9" s="8772"/>
      <c r="CB9" s="8772"/>
      <c r="CC9" s="8779" t="str">
        <f>CD8&amp;"-"&amp;CF8</f>
        <v>-</v>
      </c>
      <c r="CD9" s="8780"/>
      <c r="CE9" s="8192"/>
      <c r="CF9" s="8780"/>
      <c r="CG9" s="8192"/>
      <c r="CH9" s="8772"/>
      <c r="CI9" s="8772"/>
      <c r="CJ9" s="8772"/>
      <c r="CK9" s="8779" t="str">
        <f>CL8&amp;"-"&amp;CN8</f>
        <v>-</v>
      </c>
      <c r="CL9" s="8780"/>
      <c r="CM9" s="8192"/>
      <c r="CN9" s="8780"/>
      <c r="CO9" s="8192"/>
      <c r="CP9" s="8772"/>
      <c r="CQ9" s="8772"/>
      <c r="CR9" s="8772"/>
      <c r="CS9" s="8779" t="str">
        <f>CT8&amp;"-"&amp;CV8</f>
        <v>-</v>
      </c>
      <c r="CT9" s="8780"/>
      <c r="CU9" s="8192"/>
      <c r="CV9" s="8780"/>
      <c r="CW9" s="8192"/>
      <c r="CX9" s="8772"/>
      <c r="CY9" s="8772"/>
      <c r="CZ9" s="8772"/>
      <c r="DA9" s="8779" t="str">
        <f>DB8&amp;"-"&amp;DD8</f>
        <v>-</v>
      </c>
      <c r="DB9" s="8780"/>
      <c r="DC9" s="8192"/>
      <c r="DD9" s="8780"/>
      <c r="DE9" s="8192"/>
      <c r="DF9" s="495"/>
      <c r="DG9" s="2424"/>
      <c r="DI9" s="670"/>
      <c r="DJ9" s="670" t="str">
        <f>IF(T9="","",T9)</f>
        <v/>
      </c>
      <c r="DK9" s="670"/>
      <c r="DL9" s="670"/>
      <c r="DM9" s="1325">
        <v>0</v>
      </c>
    </row>
    <row customHeight="1" ht="15" hidden="1">
      <c r="A10" s="1533"/>
      <c r="B10" s="1533"/>
      <c r="C10" s="1533"/>
      <c r="D10" s="1533"/>
      <c r="E10" s="2429"/>
      <c r="F10" s="2429"/>
      <c r="G10" s="2429"/>
      <c r="H10" s="2429"/>
      <c r="I10" s="2456"/>
      <c r="J10" s="2426"/>
      <c r="K10" s="1533"/>
      <c r="L10" s="1534"/>
      <c r="M10" s="707"/>
      <c r="N10" s="1536"/>
      <c r="P10" s="2427"/>
      <c r="Q10" s="2427"/>
      <c r="R10" s="526"/>
      <c r="S10" s="1448"/>
      <c r="T10" s="458" t="s">
        <v>423</v>
      </c>
      <c r="U10" s="537"/>
      <c r="V10" s="537"/>
      <c r="W10" s="537"/>
      <c r="X10" s="537"/>
      <c r="Y10" s="537"/>
      <c r="Z10" s="537"/>
      <c r="AA10" s="537"/>
      <c r="AB10" s="537"/>
      <c r="AC10" s="537"/>
      <c r="AD10" s="537"/>
      <c r="AE10" s="537"/>
      <c r="AF10" s="537"/>
      <c r="AG10" s="537"/>
      <c r="AH10" s="537"/>
      <c r="AI10" s="537"/>
      <c r="AJ10" s="537"/>
      <c r="AK10" s="537"/>
      <c r="AL10" s="8784"/>
      <c r="AM10" s="8785"/>
      <c r="AN10" s="8786"/>
      <c r="AO10" s="8787"/>
      <c r="AP10" s="8788"/>
      <c r="AQ10" s="8789"/>
      <c r="AR10" s="8790"/>
      <c r="AS10" s="8791"/>
      <c r="AT10" s="8792"/>
      <c r="AU10" s="8793"/>
      <c r="AV10" s="8794"/>
      <c r="AW10" s="8795"/>
      <c r="AX10" s="8796"/>
      <c r="AY10" s="8797"/>
      <c r="AZ10" s="8798"/>
      <c r="BA10" s="8799"/>
      <c r="BB10" s="8800"/>
      <c r="BC10" s="8801"/>
      <c r="BD10" s="8802"/>
      <c r="BE10" s="8803"/>
      <c r="BF10" s="8804"/>
      <c r="BG10" s="8805"/>
      <c r="BH10" s="8806"/>
      <c r="BI10" s="8807"/>
      <c r="BJ10" s="8808"/>
      <c r="BK10" s="8809"/>
      <c r="BL10" s="8810"/>
      <c r="BM10" s="8811"/>
      <c r="BN10" s="8812"/>
      <c r="BO10" s="8813"/>
      <c r="BP10" s="8814"/>
      <c r="BQ10" s="8815"/>
      <c r="BR10" s="8816"/>
      <c r="BS10" s="8817"/>
      <c r="BT10" s="8818"/>
      <c r="BU10" s="8819"/>
      <c r="BV10" s="8820"/>
      <c r="BW10" s="8821"/>
      <c r="BX10" s="8822"/>
      <c r="BY10" s="8823"/>
      <c r="BZ10" s="8824"/>
      <c r="CA10" s="8825"/>
      <c r="CB10" s="8826"/>
      <c r="CC10" s="8827"/>
      <c r="CD10" s="8828"/>
      <c r="CE10" s="8829"/>
      <c r="CF10" s="8830"/>
      <c r="CG10" s="8831"/>
      <c r="CH10" s="8832"/>
      <c r="CI10" s="8833"/>
      <c r="CJ10" s="8834"/>
      <c r="CK10" s="8835"/>
      <c r="CL10" s="8836"/>
      <c r="CM10" s="8837"/>
      <c r="CN10" s="8838"/>
      <c r="CO10" s="8839"/>
      <c r="CP10" s="8840"/>
      <c r="CQ10" s="8841"/>
      <c r="CR10" s="8842"/>
      <c r="CS10" s="8843"/>
      <c r="CT10" s="8844"/>
      <c r="CU10" s="8845"/>
      <c r="CV10" s="8846"/>
      <c r="CW10" s="8847"/>
      <c r="CX10" s="8848"/>
      <c r="CY10" s="8849"/>
      <c r="CZ10" s="8850"/>
      <c r="DA10" s="8851"/>
      <c r="DB10" s="8852"/>
      <c r="DC10" s="8853"/>
      <c r="DD10" s="8854"/>
      <c r="DE10" s="8855"/>
      <c r="DF10" s="494"/>
      <c r="DG10" s="2425"/>
      <c r="DI10" s="670"/>
      <c r="DJ10" s="670" t="str">
        <f>IF(T10="","",T10)</f>
        <v>Добавить вид теплоносителя (параметры теплоносителя)</v>
      </c>
      <c r="DK10" s="670"/>
      <c r="DL10" s="670"/>
      <c r="DM10" s="1325">
        <v>0</v>
      </c>
    </row>
    <row customHeight="1" ht="15" hidden="1">
      <c r="A11" s="1533"/>
      <c r="B11" s="1533"/>
      <c r="C11" s="1533"/>
      <c r="D11" s="1533"/>
      <c r="E11" s="2429"/>
      <c r="F11" s="2429"/>
      <c r="G11" s="2429"/>
      <c r="H11" s="2429"/>
      <c r="I11" s="2426"/>
      <c r="J11" s="1533"/>
      <c r="K11" s="1533"/>
      <c r="L11" s="1534"/>
      <c r="M11" s="707"/>
      <c r="P11" s="2427"/>
      <c r="Q11" s="1475"/>
      <c r="R11" s="526"/>
      <c r="S11" s="1448"/>
      <c r="T11" s="457" t="s">
        <v>424</v>
      </c>
      <c r="U11" s="537"/>
      <c r="V11" s="537"/>
      <c r="W11" s="537"/>
      <c r="X11" s="537"/>
      <c r="Y11" s="537"/>
      <c r="Z11" s="537"/>
      <c r="AA11" s="537"/>
      <c r="AB11" s="537"/>
      <c r="AC11" s="536"/>
      <c r="AD11" s="537"/>
      <c r="AE11" s="537"/>
      <c r="AF11" s="537"/>
      <c r="AG11" s="537"/>
      <c r="AH11" s="537"/>
      <c r="AI11" s="537"/>
      <c r="AJ11" s="537"/>
      <c r="AK11" s="536"/>
      <c r="AL11" s="8860"/>
      <c r="AM11" s="8861"/>
      <c r="AN11" s="8862"/>
      <c r="AO11" s="8863"/>
      <c r="AP11" s="8864"/>
      <c r="AQ11" s="8865"/>
      <c r="AR11" s="8866"/>
      <c r="AS11" s="8867"/>
      <c r="AT11" s="8868"/>
      <c r="AU11" s="8869"/>
      <c r="AV11" s="8870"/>
      <c r="AW11" s="8871"/>
      <c r="AX11" s="8872"/>
      <c r="AY11" s="8873"/>
      <c r="AZ11" s="8874"/>
      <c r="BA11" s="8875"/>
      <c r="BB11" s="8876"/>
      <c r="BC11" s="8877"/>
      <c r="BD11" s="8878"/>
      <c r="BE11" s="8879"/>
      <c r="BF11" s="8880"/>
      <c r="BG11" s="8881"/>
      <c r="BH11" s="8882"/>
      <c r="BI11" s="8883"/>
      <c r="BJ11" s="8884"/>
      <c r="BK11" s="8885"/>
      <c r="BL11" s="8886"/>
      <c r="BM11" s="8887"/>
      <c r="BN11" s="8888"/>
      <c r="BO11" s="8889"/>
      <c r="BP11" s="8890"/>
      <c r="BQ11" s="8891"/>
      <c r="BR11" s="8892"/>
      <c r="BS11" s="8893"/>
      <c r="BT11" s="8894"/>
      <c r="BU11" s="8895"/>
      <c r="BV11" s="8896"/>
      <c r="BW11" s="8897"/>
      <c r="BX11" s="8898"/>
      <c r="BY11" s="8899"/>
      <c r="BZ11" s="8900"/>
      <c r="CA11" s="8901"/>
      <c r="CB11" s="8902"/>
      <c r="CC11" s="8903"/>
      <c r="CD11" s="8904"/>
      <c r="CE11" s="8905"/>
      <c r="CF11" s="8906"/>
      <c r="CG11" s="8907"/>
      <c r="CH11" s="8908"/>
      <c r="CI11" s="8909"/>
      <c r="CJ11" s="8910"/>
      <c r="CK11" s="8911"/>
      <c r="CL11" s="8912"/>
      <c r="CM11" s="8913"/>
      <c r="CN11" s="8914"/>
      <c r="CO11" s="8915"/>
      <c r="CP11" s="8916"/>
      <c r="CQ11" s="8917"/>
      <c r="CR11" s="8918"/>
      <c r="CS11" s="8919"/>
      <c r="CT11" s="8920"/>
      <c r="CU11" s="8921"/>
      <c r="CV11" s="8922"/>
      <c r="CW11" s="8923"/>
      <c r="CX11" s="8924"/>
      <c r="CY11" s="8925"/>
      <c r="CZ11" s="8926"/>
      <c r="DA11" s="8927"/>
      <c r="DB11" s="8928"/>
      <c r="DC11" s="8929"/>
      <c r="DD11" s="8930"/>
      <c r="DE11" s="8931"/>
      <c r="DF11" s="537"/>
      <c r="DG11" s="473"/>
      <c r="DI11" s="670"/>
      <c r="DJ11" s="670" t="str">
        <f>IF(T11="","",T11)</f>
        <v>Добавить группу потребителей</v>
      </c>
      <c r="DK11" s="670"/>
      <c r="DL11" s="670"/>
      <c r="DM11" s="1325">
        <v>0</v>
      </c>
    </row>
    <row customHeight="1" ht="14.25" hidden="1">
      <c r="A12" s="1533"/>
      <c r="B12" s="1533"/>
      <c r="C12" s="1533"/>
      <c r="D12" s="1533"/>
      <c r="E12" s="2429"/>
      <c r="F12" s="2429"/>
      <c r="G12" s="2429"/>
      <c r="H12" s="2428"/>
      <c r="I12" s="1533"/>
      <c r="J12" s="1533"/>
      <c r="K12" s="1533"/>
      <c r="L12" s="1534"/>
      <c r="M12" s="1535"/>
      <c r="N12" s="1535"/>
      <c r="O12" s="707"/>
      <c r="P12" s="530"/>
      <c r="Q12" s="545"/>
      <c r="R12" s="525"/>
      <c r="S12" s="1448"/>
      <c r="T12" s="535" t="s">
        <v>425</v>
      </c>
      <c r="U12" s="537"/>
      <c r="V12" s="537"/>
      <c r="W12" s="537"/>
      <c r="X12" s="537"/>
      <c r="Y12" s="537"/>
      <c r="Z12" s="537"/>
      <c r="AA12" s="537"/>
      <c r="AB12" s="537"/>
      <c r="AC12" s="536"/>
      <c r="AD12" s="537"/>
      <c r="AE12" s="537"/>
      <c r="AF12" s="537"/>
      <c r="AG12" s="537"/>
      <c r="AH12" s="537"/>
      <c r="AI12" s="537"/>
      <c r="AJ12" s="537"/>
      <c r="AK12" s="536"/>
      <c r="AL12" s="8935"/>
      <c r="AM12" s="8936"/>
      <c r="AN12" s="8937"/>
      <c r="AO12" s="8938"/>
      <c r="AP12" s="8939"/>
      <c r="AQ12" s="8940"/>
      <c r="AR12" s="8941"/>
      <c r="AS12" s="8942"/>
      <c r="AT12" s="8943"/>
      <c r="AU12" s="8944"/>
      <c r="AV12" s="8945"/>
      <c r="AW12" s="8946"/>
      <c r="AX12" s="8947"/>
      <c r="AY12" s="8948"/>
      <c r="AZ12" s="8949"/>
      <c r="BA12" s="8950"/>
      <c r="BB12" s="8951"/>
      <c r="BC12" s="8952"/>
      <c r="BD12" s="8953"/>
      <c r="BE12" s="8954"/>
      <c r="BF12" s="8955"/>
      <c r="BG12" s="8956"/>
      <c r="BH12" s="8957"/>
      <c r="BI12" s="8958"/>
      <c r="BJ12" s="8959"/>
      <c r="BK12" s="8960"/>
      <c r="BL12" s="8961"/>
      <c r="BM12" s="8962"/>
      <c r="BN12" s="8963"/>
      <c r="BO12" s="8964"/>
      <c r="BP12" s="8965"/>
      <c r="BQ12" s="8966"/>
      <c r="BR12" s="8967"/>
      <c r="BS12" s="8968"/>
      <c r="BT12" s="8969"/>
      <c r="BU12" s="8970"/>
      <c r="BV12" s="8971"/>
      <c r="BW12" s="8972"/>
      <c r="BX12" s="8973"/>
      <c r="BY12" s="8974"/>
      <c r="BZ12" s="8975"/>
      <c r="CA12" s="8976"/>
      <c r="CB12" s="8977"/>
      <c r="CC12" s="8978"/>
      <c r="CD12" s="8979"/>
      <c r="CE12" s="8980"/>
      <c r="CF12" s="8981"/>
      <c r="CG12" s="8982"/>
      <c r="CH12" s="8983"/>
      <c r="CI12" s="8984"/>
      <c r="CJ12" s="8985"/>
      <c r="CK12" s="8986"/>
      <c r="CL12" s="8987"/>
      <c r="CM12" s="8988"/>
      <c r="CN12" s="8989"/>
      <c r="CO12" s="8990"/>
      <c r="CP12" s="8991"/>
      <c r="CQ12" s="8992"/>
      <c r="CR12" s="8993"/>
      <c r="CS12" s="8994"/>
      <c r="CT12" s="8995"/>
      <c r="CU12" s="8996"/>
      <c r="CV12" s="8997"/>
      <c r="CW12" s="8998"/>
      <c r="CX12" s="8999"/>
      <c r="CY12" s="9000"/>
      <c r="CZ12" s="9001"/>
      <c r="DA12" s="9002"/>
      <c r="DB12" s="9003"/>
      <c r="DC12" s="9004"/>
      <c r="DD12" s="9005"/>
      <c r="DE12" s="9006"/>
      <c r="DF12" s="537"/>
      <c r="DG12" s="473"/>
      <c r="DI12" s="670"/>
      <c r="DJ12" s="670" t="str">
        <f>IF(T12="","",T12)</f>
        <v>Добавить схему подключения</v>
      </c>
      <c r="DK12" s="670"/>
      <c r="DL12" s="670"/>
      <c r="DM12" s="1325">
        <v>0</v>
      </c>
    </row>
    <row s="11993" customFormat="1" customHeight="1" ht="0.75" hidden="1">
      <c r="A13" s="1484"/>
      <c r="B13" s="1484"/>
      <c r="C13" s="1484"/>
      <c r="D13" s="1484"/>
      <c r="E13" s="2429"/>
      <c r="F13" s="2429"/>
      <c r="G13" s="2428"/>
      <c r="H13" s="1484"/>
      <c r="I13" s="1484"/>
      <c r="J13" s="1484"/>
      <c r="K13" s="1484"/>
      <c r="L13" s="1509"/>
      <c r="M13" s="1485"/>
      <c r="N13" s="1485"/>
      <c r="P13" s="1486"/>
      <c r="Q13" s="1487"/>
      <c r="R13" s="1486"/>
      <c r="S13" s="1488"/>
      <c r="T13" s="1489" t="s">
        <v>165</v>
      </c>
      <c r="U13" s="1490"/>
      <c r="V13" s="1490"/>
      <c r="W13" s="1490"/>
      <c r="X13" s="1490"/>
      <c r="Y13" s="1490"/>
      <c r="Z13" s="1490"/>
      <c r="AA13" s="1490"/>
      <c r="AB13" s="1490"/>
      <c r="AC13" s="1490"/>
      <c r="AD13" s="1490"/>
      <c r="AE13" s="1490"/>
      <c r="AF13" s="1490"/>
      <c r="AG13" s="1490"/>
      <c r="AH13" s="1490"/>
      <c r="AI13" s="1490"/>
      <c r="AJ13" s="1490"/>
      <c r="AK13" s="1490"/>
      <c r="AL13" s="9015"/>
      <c r="AM13" s="9015"/>
      <c r="AN13" s="9015"/>
      <c r="AO13" s="9015"/>
      <c r="AP13" s="9015"/>
      <c r="AQ13" s="9015"/>
      <c r="AR13" s="9015"/>
      <c r="AS13" s="9015"/>
      <c r="AT13" s="9015"/>
      <c r="AU13" s="9015"/>
      <c r="AV13" s="9015"/>
      <c r="AW13" s="9015"/>
      <c r="AX13" s="9015"/>
      <c r="AY13" s="9015"/>
      <c r="AZ13" s="9015"/>
      <c r="BA13" s="9015"/>
      <c r="BB13" s="9015"/>
      <c r="BC13" s="9015"/>
      <c r="BD13" s="9015"/>
      <c r="BE13" s="9015"/>
      <c r="BF13" s="9015"/>
      <c r="BG13" s="9015"/>
      <c r="BH13" s="9015"/>
      <c r="BI13" s="9015"/>
      <c r="BJ13" s="9015"/>
      <c r="BK13" s="9015"/>
      <c r="BL13" s="9015"/>
      <c r="BM13" s="9015"/>
      <c r="BN13" s="9015"/>
      <c r="BO13" s="9015"/>
      <c r="BP13" s="9015"/>
      <c r="BQ13" s="9015"/>
      <c r="BR13" s="9015"/>
      <c r="BS13" s="9015"/>
      <c r="BT13" s="9015"/>
      <c r="BU13" s="9015"/>
      <c r="BV13" s="9015"/>
      <c r="BW13" s="9015"/>
      <c r="BX13" s="9015"/>
      <c r="BY13" s="9015"/>
      <c r="BZ13" s="9015"/>
      <c r="CA13" s="9015"/>
      <c r="CB13" s="9015"/>
      <c r="CC13" s="9015"/>
      <c r="CD13" s="9015"/>
      <c r="CE13" s="9015"/>
      <c r="CF13" s="9015"/>
      <c r="CG13" s="9015"/>
      <c r="CH13" s="9015"/>
      <c r="CI13" s="9015"/>
      <c r="CJ13" s="9015"/>
      <c r="CK13" s="9015"/>
      <c r="CL13" s="9015"/>
      <c r="CM13" s="9015"/>
      <c r="CN13" s="9015"/>
      <c r="CO13" s="9015"/>
      <c r="CP13" s="9015"/>
      <c r="CQ13" s="9015"/>
      <c r="CR13" s="9015"/>
      <c r="CS13" s="9015"/>
      <c r="CT13" s="9015"/>
      <c r="CU13" s="9015"/>
      <c r="CV13" s="9015"/>
      <c r="CW13" s="9015"/>
      <c r="CX13" s="9015"/>
      <c r="CY13" s="9015"/>
      <c r="CZ13" s="9015"/>
      <c r="DA13" s="9015"/>
      <c r="DB13" s="9015"/>
      <c r="DC13" s="9015"/>
      <c r="DD13" s="9015"/>
      <c r="DE13" s="9015"/>
      <c r="DF13" s="1490"/>
      <c r="DG13" s="1490"/>
      <c r="DI13" s="959"/>
      <c r="DJ13" s="959" t="str">
        <f>IF(T13="","",T13)</f>
        <v>Добавить источник для дифференциации</v>
      </c>
      <c r="DK13" s="959"/>
      <c r="DL13" s="959"/>
      <c r="DM13" s="688">
        <v>0</v>
      </c>
    </row>
    <row s="11993" customFormat="1" customHeight="1" ht="0.75" hidden="1">
      <c r="A14" s="1484"/>
      <c r="B14" s="1484"/>
      <c r="C14" s="1484"/>
      <c r="D14" s="1484"/>
      <c r="E14" s="2429"/>
      <c r="F14" s="2428"/>
      <c r="G14" s="1484"/>
      <c r="H14" s="1484"/>
      <c r="I14" s="1484"/>
      <c r="J14" s="1484"/>
      <c r="K14" s="1484"/>
      <c r="L14" s="1509"/>
      <c r="M14" s="1491"/>
      <c r="N14" s="1491"/>
      <c r="P14" s="1486"/>
      <c r="Q14" s="1487"/>
      <c r="R14" s="1486"/>
      <c r="S14" s="1492"/>
      <c r="T14" s="1493" t="s">
        <v>166</v>
      </c>
      <c r="U14" s="1494"/>
      <c r="V14" s="1494"/>
      <c r="W14" s="1494"/>
      <c r="X14" s="1494"/>
      <c r="Y14" s="1494"/>
      <c r="Z14" s="1494"/>
      <c r="AA14" s="1494"/>
      <c r="AB14" s="1494"/>
      <c r="AC14" s="1494"/>
      <c r="AD14" s="1494"/>
      <c r="AE14" s="1494"/>
      <c r="AF14" s="1494"/>
      <c r="AG14" s="1494"/>
      <c r="AH14" s="1494"/>
      <c r="AI14" s="1494"/>
      <c r="AJ14" s="1494"/>
      <c r="AK14" s="1494"/>
      <c r="AL14" s="9021"/>
      <c r="AM14" s="9021"/>
      <c r="AN14" s="9021"/>
      <c r="AO14" s="9021"/>
      <c r="AP14" s="9021"/>
      <c r="AQ14" s="9021"/>
      <c r="AR14" s="9021"/>
      <c r="AS14" s="9021"/>
      <c r="AT14" s="9021"/>
      <c r="AU14" s="9021"/>
      <c r="AV14" s="9021"/>
      <c r="AW14" s="9021"/>
      <c r="AX14" s="9021"/>
      <c r="AY14" s="9021"/>
      <c r="AZ14" s="9021"/>
      <c r="BA14" s="9021"/>
      <c r="BB14" s="9021"/>
      <c r="BC14" s="9021"/>
      <c r="BD14" s="9021"/>
      <c r="BE14" s="9021"/>
      <c r="BF14" s="9021"/>
      <c r="BG14" s="9021"/>
      <c r="BH14" s="9021"/>
      <c r="BI14" s="9021"/>
      <c r="BJ14" s="9021"/>
      <c r="BK14" s="9021"/>
      <c r="BL14" s="9021"/>
      <c r="BM14" s="9021"/>
      <c r="BN14" s="9021"/>
      <c r="BO14" s="9021"/>
      <c r="BP14" s="9021"/>
      <c r="BQ14" s="9021"/>
      <c r="BR14" s="9021"/>
      <c r="BS14" s="9021"/>
      <c r="BT14" s="9021"/>
      <c r="BU14" s="9021"/>
      <c r="BV14" s="9021"/>
      <c r="BW14" s="9021"/>
      <c r="BX14" s="9021"/>
      <c r="BY14" s="9021"/>
      <c r="BZ14" s="9021"/>
      <c r="CA14" s="9021"/>
      <c r="CB14" s="9021"/>
      <c r="CC14" s="9021"/>
      <c r="CD14" s="9021"/>
      <c r="CE14" s="9021"/>
      <c r="CF14" s="9021"/>
      <c r="CG14" s="9021"/>
      <c r="CH14" s="9021"/>
      <c r="CI14" s="9021"/>
      <c r="CJ14" s="9021"/>
      <c r="CK14" s="9021"/>
      <c r="CL14" s="9021"/>
      <c r="CM14" s="9021"/>
      <c r="CN14" s="9021"/>
      <c r="CO14" s="9021"/>
      <c r="CP14" s="9021"/>
      <c r="CQ14" s="9021"/>
      <c r="CR14" s="9021"/>
      <c r="CS14" s="9021"/>
      <c r="CT14" s="9021"/>
      <c r="CU14" s="9021"/>
      <c r="CV14" s="9021"/>
      <c r="CW14" s="9021"/>
      <c r="CX14" s="9021"/>
      <c r="CY14" s="9021"/>
      <c r="CZ14" s="9021"/>
      <c r="DA14" s="9021"/>
      <c r="DB14" s="9021"/>
      <c r="DC14" s="9021"/>
      <c r="DD14" s="9021"/>
      <c r="DE14" s="9021"/>
      <c r="DF14" s="1494"/>
      <c r="DG14" s="1494"/>
      <c r="DI14" s="959"/>
      <c r="DJ14" s="959" t="str">
        <f>IF(T14="","",T14)</f>
        <v>Добавить централизованную систему для дифференциации</v>
      </c>
      <c r="DK14" s="959"/>
      <c r="DL14" s="959"/>
      <c r="DM14" s="688">
        <v>0</v>
      </c>
    </row>
    <row s="11993" customFormat="1" customHeight="1" ht="0.75" hidden="1">
      <c r="A15" s="1484"/>
      <c r="B15" s="1484"/>
      <c r="C15" s="1484"/>
      <c r="D15" s="1484"/>
      <c r="E15" s="2428"/>
      <c r="F15" s="1484"/>
      <c r="G15" s="1484"/>
      <c r="H15" s="1484"/>
      <c r="I15" s="1484"/>
      <c r="J15" s="1484"/>
      <c r="K15" s="1484"/>
      <c r="L15" s="1509"/>
      <c r="M15" s="1491"/>
      <c r="N15" s="1491"/>
      <c r="P15" s="1486"/>
      <c r="Q15" s="1487"/>
      <c r="R15" s="1486"/>
      <c r="S15" s="1492"/>
      <c r="T15" s="1495" t="s">
        <v>167</v>
      </c>
      <c r="U15" s="1494"/>
      <c r="V15" s="1494"/>
      <c r="W15" s="1494"/>
      <c r="X15" s="1494"/>
      <c r="Y15" s="1494"/>
      <c r="Z15" s="1494"/>
      <c r="AA15" s="1494"/>
      <c r="AB15" s="1494"/>
      <c r="AC15" s="1494"/>
      <c r="AD15" s="1494"/>
      <c r="AE15" s="1494"/>
      <c r="AF15" s="1494"/>
      <c r="AG15" s="1494"/>
      <c r="AH15" s="1494"/>
      <c r="AI15" s="1494"/>
      <c r="AJ15" s="1494"/>
      <c r="AK15" s="1494"/>
      <c r="AL15" s="9021"/>
      <c r="AM15" s="9021"/>
      <c r="AN15" s="9021"/>
      <c r="AO15" s="9021"/>
      <c r="AP15" s="9021"/>
      <c r="AQ15" s="9021"/>
      <c r="AR15" s="9021"/>
      <c r="AS15" s="9021"/>
      <c r="AT15" s="9021"/>
      <c r="AU15" s="9021"/>
      <c r="AV15" s="9021"/>
      <c r="AW15" s="9021"/>
      <c r="AX15" s="9021"/>
      <c r="AY15" s="9021"/>
      <c r="AZ15" s="9021"/>
      <c r="BA15" s="9021"/>
      <c r="BB15" s="9021"/>
      <c r="BC15" s="9021"/>
      <c r="BD15" s="9021"/>
      <c r="BE15" s="9021"/>
      <c r="BF15" s="9021"/>
      <c r="BG15" s="9021"/>
      <c r="BH15" s="9021"/>
      <c r="BI15" s="9021"/>
      <c r="BJ15" s="9021"/>
      <c r="BK15" s="9021"/>
      <c r="BL15" s="9021"/>
      <c r="BM15" s="9021"/>
      <c r="BN15" s="9021"/>
      <c r="BO15" s="9021"/>
      <c r="BP15" s="9021"/>
      <c r="BQ15" s="9021"/>
      <c r="BR15" s="9021"/>
      <c r="BS15" s="9021"/>
      <c r="BT15" s="9021"/>
      <c r="BU15" s="9021"/>
      <c r="BV15" s="9021"/>
      <c r="BW15" s="9021"/>
      <c r="BX15" s="9021"/>
      <c r="BY15" s="9021"/>
      <c r="BZ15" s="9021"/>
      <c r="CA15" s="9021"/>
      <c r="CB15" s="9021"/>
      <c r="CC15" s="9021"/>
      <c r="CD15" s="9021"/>
      <c r="CE15" s="9021"/>
      <c r="CF15" s="9021"/>
      <c r="CG15" s="9021"/>
      <c r="CH15" s="9021"/>
      <c r="CI15" s="9021"/>
      <c r="CJ15" s="9021"/>
      <c r="CK15" s="9021"/>
      <c r="CL15" s="9021"/>
      <c r="CM15" s="9021"/>
      <c r="CN15" s="9021"/>
      <c r="CO15" s="9021"/>
      <c r="CP15" s="9021"/>
      <c r="CQ15" s="9021"/>
      <c r="CR15" s="9021"/>
      <c r="CS15" s="9021"/>
      <c r="CT15" s="9021"/>
      <c r="CU15" s="9021"/>
      <c r="CV15" s="9021"/>
      <c r="CW15" s="9021"/>
      <c r="CX15" s="9021"/>
      <c r="CY15" s="9021"/>
      <c r="CZ15" s="9021"/>
      <c r="DA15" s="9021"/>
      <c r="DB15" s="9021"/>
      <c r="DC15" s="9021"/>
      <c r="DD15" s="9021"/>
      <c r="DE15" s="9021"/>
      <c r="DF15" s="1494"/>
      <c r="DG15" s="1494"/>
      <c r="DI15" s="959"/>
      <c r="DJ15" s="959" t="str">
        <f>IF(T15="","",T15)</f>
        <v>Добавить территорию для дифференциации</v>
      </c>
      <c r="DK15" s="959"/>
      <c r="DL15" s="959"/>
      <c r="DM15" s="688">
        <v>0</v>
      </c>
    </row>
    <row customHeight="1" ht="14.25" hidden="1">
      <c r="AC16" s="497"/>
      <c r="AK16" s="497"/>
      <c r="AL16" s="8724"/>
      <c r="AM16" s="8724"/>
      <c r="AN16" s="8724"/>
      <c r="AO16" s="8724"/>
      <c r="AP16" s="8724"/>
      <c r="AQ16" s="8724"/>
      <c r="AR16" s="8724"/>
      <c r="AS16" s="8724"/>
      <c r="AT16" s="8724"/>
      <c r="AU16" s="8724"/>
      <c r="AV16" s="8724"/>
      <c r="AW16" s="8724"/>
      <c r="AX16" s="8724"/>
      <c r="AY16" s="8724"/>
      <c r="AZ16" s="8724"/>
      <c r="BA16" s="8724"/>
      <c r="BB16" s="8724"/>
      <c r="BC16" s="8724"/>
      <c r="BD16" s="8724"/>
      <c r="BE16" s="8724"/>
      <c r="BF16" s="8724"/>
      <c r="BG16" s="8724"/>
      <c r="BH16" s="8724"/>
      <c r="BI16" s="8724"/>
      <c r="BJ16" s="8724"/>
      <c r="BK16" s="8724"/>
      <c r="BL16" s="8724"/>
      <c r="BM16" s="8724"/>
      <c r="BN16" s="8724"/>
      <c r="BO16" s="8724"/>
      <c r="BP16" s="8724"/>
      <c r="BQ16" s="8724"/>
      <c r="BR16" s="8724"/>
      <c r="BS16" s="8724"/>
      <c r="BT16" s="8724"/>
      <c r="BU16" s="8724"/>
      <c r="BV16" s="8724"/>
      <c r="BW16" s="8724"/>
      <c r="BX16" s="8724"/>
      <c r="BY16" s="8724"/>
      <c r="BZ16" s="8724"/>
      <c r="CA16" s="8724"/>
      <c r="CB16" s="8724"/>
      <c r="CC16" s="8724"/>
      <c r="CD16" s="8724"/>
      <c r="CE16" s="8724"/>
      <c r="CF16" s="8724"/>
      <c r="CG16" s="8724"/>
      <c r="CH16" s="8724"/>
      <c r="CI16" s="8724"/>
      <c r="CJ16" s="8724"/>
      <c r="CK16" s="8724"/>
      <c r="CL16" s="8724"/>
      <c r="CM16" s="8724"/>
      <c r="CN16" s="8724"/>
      <c r="CO16" s="8724"/>
      <c r="CP16" s="8724"/>
      <c r="CQ16" s="8724"/>
      <c r="CR16" s="8724"/>
      <c r="CS16" s="8724"/>
      <c r="CT16" s="8724"/>
      <c r="CU16" s="8724"/>
      <c r="CV16" s="8724"/>
      <c r="CW16" s="8724"/>
      <c r="CX16" s="8724"/>
      <c r="CY16" s="8724"/>
      <c r="CZ16" s="8724"/>
      <c r="DA16" s="8724"/>
      <c r="DB16" s="8724"/>
      <c r="DC16" s="8724"/>
      <c r="DD16" s="8724"/>
      <c r="DE16" s="8724"/>
      <c r="DM16" s="1325">
        <v>0</v>
      </c>
    </row>
    <row customHeight="1" ht="14.25" hidden="1">
      <c r="P17" s="1481"/>
      <c r="AD17" s="1530"/>
      <c r="AE17" s="1530"/>
      <c r="AF17" s="1530"/>
      <c r="AG17" s="1531"/>
      <c r="AH17" s="2437"/>
      <c r="AI17" s="2438" t="s">
        <v>64</v>
      </c>
      <c r="AJ17" s="2437"/>
      <c r="AK17" s="2438" t="s">
        <v>64</v>
      </c>
      <c r="AL17" s="8724"/>
      <c r="AM17" s="8724"/>
      <c r="AN17" s="8724"/>
      <c r="AO17" s="8724"/>
      <c r="AP17" s="8724"/>
      <c r="AQ17" s="8724"/>
      <c r="AR17" s="8724"/>
      <c r="AS17" s="8724"/>
      <c r="AT17" s="8724"/>
      <c r="AU17" s="8724"/>
      <c r="AV17" s="8724"/>
      <c r="AW17" s="8724"/>
      <c r="AX17" s="8724"/>
      <c r="AY17" s="8724"/>
      <c r="AZ17" s="8724"/>
      <c r="BA17" s="8724"/>
      <c r="BB17" s="8724"/>
      <c r="BC17" s="8724"/>
      <c r="BD17" s="8724"/>
      <c r="BE17" s="8724"/>
      <c r="BF17" s="8724"/>
      <c r="BG17" s="8724"/>
      <c r="BH17" s="8724"/>
      <c r="BI17" s="8724"/>
      <c r="BJ17" s="8724"/>
      <c r="BK17" s="8724"/>
      <c r="BL17" s="8724"/>
      <c r="BM17" s="8724"/>
      <c r="BN17" s="8724"/>
      <c r="BO17" s="8724"/>
      <c r="BP17" s="8724"/>
      <c r="BQ17" s="8724"/>
      <c r="BR17" s="8724"/>
      <c r="BS17" s="8724"/>
      <c r="BT17" s="8724"/>
      <c r="BU17" s="8724"/>
      <c r="BV17" s="8724"/>
      <c r="BW17" s="8724"/>
      <c r="BX17" s="8724"/>
      <c r="BY17" s="8724"/>
      <c r="BZ17" s="8724"/>
      <c r="CA17" s="8724"/>
      <c r="CB17" s="8724"/>
      <c r="CC17" s="8724"/>
      <c r="CD17" s="8724"/>
      <c r="CE17" s="8724"/>
      <c r="CF17" s="8724"/>
      <c r="CG17" s="8724"/>
      <c r="CH17" s="8724"/>
      <c r="CI17" s="8724"/>
      <c r="CJ17" s="8724"/>
      <c r="CK17" s="8724"/>
      <c r="CL17" s="8724"/>
      <c r="CM17" s="8724"/>
      <c r="CN17" s="8724"/>
      <c r="CO17" s="8724"/>
      <c r="CP17" s="8724"/>
      <c r="CQ17" s="8724"/>
      <c r="CR17" s="8724"/>
      <c r="CS17" s="8724"/>
      <c r="CT17" s="8724"/>
      <c r="CU17" s="8724"/>
      <c r="CV17" s="8724"/>
      <c r="CW17" s="8724"/>
      <c r="CX17" s="8724"/>
      <c r="CY17" s="8724"/>
      <c r="CZ17" s="8724"/>
      <c r="DA17" s="8724"/>
      <c r="DB17" s="8724"/>
      <c r="DC17" s="8724"/>
      <c r="DD17" s="8724"/>
      <c r="DE17" s="8724"/>
      <c r="DM17" s="1325">
        <v>0</v>
      </c>
    </row>
    <row customHeight="1" ht="14.25" hidden="1">
      <c r="P18" s="1481"/>
      <c r="AD18" s="1530"/>
      <c r="AE18" s="1530"/>
      <c r="AF18" s="1530"/>
      <c r="AG18" s="498" t="str">
        <f>AH17&amp;"-"&amp;AJ17</f>
        <v>-</v>
      </c>
      <c r="AH18" s="2438"/>
      <c r="AI18" s="2438"/>
      <c r="AJ18" s="2438"/>
      <c r="AK18" s="2438"/>
      <c r="AL18" s="8724"/>
      <c r="AM18" s="8724"/>
      <c r="AN18" s="8724"/>
      <c r="AO18" s="8724"/>
      <c r="AP18" s="8724"/>
      <c r="AQ18" s="8724"/>
      <c r="AR18" s="8724"/>
      <c r="AS18" s="8724"/>
      <c r="AT18" s="8724"/>
      <c r="AU18" s="8724"/>
      <c r="AV18" s="8724"/>
      <c r="AW18" s="8724"/>
      <c r="AX18" s="8724"/>
      <c r="AY18" s="8724"/>
      <c r="AZ18" s="8724"/>
      <c r="BA18" s="8724"/>
      <c r="BB18" s="8724"/>
      <c r="BC18" s="8724"/>
      <c r="BD18" s="8724"/>
      <c r="BE18" s="8724"/>
      <c r="BF18" s="8724"/>
      <c r="BG18" s="8724"/>
      <c r="BH18" s="8724"/>
      <c r="BI18" s="8724"/>
      <c r="BJ18" s="8724"/>
      <c r="BK18" s="8724"/>
      <c r="BL18" s="8724"/>
      <c r="BM18" s="8724"/>
      <c r="BN18" s="8724"/>
      <c r="BO18" s="8724"/>
      <c r="BP18" s="8724"/>
      <c r="BQ18" s="8724"/>
      <c r="BR18" s="8724"/>
      <c r="BS18" s="8724"/>
      <c r="BT18" s="8724"/>
      <c r="BU18" s="8724"/>
      <c r="BV18" s="8724"/>
      <c r="BW18" s="8724"/>
      <c r="BX18" s="8724"/>
      <c r="BY18" s="8724"/>
      <c r="BZ18" s="8724"/>
      <c r="CA18" s="8724"/>
      <c r="CB18" s="8724"/>
      <c r="CC18" s="8724"/>
      <c r="CD18" s="8724"/>
      <c r="CE18" s="8724"/>
      <c r="CF18" s="8724"/>
      <c r="CG18" s="8724"/>
      <c r="CH18" s="8724"/>
      <c r="CI18" s="8724"/>
      <c r="CJ18" s="8724"/>
      <c r="CK18" s="8724"/>
      <c r="CL18" s="8724"/>
      <c r="CM18" s="8724"/>
      <c r="CN18" s="8724"/>
      <c r="CO18" s="8724"/>
      <c r="CP18" s="8724"/>
      <c r="CQ18" s="8724"/>
      <c r="CR18" s="8724"/>
      <c r="CS18" s="8724"/>
      <c r="CT18" s="8724"/>
      <c r="CU18" s="8724"/>
      <c r="CV18" s="8724"/>
      <c r="CW18" s="8724"/>
      <c r="CX18" s="8724"/>
      <c r="CY18" s="8724"/>
      <c r="CZ18" s="8724"/>
      <c r="DA18" s="8724"/>
      <c r="DB18" s="8724"/>
      <c r="DC18" s="8724"/>
      <c r="DD18" s="8724"/>
      <c r="DE18" s="8724"/>
      <c r="DM18" s="1325">
        <v>0</v>
      </c>
    </row>
    <row customHeight="1" ht="14.25" hidden="1">
      <c r="P19" s="1481"/>
      <c r="AK19" s="497"/>
      <c r="AL19" s="8724"/>
      <c r="AM19" s="8724"/>
      <c r="AN19" s="8724"/>
      <c r="AO19" s="8724"/>
      <c r="AP19" s="8724"/>
      <c r="AQ19" s="8724"/>
      <c r="AR19" s="8724"/>
      <c r="AS19" s="8724"/>
      <c r="AT19" s="8724"/>
      <c r="AU19" s="8724"/>
      <c r="AV19" s="8724"/>
      <c r="AW19" s="8724"/>
      <c r="AX19" s="8724"/>
      <c r="AY19" s="8724"/>
      <c r="AZ19" s="8724"/>
      <c r="BA19" s="8724"/>
      <c r="BB19" s="8724"/>
      <c r="BC19" s="8724"/>
      <c r="BD19" s="8724"/>
      <c r="BE19" s="8724"/>
      <c r="BF19" s="8724"/>
      <c r="BG19" s="8724"/>
      <c r="BH19" s="8724"/>
      <c r="BI19" s="8724"/>
      <c r="BJ19" s="8724"/>
      <c r="BK19" s="8724"/>
      <c r="BL19" s="8724"/>
      <c r="BM19" s="8724"/>
      <c r="BN19" s="8724"/>
      <c r="BO19" s="8724"/>
      <c r="BP19" s="8724"/>
      <c r="BQ19" s="8724"/>
      <c r="BR19" s="8724"/>
      <c r="BS19" s="8724"/>
      <c r="BT19" s="8724"/>
      <c r="BU19" s="8724"/>
      <c r="BV19" s="8724"/>
      <c r="BW19" s="8724"/>
      <c r="BX19" s="8724"/>
      <c r="BY19" s="8724"/>
      <c r="BZ19" s="8724"/>
      <c r="CA19" s="8724"/>
      <c r="CB19" s="8724"/>
      <c r="CC19" s="8724"/>
      <c r="CD19" s="8724"/>
      <c r="CE19" s="8724"/>
      <c r="CF19" s="8724"/>
      <c r="CG19" s="8724"/>
      <c r="CH19" s="8724"/>
      <c r="CI19" s="8724"/>
      <c r="CJ19" s="8724"/>
      <c r="CK19" s="8724"/>
      <c r="CL19" s="8724"/>
      <c r="CM19" s="8724"/>
      <c r="CN19" s="8724"/>
      <c r="CO19" s="8724"/>
      <c r="CP19" s="8724"/>
      <c r="CQ19" s="8724"/>
      <c r="CR19" s="8724"/>
      <c r="CS19" s="8724"/>
      <c r="CT19" s="8724"/>
      <c r="CU19" s="8724"/>
      <c r="CV19" s="8724"/>
      <c r="CW19" s="8724"/>
      <c r="CX19" s="8724"/>
      <c r="CY19" s="8724"/>
      <c r="CZ19" s="8724"/>
      <c r="DA19" s="8724"/>
      <c r="DB19" s="8724"/>
      <c r="DC19" s="8724"/>
      <c r="DD19" s="8724"/>
      <c r="DE19" s="8724"/>
      <c r="DM19" s="1325">
        <v>0</v>
      </c>
    </row>
    <row s="11992" customFormat="1" customHeight="1" ht="22.5" hidden="1">
      <c r="L20" s="1499"/>
      <c r="M20" s="1532"/>
      <c r="N20" s="1532"/>
      <c r="O20" s="1537" t="s">
        <v>426</v>
      </c>
      <c r="P20" s="1532"/>
      <c r="Q20" s="1541"/>
      <c r="R20" s="1541"/>
      <c r="S20" s="899"/>
      <c r="Z20" s="1537"/>
      <c r="AB20" s="1537"/>
      <c r="AC20" s="1536"/>
      <c r="AH20" s="1537"/>
      <c r="AJ20" s="1537"/>
      <c r="AK20" s="1536"/>
      <c r="AL20" s="9033"/>
      <c r="AM20" s="9033"/>
      <c r="AN20" s="9033"/>
      <c r="AO20" s="9033"/>
      <c r="AP20" s="9034"/>
      <c r="AQ20" s="9033"/>
      <c r="AR20" s="9034"/>
      <c r="AS20" s="9033"/>
      <c r="AT20" s="9033"/>
      <c r="AU20" s="9033"/>
      <c r="AV20" s="9033"/>
      <c r="AW20" s="9033"/>
      <c r="AX20" s="9034"/>
      <c r="AY20" s="9033"/>
      <c r="AZ20" s="9034"/>
      <c r="BA20" s="9033"/>
      <c r="BB20" s="9033"/>
      <c r="BC20" s="9033"/>
      <c r="BD20" s="9033"/>
      <c r="BE20" s="9033"/>
      <c r="BF20" s="9034"/>
      <c r="BG20" s="9033"/>
      <c r="BH20" s="9034"/>
      <c r="BI20" s="9033"/>
      <c r="BJ20" s="9033"/>
      <c r="BK20" s="9033"/>
      <c r="BL20" s="9033"/>
      <c r="BM20" s="9033"/>
      <c r="BN20" s="9034"/>
      <c r="BO20" s="9033"/>
      <c r="BP20" s="9034"/>
      <c r="BQ20" s="9033"/>
      <c r="BR20" s="9033"/>
      <c r="BS20" s="9033"/>
      <c r="BT20" s="9033"/>
      <c r="BU20" s="9033"/>
      <c r="BV20" s="9034"/>
      <c r="BW20" s="9033"/>
      <c r="BX20" s="9034"/>
      <c r="BY20" s="9033"/>
      <c r="BZ20" s="9033"/>
      <c r="CA20" s="9033"/>
      <c r="CB20" s="9033"/>
      <c r="CC20" s="9033"/>
      <c r="CD20" s="9034"/>
      <c r="CE20" s="9033"/>
      <c r="CF20" s="9034"/>
      <c r="CG20" s="9033"/>
      <c r="CH20" s="9033"/>
      <c r="CI20" s="9033"/>
      <c r="CJ20" s="9033"/>
      <c r="CK20" s="9033"/>
      <c r="CL20" s="9034"/>
      <c r="CM20" s="9033"/>
      <c r="CN20" s="9034"/>
      <c r="CO20" s="9033"/>
      <c r="CP20" s="9033"/>
      <c r="CQ20" s="9033"/>
      <c r="CR20" s="9033"/>
      <c r="CS20" s="9033"/>
      <c r="CT20" s="9034"/>
      <c r="CU20" s="9033"/>
      <c r="CV20" s="9034"/>
      <c r="CW20" s="9033"/>
      <c r="CX20" s="9033"/>
      <c r="CY20" s="9033"/>
      <c r="CZ20" s="9033"/>
      <c r="DA20" s="9033"/>
      <c r="DB20" s="9034"/>
      <c r="DC20" s="9033"/>
      <c r="DD20" s="9034"/>
      <c r="DE20" s="9033"/>
      <c r="DH20" s="681"/>
      <c r="DI20" s="681"/>
      <c r="DJ20" s="681"/>
      <c r="DK20" s="681"/>
      <c r="DL20" s="681"/>
      <c r="DM20" s="1330">
        <v>0</v>
      </c>
    </row>
    <row s="11992" customFormat="1" customHeight="1" ht="14.25" hidden="1">
      <c r="L21" s="1499"/>
      <c r="M21" s="1532"/>
      <c r="N21" s="1532"/>
      <c r="O21" s="1532"/>
      <c r="P21" s="1532"/>
      <c r="Q21" s="1541"/>
      <c r="R21" s="1541"/>
      <c r="S21" s="899"/>
      <c r="AC21" s="1536"/>
      <c r="AK21" s="1536"/>
      <c r="AL21" s="9033"/>
      <c r="AM21" s="9033"/>
      <c r="AN21" s="9033"/>
      <c r="AO21" s="9033"/>
      <c r="AP21" s="9033"/>
      <c r="AQ21" s="9033"/>
      <c r="AR21" s="9033"/>
      <c r="AS21" s="9033"/>
      <c r="AT21" s="9033"/>
      <c r="AU21" s="9033"/>
      <c r="AV21" s="9033"/>
      <c r="AW21" s="9033"/>
      <c r="AX21" s="9033"/>
      <c r="AY21" s="9033"/>
      <c r="AZ21" s="9033"/>
      <c r="BA21" s="9033"/>
      <c r="BB21" s="9033"/>
      <c r="BC21" s="9033"/>
      <c r="BD21" s="9033"/>
      <c r="BE21" s="9033"/>
      <c r="BF21" s="9033"/>
      <c r="BG21" s="9033"/>
      <c r="BH21" s="9033"/>
      <c r="BI21" s="9033"/>
      <c r="BJ21" s="9033"/>
      <c r="BK21" s="9033"/>
      <c r="BL21" s="9033"/>
      <c r="BM21" s="9033"/>
      <c r="BN21" s="9033"/>
      <c r="BO21" s="9033"/>
      <c r="BP21" s="9033"/>
      <c r="BQ21" s="9033"/>
      <c r="BR21" s="9033"/>
      <c r="BS21" s="9033"/>
      <c r="BT21" s="9033"/>
      <c r="BU21" s="9033"/>
      <c r="BV21" s="9033"/>
      <c r="BW21" s="9033"/>
      <c r="BX21" s="9033"/>
      <c r="BY21" s="9033"/>
      <c r="BZ21" s="9033"/>
      <c r="CA21" s="9033"/>
      <c r="CB21" s="9033"/>
      <c r="CC21" s="9033"/>
      <c r="CD21" s="9033"/>
      <c r="CE21" s="9033"/>
      <c r="CF21" s="9033"/>
      <c r="CG21" s="9033"/>
      <c r="CH21" s="9033"/>
      <c r="CI21" s="9033"/>
      <c r="CJ21" s="9033"/>
      <c r="CK21" s="9033"/>
      <c r="CL21" s="9033"/>
      <c r="CM21" s="9033"/>
      <c r="CN21" s="9033"/>
      <c r="CO21" s="9033"/>
      <c r="CP21" s="9033"/>
      <c r="CQ21" s="9033"/>
      <c r="CR21" s="9033"/>
      <c r="CS21" s="9033"/>
      <c r="CT21" s="9033"/>
      <c r="CU21" s="9033"/>
      <c r="CV21" s="9033"/>
      <c r="CW21" s="9033"/>
      <c r="CX21" s="9033"/>
      <c r="CY21" s="9033"/>
      <c r="CZ21" s="9033"/>
      <c r="DA21" s="9033"/>
      <c r="DB21" s="9033"/>
      <c r="DC21" s="9033"/>
      <c r="DD21" s="9033"/>
      <c r="DE21" s="9033"/>
      <c r="DH21" s="681"/>
      <c r="DI21" s="681"/>
      <c r="DJ21" s="681"/>
      <c r="DK21" s="681"/>
      <c r="DL21" s="681"/>
      <c r="DM21" s="1330">
        <v>0</v>
      </c>
    </row>
    <row s="11992" customFormat="1" customHeight="1" ht="14.25" hidden="1">
      <c r="L22" s="1499"/>
      <c r="M22" s="1532"/>
      <c r="N22" s="1532"/>
      <c r="O22" s="1534" t="s">
        <v>427</v>
      </c>
      <c r="P22" s="1532"/>
      <c r="Q22" s="1541"/>
      <c r="R22" s="1541"/>
      <c r="S22" s="899"/>
      <c r="T22" s="1330" t="s">
        <v>428</v>
      </c>
      <c r="AA22" s="356" t="s">
        <v>429</v>
      </c>
      <c r="AC22" s="356" t="s">
        <v>430</v>
      </c>
      <c r="AD22" s="1330" t="s">
        <v>428</v>
      </c>
      <c r="AI22" s="356" t="s">
        <v>431</v>
      </c>
      <c r="AK22" s="356" t="s">
        <v>430</v>
      </c>
      <c r="AL22" s="9033"/>
      <c r="AM22" s="9033"/>
      <c r="AN22" s="9033"/>
      <c r="AO22" s="9033"/>
      <c r="AP22" s="9033"/>
      <c r="AQ22" s="9036" t="s">
        <v>429</v>
      </c>
      <c r="AR22" s="9033"/>
      <c r="AS22" s="9036" t="s">
        <v>430</v>
      </c>
      <c r="AT22" s="9033"/>
      <c r="AU22" s="9033"/>
      <c r="AV22" s="9033"/>
      <c r="AW22" s="9033"/>
      <c r="AX22" s="9033"/>
      <c r="AY22" s="9036" t="s">
        <v>429</v>
      </c>
      <c r="AZ22" s="9033"/>
      <c r="BA22" s="9036" t="s">
        <v>430</v>
      </c>
      <c r="BB22" s="9033"/>
      <c r="BC22" s="9033"/>
      <c r="BD22" s="9033"/>
      <c r="BE22" s="9033"/>
      <c r="BF22" s="9033"/>
      <c r="BG22" s="9036" t="s">
        <v>429</v>
      </c>
      <c r="BH22" s="9033"/>
      <c r="BI22" s="9036" t="s">
        <v>430</v>
      </c>
      <c r="BJ22" s="9033"/>
      <c r="BK22" s="9033"/>
      <c r="BL22" s="9033"/>
      <c r="BM22" s="9033"/>
      <c r="BN22" s="9033"/>
      <c r="BO22" s="9036" t="s">
        <v>429</v>
      </c>
      <c r="BP22" s="9033"/>
      <c r="BQ22" s="9036" t="s">
        <v>430</v>
      </c>
      <c r="BR22" s="9033"/>
      <c r="BS22" s="9033"/>
      <c r="BT22" s="9033"/>
      <c r="BU22" s="9033"/>
      <c r="BV22" s="9033"/>
      <c r="BW22" s="9036" t="s">
        <v>429</v>
      </c>
      <c r="BX22" s="9033"/>
      <c r="BY22" s="9036" t="s">
        <v>430</v>
      </c>
      <c r="BZ22" s="9033"/>
      <c r="CA22" s="9033"/>
      <c r="CB22" s="9033"/>
      <c r="CC22" s="9033"/>
      <c r="CD22" s="9033"/>
      <c r="CE22" s="9036" t="s">
        <v>429</v>
      </c>
      <c r="CF22" s="9033"/>
      <c r="CG22" s="9036" t="s">
        <v>430</v>
      </c>
      <c r="CH22" s="9033"/>
      <c r="CI22" s="9033"/>
      <c r="CJ22" s="9033"/>
      <c r="CK22" s="9033"/>
      <c r="CL22" s="9033"/>
      <c r="CM22" s="9036" t="s">
        <v>429</v>
      </c>
      <c r="CN22" s="9033"/>
      <c r="CO22" s="9036" t="s">
        <v>430</v>
      </c>
      <c r="CP22" s="9033"/>
      <c r="CQ22" s="9033"/>
      <c r="CR22" s="9033"/>
      <c r="CS22" s="9033"/>
      <c r="CT22" s="9033"/>
      <c r="CU22" s="9036" t="s">
        <v>429</v>
      </c>
      <c r="CV22" s="9033"/>
      <c r="CW22" s="9036" t="s">
        <v>430</v>
      </c>
      <c r="CX22" s="9033"/>
      <c r="CY22" s="9033"/>
      <c r="CZ22" s="9033"/>
      <c r="DA22" s="9033"/>
      <c r="DB22" s="9033"/>
      <c r="DC22" s="9036" t="s">
        <v>429</v>
      </c>
      <c r="DD22" s="9033"/>
      <c r="DE22" s="9036" t="s">
        <v>430</v>
      </c>
      <c r="DH22" s="681"/>
      <c r="DI22" s="681"/>
      <c r="DJ22" s="681"/>
      <c r="DK22" s="681"/>
      <c r="DL22" s="681"/>
      <c r="DM22" s="1330">
        <v>0</v>
      </c>
    </row>
    <row customHeight="1" ht="14.25" hidden="1">
      <c r="O23" s="1534"/>
      <c r="P23" s="1481"/>
      <c r="AL23" s="8724"/>
      <c r="AM23" s="8724"/>
      <c r="AN23" s="8724"/>
      <c r="AO23" s="8724"/>
      <c r="AP23" s="8724"/>
      <c r="AQ23" s="8724"/>
      <c r="AR23" s="8724"/>
      <c r="AS23" s="8724"/>
      <c r="AT23" s="8724"/>
      <c r="AU23" s="8724"/>
      <c r="AV23" s="8724"/>
      <c r="AW23" s="8724"/>
      <c r="AX23" s="8724"/>
      <c r="AY23" s="8724"/>
      <c r="AZ23" s="8724"/>
      <c r="BA23" s="8724"/>
      <c r="BB23" s="8724"/>
      <c r="BC23" s="8724"/>
      <c r="BD23" s="8724"/>
      <c r="BE23" s="8724"/>
      <c r="BF23" s="8724"/>
      <c r="BG23" s="8724"/>
      <c r="BH23" s="8724"/>
      <c r="BI23" s="8724"/>
      <c r="BJ23" s="8724"/>
      <c r="BK23" s="8724"/>
      <c r="BL23" s="8724"/>
      <c r="BM23" s="8724"/>
      <c r="BN23" s="8724"/>
      <c r="BO23" s="8724"/>
      <c r="BP23" s="8724"/>
      <c r="BQ23" s="8724"/>
      <c r="BR23" s="8724"/>
      <c r="BS23" s="8724"/>
      <c r="BT23" s="8724"/>
      <c r="BU23" s="8724"/>
      <c r="BV23" s="8724"/>
      <c r="BW23" s="8724"/>
      <c r="BX23" s="8724"/>
      <c r="BY23" s="8724"/>
      <c r="BZ23" s="8724"/>
      <c r="CA23" s="8724"/>
      <c r="CB23" s="8724"/>
      <c r="CC23" s="8724"/>
      <c r="CD23" s="8724"/>
      <c r="CE23" s="8724"/>
      <c r="CF23" s="8724"/>
      <c r="CG23" s="8724"/>
      <c r="CH23" s="8724"/>
      <c r="CI23" s="8724"/>
      <c r="CJ23" s="8724"/>
      <c r="CK23" s="8724"/>
      <c r="CL23" s="8724"/>
      <c r="CM23" s="8724"/>
      <c r="CN23" s="8724"/>
      <c r="CO23" s="8724"/>
      <c r="CP23" s="8724"/>
      <c r="CQ23" s="8724"/>
      <c r="CR23" s="8724"/>
      <c r="CS23" s="8724"/>
      <c r="CT23" s="8724"/>
      <c r="CU23" s="8724"/>
      <c r="CV23" s="8724"/>
      <c r="CW23" s="8724"/>
      <c r="CX23" s="8724"/>
      <c r="CY23" s="8724"/>
      <c r="CZ23" s="8724"/>
      <c r="DA23" s="8724"/>
      <c r="DB23" s="8724"/>
      <c r="DC23" s="8724"/>
      <c r="DD23" s="8724"/>
      <c r="DE23" s="8724"/>
      <c r="DM23" s="1325">
        <v>0</v>
      </c>
    </row>
    <row customHeight="1" ht="14.25" hidden="1">
      <c r="O24" s="1534"/>
      <c r="P24" s="1481"/>
      <c r="AL24" s="8724"/>
      <c r="AM24" s="8724"/>
      <c r="AN24" s="8724"/>
      <c r="AO24" s="8724"/>
      <c r="AP24" s="8724"/>
      <c r="AQ24" s="8724"/>
      <c r="AR24" s="8724"/>
      <c r="AS24" s="8724"/>
      <c r="AT24" s="8724"/>
      <c r="AU24" s="8724"/>
      <c r="AV24" s="8724"/>
      <c r="AW24" s="8724"/>
      <c r="AX24" s="8724"/>
      <c r="AY24" s="8724"/>
      <c r="AZ24" s="8724"/>
      <c r="BA24" s="8724"/>
      <c r="BB24" s="8724"/>
      <c r="BC24" s="8724"/>
      <c r="BD24" s="8724"/>
      <c r="BE24" s="8724"/>
      <c r="BF24" s="8724"/>
      <c r="BG24" s="8724"/>
      <c r="BH24" s="8724"/>
      <c r="BI24" s="8724"/>
      <c r="BJ24" s="8724"/>
      <c r="BK24" s="8724"/>
      <c r="BL24" s="8724"/>
      <c r="BM24" s="8724"/>
      <c r="BN24" s="8724"/>
      <c r="BO24" s="8724"/>
      <c r="BP24" s="8724"/>
      <c r="BQ24" s="8724"/>
      <c r="BR24" s="8724"/>
      <c r="BS24" s="8724"/>
      <c r="BT24" s="8724"/>
      <c r="BU24" s="8724"/>
      <c r="BV24" s="8724"/>
      <c r="BW24" s="8724"/>
      <c r="BX24" s="8724"/>
      <c r="BY24" s="8724"/>
      <c r="BZ24" s="8724"/>
      <c r="CA24" s="8724"/>
      <c r="CB24" s="8724"/>
      <c r="CC24" s="8724"/>
      <c r="CD24" s="8724"/>
      <c r="CE24" s="8724"/>
      <c r="CF24" s="8724"/>
      <c r="CG24" s="8724"/>
      <c r="CH24" s="8724"/>
      <c r="CI24" s="8724"/>
      <c r="CJ24" s="8724"/>
      <c r="CK24" s="8724"/>
      <c r="CL24" s="8724"/>
      <c r="CM24" s="8724"/>
      <c r="CN24" s="8724"/>
      <c r="CO24" s="8724"/>
      <c r="CP24" s="8724"/>
      <c r="CQ24" s="8724"/>
      <c r="CR24" s="8724"/>
      <c r="CS24" s="8724"/>
      <c r="CT24" s="8724"/>
      <c r="CU24" s="8724"/>
      <c r="CV24" s="8724"/>
      <c r="CW24" s="8724"/>
      <c r="CX24" s="8724"/>
      <c r="CY24" s="8724"/>
      <c r="CZ24" s="8724"/>
      <c r="DA24" s="8724"/>
      <c r="DB24" s="8724"/>
      <c r="DC24" s="8724"/>
      <c r="DD24" s="8724"/>
      <c r="DE24" s="8724"/>
      <c r="DM24" s="1325">
        <v>0</v>
      </c>
    </row>
    <row customHeight="1" ht="14.699999999999998">
      <c r="Q25" s="546"/>
      <c r="R25" s="546"/>
      <c r="S25" s="1445"/>
      <c r="T25" s="533"/>
      <c r="U25" s="533"/>
      <c r="V25" s="679"/>
      <c r="W25" s="679"/>
      <c r="X25" s="679"/>
      <c r="Y25" s="679"/>
      <c r="Z25" s="679"/>
      <c r="AA25" s="679"/>
      <c r="AB25" s="679"/>
      <c r="AC25" s="679"/>
      <c r="AD25" s="679"/>
      <c r="AE25" s="679"/>
      <c r="AF25" s="679"/>
      <c r="AG25" s="679"/>
      <c r="AH25" s="679"/>
      <c r="AI25" s="679"/>
      <c r="AJ25" s="679"/>
      <c r="AK25" s="679"/>
      <c r="AL25" s="8724"/>
      <c r="AM25" s="8724"/>
      <c r="AN25" s="8724"/>
      <c r="AO25" s="8724"/>
      <c r="AP25" s="8724"/>
      <c r="AQ25" s="8724"/>
      <c r="AR25" s="8724"/>
      <c r="AS25" s="8724"/>
      <c r="AT25" s="8724"/>
      <c r="AU25" s="8724"/>
      <c r="AV25" s="8724"/>
      <c r="AW25" s="8724"/>
      <c r="AX25" s="8724"/>
      <c r="AY25" s="8724"/>
      <c r="AZ25" s="8724"/>
      <c r="BA25" s="8724"/>
      <c r="BB25" s="8724"/>
      <c r="BC25" s="8724"/>
      <c r="BD25" s="8724"/>
      <c r="BE25" s="8724"/>
      <c r="BF25" s="8724"/>
      <c r="BG25" s="8724"/>
      <c r="BH25" s="8724"/>
      <c r="BI25" s="8724"/>
      <c r="BJ25" s="8724"/>
      <c r="BK25" s="8724"/>
      <c r="BL25" s="8724"/>
      <c r="BM25" s="8724"/>
      <c r="BN25" s="8724"/>
      <c r="BO25" s="8724"/>
      <c r="BP25" s="8724"/>
      <c r="BQ25" s="8724"/>
      <c r="BR25" s="8724"/>
      <c r="BS25" s="8724"/>
      <c r="BT25" s="8724"/>
      <c r="BU25" s="8724"/>
      <c r="BV25" s="8724"/>
      <c r="BW25" s="8724"/>
      <c r="BX25" s="8724"/>
      <c r="BY25" s="8724"/>
      <c r="BZ25" s="8724"/>
      <c r="CA25" s="8724"/>
      <c r="CB25" s="8724"/>
      <c r="CC25" s="8724"/>
      <c r="CD25" s="8724"/>
      <c r="CE25" s="8724"/>
      <c r="CF25" s="8724"/>
      <c r="CG25" s="8724"/>
      <c r="CH25" s="8724"/>
      <c r="CI25" s="8724"/>
      <c r="CJ25" s="8724"/>
      <c r="CK25" s="8724"/>
      <c r="CL25" s="8724"/>
      <c r="CM25" s="8724"/>
      <c r="CN25" s="8724"/>
      <c r="CO25" s="8724"/>
      <c r="CP25" s="8724"/>
      <c r="CQ25" s="8724"/>
      <c r="CR25" s="8724"/>
      <c r="CS25" s="8724"/>
      <c r="CT25" s="8724"/>
      <c r="CU25" s="8724"/>
      <c r="CV25" s="8724"/>
      <c r="CW25" s="8724"/>
      <c r="CX25" s="8724"/>
      <c r="CY25" s="8724"/>
      <c r="CZ25" s="8724"/>
      <c r="DA25" s="8724"/>
      <c r="DB25" s="8724"/>
      <c r="DC25" s="8724"/>
      <c r="DD25" s="8724"/>
      <c r="DE25" s="8724"/>
      <c r="DM25" s="1325">
        <v>14</v>
      </c>
    </row>
    <row customHeight="1" ht="14.699999999999998">
      <c r="Q26" s="546"/>
      <c r="R26" s="546"/>
      <c r="S26" s="241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418"/>
      <c r="U26" s="2418"/>
      <c r="V26" s="2418"/>
      <c r="W26" s="2418"/>
      <c r="X26" s="2418"/>
      <c r="Y26" s="2418"/>
      <c r="Z26" s="2418"/>
      <c r="AA26" s="2418"/>
      <c r="AB26" s="2418"/>
      <c r="AC26" s="2418"/>
      <c r="AD26" s="2418"/>
      <c r="AE26" s="2418"/>
      <c r="AF26" s="2418"/>
      <c r="AG26" s="2418"/>
      <c r="AH26" s="2418"/>
      <c r="AI26" s="2418"/>
      <c r="AJ26" s="2418"/>
      <c r="AK26" s="1413"/>
      <c r="AL26" s="9042"/>
      <c r="AM26" s="9042"/>
      <c r="AN26" s="9042"/>
      <c r="AO26" s="9042"/>
      <c r="AP26" s="9042"/>
      <c r="AQ26" s="9042"/>
      <c r="AR26" s="9042"/>
      <c r="AS26" s="9042"/>
      <c r="AT26" s="9042"/>
      <c r="AU26" s="9042"/>
      <c r="AV26" s="9042"/>
      <c r="AW26" s="9042"/>
      <c r="AX26" s="9042"/>
      <c r="AY26" s="9042"/>
      <c r="AZ26" s="9042"/>
      <c r="BA26" s="9042"/>
      <c r="BB26" s="9042"/>
      <c r="BC26" s="9042"/>
      <c r="BD26" s="9042"/>
      <c r="BE26" s="9042"/>
      <c r="BF26" s="9042"/>
      <c r="BG26" s="9042"/>
      <c r="BH26" s="9042"/>
      <c r="BI26" s="9042"/>
      <c r="BJ26" s="9042"/>
      <c r="BK26" s="9042"/>
      <c r="BL26" s="9042"/>
      <c r="BM26" s="9042"/>
      <c r="BN26" s="9042"/>
      <c r="BO26" s="9042"/>
      <c r="BP26" s="9042"/>
      <c r="BQ26" s="9042"/>
      <c r="BR26" s="9042"/>
      <c r="BS26" s="9042"/>
      <c r="BT26" s="9042"/>
      <c r="BU26" s="9042"/>
      <c r="BV26" s="9042"/>
      <c r="BW26" s="9042"/>
      <c r="BX26" s="9042"/>
      <c r="BY26" s="9042"/>
      <c r="BZ26" s="9042"/>
      <c r="CA26" s="9042"/>
      <c r="CB26" s="9042"/>
      <c r="CC26" s="9042"/>
      <c r="CD26" s="9042"/>
      <c r="CE26" s="9042"/>
      <c r="CF26" s="9042"/>
      <c r="CG26" s="9042"/>
      <c r="CH26" s="9042"/>
      <c r="CI26" s="9042"/>
      <c r="CJ26" s="9042"/>
      <c r="CK26" s="9042"/>
      <c r="CL26" s="9042"/>
      <c r="CM26" s="9042"/>
      <c r="CN26" s="9042"/>
      <c r="CO26" s="9042"/>
      <c r="CP26" s="9042"/>
      <c r="CQ26" s="9042"/>
      <c r="CR26" s="9042"/>
      <c r="CS26" s="9042"/>
      <c r="CT26" s="9042"/>
      <c r="CU26" s="9042"/>
      <c r="CV26" s="9042"/>
      <c r="CW26" s="9042"/>
      <c r="CX26" s="9042"/>
      <c r="CY26" s="9042"/>
      <c r="CZ26" s="9042"/>
      <c r="DA26" s="9042"/>
      <c r="DB26" s="9042"/>
      <c r="DC26" s="9042"/>
      <c r="DD26" s="9042"/>
      <c r="DE26" s="9042"/>
      <c r="DM26" s="1325">
        <v>14</v>
      </c>
    </row>
    <row customHeight="1" ht="14.699999999999998">
      <c r="Q27" s="546"/>
      <c r="R27" s="546"/>
      <c r="S27" s="2419" t="str">
        <f>IF(org=0,"Не определено",org)</f>
        <v>Филиал "Шатурская ГРЭС" ПАО "Юнипро"</v>
      </c>
      <c r="T27" s="2419"/>
      <c r="U27" s="2419"/>
      <c r="V27" s="2419"/>
      <c r="W27" s="2419"/>
      <c r="X27" s="2419"/>
      <c r="Y27" s="2419"/>
      <c r="Z27" s="2419"/>
      <c r="AA27" s="2419"/>
      <c r="AB27" s="2419"/>
      <c r="AC27" s="2419"/>
      <c r="AD27" s="2419"/>
      <c r="AE27" s="2419"/>
      <c r="AF27" s="2419"/>
      <c r="AG27" s="2419"/>
      <c r="AH27" s="2419"/>
      <c r="AI27" s="2419"/>
      <c r="AJ27" s="2419"/>
      <c r="AK27" s="1413"/>
      <c r="AL27" s="9044"/>
      <c r="AM27" s="9044"/>
      <c r="AN27" s="9044"/>
      <c r="AO27" s="9044"/>
      <c r="AP27" s="9044"/>
      <c r="AQ27" s="9044"/>
      <c r="AR27" s="9044"/>
      <c r="AS27" s="9044"/>
      <c r="AT27" s="9044"/>
      <c r="AU27" s="9044"/>
      <c r="AV27" s="9044"/>
      <c r="AW27" s="9044"/>
      <c r="AX27" s="9044"/>
      <c r="AY27" s="9044"/>
      <c r="AZ27" s="9044"/>
      <c r="BA27" s="9044"/>
      <c r="BB27" s="9044"/>
      <c r="BC27" s="9044"/>
      <c r="BD27" s="9044"/>
      <c r="BE27" s="9044"/>
      <c r="BF27" s="9044"/>
      <c r="BG27" s="9044"/>
      <c r="BH27" s="9044"/>
      <c r="BI27" s="9044"/>
      <c r="BJ27" s="9044"/>
      <c r="BK27" s="9044"/>
      <c r="BL27" s="9044"/>
      <c r="BM27" s="9044"/>
      <c r="BN27" s="9044"/>
      <c r="BO27" s="9044"/>
      <c r="BP27" s="9044"/>
      <c r="BQ27" s="9044"/>
      <c r="BR27" s="9044"/>
      <c r="BS27" s="9044"/>
      <c r="BT27" s="9044"/>
      <c r="BU27" s="9044"/>
      <c r="BV27" s="9044"/>
      <c r="BW27" s="9044"/>
      <c r="BX27" s="9044"/>
      <c r="BY27" s="9044"/>
      <c r="BZ27" s="9044"/>
      <c r="CA27" s="9044"/>
      <c r="CB27" s="9044"/>
      <c r="CC27" s="9044"/>
      <c r="CD27" s="9044"/>
      <c r="CE27" s="9044"/>
      <c r="CF27" s="9044"/>
      <c r="CG27" s="9044"/>
      <c r="CH27" s="9044"/>
      <c r="CI27" s="9044"/>
      <c r="CJ27" s="9044"/>
      <c r="CK27" s="9044"/>
      <c r="CL27" s="9044"/>
      <c r="CM27" s="9044"/>
      <c r="CN27" s="9044"/>
      <c r="CO27" s="9044"/>
      <c r="CP27" s="9044"/>
      <c r="CQ27" s="9044"/>
      <c r="CR27" s="9044"/>
      <c r="CS27" s="9044"/>
      <c r="CT27" s="9044"/>
      <c r="CU27" s="9044"/>
      <c r="CV27" s="9044"/>
      <c r="CW27" s="9044"/>
      <c r="CX27" s="9044"/>
      <c r="CY27" s="9044"/>
      <c r="CZ27" s="9044"/>
      <c r="DA27" s="9044"/>
      <c r="DB27" s="9044"/>
      <c r="DC27" s="9044"/>
      <c r="DD27" s="9044"/>
      <c r="DE27" s="9044"/>
      <c r="DM27" s="1325">
        <v>14</v>
      </c>
    </row>
    <row customHeight="1" ht="14.25">
      <c r="Q28" s="546"/>
      <c r="R28" s="546"/>
      <c r="S28" s="1445"/>
      <c r="T28" s="533"/>
      <c r="U28" s="533"/>
      <c r="V28" s="492"/>
      <c r="W28" s="492"/>
      <c r="X28" s="492"/>
      <c r="Y28" s="492"/>
      <c r="Z28" s="492"/>
      <c r="AA28" s="492"/>
      <c r="AB28" s="492"/>
      <c r="AC28" s="492"/>
      <c r="AD28" s="492"/>
      <c r="AE28" s="492"/>
      <c r="AF28" s="492"/>
      <c r="AG28" s="492"/>
      <c r="AH28" s="492"/>
      <c r="AI28" s="492"/>
      <c r="AJ28" s="492"/>
      <c r="AK28" s="492"/>
      <c r="AL28" s="9046"/>
      <c r="AM28" s="9046"/>
      <c r="AN28" s="9046"/>
      <c r="AO28" s="9046"/>
      <c r="AP28" s="9046"/>
      <c r="AQ28" s="9046"/>
      <c r="AR28" s="9046"/>
      <c r="AS28" s="9046"/>
      <c r="AT28" s="9046"/>
      <c r="AU28" s="9046"/>
      <c r="AV28" s="9046"/>
      <c r="AW28" s="9046"/>
      <c r="AX28" s="9046"/>
      <c r="AY28" s="9046"/>
      <c r="AZ28" s="9046"/>
      <c r="BA28" s="9046"/>
      <c r="BB28" s="9046"/>
      <c r="BC28" s="9046"/>
      <c r="BD28" s="9046"/>
      <c r="BE28" s="9046"/>
      <c r="BF28" s="9046"/>
      <c r="BG28" s="9046"/>
      <c r="BH28" s="9046"/>
      <c r="BI28" s="9046"/>
      <c r="BJ28" s="9046"/>
      <c r="BK28" s="9046"/>
      <c r="BL28" s="9046"/>
      <c r="BM28" s="9046"/>
      <c r="BN28" s="9046"/>
      <c r="BO28" s="9046"/>
      <c r="BP28" s="9046"/>
      <c r="BQ28" s="9046"/>
      <c r="BR28" s="9046"/>
      <c r="BS28" s="9046"/>
      <c r="BT28" s="9046"/>
      <c r="BU28" s="9046"/>
      <c r="BV28" s="9046"/>
      <c r="BW28" s="9046"/>
      <c r="BX28" s="9046"/>
      <c r="BY28" s="9046"/>
      <c r="BZ28" s="9046"/>
      <c r="CA28" s="9046"/>
      <c r="CB28" s="9046"/>
      <c r="CC28" s="9046"/>
      <c r="CD28" s="9046"/>
      <c r="CE28" s="9046"/>
      <c r="CF28" s="9046"/>
      <c r="CG28" s="9046"/>
      <c r="CH28" s="9046"/>
      <c r="CI28" s="9046"/>
      <c r="CJ28" s="9046"/>
      <c r="CK28" s="9046"/>
      <c r="CL28" s="9046"/>
      <c r="CM28" s="9046"/>
      <c r="CN28" s="9046"/>
      <c r="CO28" s="9046"/>
      <c r="CP28" s="9046"/>
      <c r="CQ28" s="9046"/>
      <c r="CR28" s="9046"/>
      <c r="CS28" s="9046"/>
      <c r="CT28" s="9046"/>
      <c r="CU28" s="9046"/>
      <c r="CV28" s="9046"/>
      <c r="CW28" s="9046"/>
      <c r="CX28" s="9046"/>
      <c r="CY28" s="9046"/>
      <c r="CZ28" s="9046"/>
      <c r="DA28" s="9046"/>
      <c r="DB28" s="9046"/>
      <c r="DC28" s="9046"/>
      <c r="DD28" s="9046"/>
      <c r="DE28" s="9046"/>
      <c r="DF28" s="679"/>
      <c r="DM28" s="1325">
        <v>0</v>
      </c>
    </row>
    <row s="12119" customFormat="1" customHeight="1" ht="25.5">
      <c r="A29" s="1538"/>
      <c r="B29" s="1538"/>
      <c r="C29" s="1538"/>
      <c r="D29" s="1538"/>
      <c r="E29" s="1538"/>
      <c r="F29" s="1538"/>
      <c r="G29" s="1538"/>
      <c r="H29" s="1538"/>
      <c r="I29" s="1538"/>
      <c r="J29" s="1538"/>
      <c r="K29" s="1538"/>
      <c r="L29" s="1539"/>
      <c r="M29" s="1538"/>
      <c r="N29" s="1538"/>
      <c r="O29" s="1538"/>
      <c r="S29" s="2420" t="s">
        <v>42</v>
      </c>
      <c r="T29" s="2420"/>
      <c r="U29" s="1542"/>
      <c r="V29" s="2421" t="str">
        <f>IF(TITLE_NAME_OR_PR_CHANGE="",IF(TITLE_NAME_OR_PR="","",TITLE_NAME_OR_PR),TITLE_NAME_OR_PR_CHANGE)</f>
        <v>Комитет по ценам и тарифам Московской области</v>
      </c>
      <c r="W29" s="2421"/>
      <c r="X29" s="2421"/>
      <c r="Y29" s="2421"/>
      <c r="Z29" s="2421"/>
      <c r="AA29" s="2421"/>
      <c r="AB29" s="2421"/>
      <c r="AC29" s="496"/>
      <c r="AD29" s="2421" t="str">
        <f>IF(TITLE_NAME_OR_PR_CHANGE="",IF(TITLE_NAME_OR_PR="","",TITLE_NAME_OR_PR),TITLE_NAME_OR_PR_CHANGE)</f>
        <v>Комитет по ценам и тарифам Московской области</v>
      </c>
      <c r="AE29" s="2421"/>
      <c r="AF29" s="2421"/>
      <c r="AG29" s="2421"/>
      <c r="AH29" s="2421"/>
      <c r="AI29" s="2421"/>
      <c r="AJ29" s="2421"/>
      <c r="AK29" s="496"/>
      <c r="AL29" s="9053" t="str">
        <f>IF(TITLE_NAME_OR_PR_CHANGE="",IF(TITLE_NAME_OR_PR="","",TITLE_NAME_OR_PR),TITLE_NAME_OR_PR_CHANGE)</f>
        <v>Комитет по ценам и тарифам Московской области</v>
      </c>
      <c r="AM29" s="9053"/>
      <c r="AN29" s="9053"/>
      <c r="AO29" s="9053"/>
      <c r="AP29" s="9053"/>
      <c r="AQ29" s="9053"/>
      <c r="AR29" s="9053"/>
      <c r="AS29" s="8724"/>
      <c r="AT29" s="9053" t="str">
        <f>IF(TITLE_NAME_OR_PR_CHANGE="",IF(TITLE_NAME_OR_PR="","",TITLE_NAME_OR_PR),TITLE_NAME_OR_PR_CHANGE)</f>
        <v>Комитет по ценам и тарифам Московской области</v>
      </c>
      <c r="AU29" s="9053"/>
      <c r="AV29" s="9053"/>
      <c r="AW29" s="9053"/>
      <c r="AX29" s="9053"/>
      <c r="AY29" s="9053"/>
      <c r="AZ29" s="9053"/>
      <c r="BA29" s="8724"/>
      <c r="BB29" s="9053" t="str">
        <f>IF(TITLE_NAME_OR_PR_CHANGE="",IF(TITLE_NAME_OR_PR="","",TITLE_NAME_OR_PR),TITLE_NAME_OR_PR_CHANGE)</f>
        <v>Комитет по ценам и тарифам Московской области</v>
      </c>
      <c r="BC29" s="9053"/>
      <c r="BD29" s="9053"/>
      <c r="BE29" s="9053"/>
      <c r="BF29" s="9053"/>
      <c r="BG29" s="9053"/>
      <c r="BH29" s="9053"/>
      <c r="BI29" s="8724"/>
      <c r="BJ29" s="9053" t="str">
        <f>IF(TITLE_NAME_OR_PR_CHANGE="",IF(TITLE_NAME_OR_PR="","",TITLE_NAME_OR_PR),TITLE_NAME_OR_PR_CHANGE)</f>
        <v>Комитет по ценам и тарифам Московской области</v>
      </c>
      <c r="BK29" s="9053"/>
      <c r="BL29" s="9053"/>
      <c r="BM29" s="9053"/>
      <c r="BN29" s="9053"/>
      <c r="BO29" s="9053"/>
      <c r="BP29" s="9053"/>
      <c r="BQ29" s="8724"/>
      <c r="BR29" s="9053" t="str">
        <f>IF(TITLE_NAME_OR_PR_CHANGE="",IF(TITLE_NAME_OR_PR="","",TITLE_NAME_OR_PR),TITLE_NAME_OR_PR_CHANGE)</f>
        <v>Комитет по ценам и тарифам Московской области</v>
      </c>
      <c r="BS29" s="9053"/>
      <c r="BT29" s="9053"/>
      <c r="BU29" s="9053"/>
      <c r="BV29" s="9053"/>
      <c r="BW29" s="9053"/>
      <c r="BX29" s="9053"/>
      <c r="BY29" s="8724"/>
      <c r="BZ29" s="9053" t="str">
        <f>IF(TITLE_NAME_OR_PR_CHANGE="",IF(TITLE_NAME_OR_PR="","",TITLE_NAME_OR_PR),TITLE_NAME_OR_PR_CHANGE)</f>
        <v>Комитет по ценам и тарифам Московской области</v>
      </c>
      <c r="CA29" s="9053"/>
      <c r="CB29" s="9053"/>
      <c r="CC29" s="9053"/>
      <c r="CD29" s="9053"/>
      <c r="CE29" s="9053"/>
      <c r="CF29" s="9053"/>
      <c r="CG29" s="8724"/>
      <c r="CH29" s="9053" t="str">
        <f>IF(TITLE_NAME_OR_PR_CHANGE="",IF(TITLE_NAME_OR_PR="","",TITLE_NAME_OR_PR),TITLE_NAME_OR_PR_CHANGE)</f>
        <v>Комитет по ценам и тарифам Московской области</v>
      </c>
      <c r="CI29" s="9053"/>
      <c r="CJ29" s="9053"/>
      <c r="CK29" s="9053"/>
      <c r="CL29" s="9053"/>
      <c r="CM29" s="9053"/>
      <c r="CN29" s="9053"/>
      <c r="CO29" s="8724"/>
      <c r="CP29" s="9053" t="str">
        <f>IF(TITLE_NAME_OR_PR_CHANGE="",IF(TITLE_NAME_OR_PR="","",TITLE_NAME_OR_PR),TITLE_NAME_OR_PR_CHANGE)</f>
        <v>Комитет по ценам и тарифам Московской области</v>
      </c>
      <c r="CQ29" s="9053"/>
      <c r="CR29" s="9053"/>
      <c r="CS29" s="9053"/>
      <c r="CT29" s="9053"/>
      <c r="CU29" s="9053"/>
      <c r="CV29" s="9053"/>
      <c r="CW29" s="8724"/>
      <c r="CX29" s="9053" t="str">
        <f>IF(TITLE_NAME_OR_PR_CHANGE="",IF(TITLE_NAME_OR_PR="","",TITLE_NAME_OR_PR),TITLE_NAME_OR_PR_CHANGE)</f>
        <v>Комитет по ценам и тарифам Московской области</v>
      </c>
      <c r="CY29" s="9053"/>
      <c r="CZ29" s="9053"/>
      <c r="DA29" s="9053"/>
      <c r="DB29" s="9053"/>
      <c r="DC29" s="9053"/>
      <c r="DD29" s="9053"/>
      <c r="DE29" s="8724"/>
      <c r="DF29" s="496"/>
      <c r="DG29" s="450"/>
      <c r="DH29" s="538"/>
      <c r="DI29" s="538"/>
      <c r="DJ29" s="538"/>
      <c r="DK29" s="538"/>
      <c r="DL29" s="538"/>
      <c r="DM29" s="588">
        <v>0</v>
      </c>
    </row>
    <row s="12119" customFormat="1" customHeight="1" ht="18.75">
      <c r="A30" s="1538"/>
      <c r="B30" s="1538"/>
      <c r="C30" s="1538"/>
      <c r="D30" s="1538"/>
      <c r="E30" s="1538"/>
      <c r="F30" s="1538"/>
      <c r="G30" s="1538"/>
      <c r="H30" s="1538"/>
      <c r="I30" s="1538"/>
      <c r="J30" s="1538"/>
      <c r="K30" s="1538"/>
      <c r="L30" s="1539"/>
      <c r="M30" s="1538"/>
      <c r="N30" s="1538"/>
      <c r="O30" s="1538"/>
      <c r="S30" s="2420" t="s">
        <v>432</v>
      </c>
      <c r="T30" s="2420"/>
      <c r="U30" s="1542"/>
      <c r="V30" s="2434" t="str">
        <f>IF(TITLE_DATE_PR_CHANGE="",IF(TITLE_DATE_PR="","",TITLE_DATE_PR),TITLE_DATE_PR_CHANGE)</f>
        <v>45646.459814814814</v>
      </c>
      <c r="W30" s="2434"/>
      <c r="X30" s="2434"/>
      <c r="Y30" s="2434"/>
      <c r="Z30" s="2434"/>
      <c r="AA30" s="2434"/>
      <c r="AB30" s="2434"/>
      <c r="AC30" s="496"/>
      <c r="AD30" s="2434" t="str">
        <f>IF(TITLE_DATE_PR_CHANGE="",IF(TITLE_DATE_PR="","",TITLE_DATE_PR),TITLE_DATE_PR_CHANGE)</f>
        <v>45646.459814814814</v>
      </c>
      <c r="AE30" s="2434"/>
      <c r="AF30" s="2434"/>
      <c r="AG30" s="2434"/>
      <c r="AH30" s="2434"/>
      <c r="AI30" s="2434"/>
      <c r="AJ30" s="2434"/>
      <c r="AK30" s="496"/>
      <c r="AL30" s="9058" t="str">
        <f>IF(TITLE_DATE_PR_CHANGE="",IF(TITLE_DATE_PR="","",TITLE_DATE_PR),TITLE_DATE_PR_CHANGE)</f>
        <v>45646.459814814814</v>
      </c>
      <c r="AM30" s="9058"/>
      <c r="AN30" s="9058"/>
      <c r="AO30" s="9058"/>
      <c r="AP30" s="9058"/>
      <c r="AQ30" s="9058"/>
      <c r="AR30" s="9058"/>
      <c r="AS30" s="8724"/>
      <c r="AT30" s="9058" t="str">
        <f>IF(TITLE_DATE_PR_CHANGE="",IF(TITLE_DATE_PR="","",TITLE_DATE_PR),TITLE_DATE_PR_CHANGE)</f>
        <v>45646.459814814814</v>
      </c>
      <c r="AU30" s="9058"/>
      <c r="AV30" s="9058"/>
      <c r="AW30" s="9058"/>
      <c r="AX30" s="9058"/>
      <c r="AY30" s="9058"/>
      <c r="AZ30" s="9058"/>
      <c r="BA30" s="8724"/>
      <c r="BB30" s="9058" t="str">
        <f>IF(TITLE_DATE_PR_CHANGE="",IF(TITLE_DATE_PR="","",TITLE_DATE_PR),TITLE_DATE_PR_CHANGE)</f>
        <v>45646.459814814814</v>
      </c>
      <c r="BC30" s="9058"/>
      <c r="BD30" s="9058"/>
      <c r="BE30" s="9058"/>
      <c r="BF30" s="9058"/>
      <c r="BG30" s="9058"/>
      <c r="BH30" s="9058"/>
      <c r="BI30" s="8724"/>
      <c r="BJ30" s="9058" t="str">
        <f>IF(TITLE_DATE_PR_CHANGE="",IF(TITLE_DATE_PR="","",TITLE_DATE_PR),TITLE_DATE_PR_CHANGE)</f>
        <v>45646.459814814814</v>
      </c>
      <c r="BK30" s="9058"/>
      <c r="BL30" s="9058"/>
      <c r="BM30" s="9058"/>
      <c r="BN30" s="9058"/>
      <c r="BO30" s="9058"/>
      <c r="BP30" s="9058"/>
      <c r="BQ30" s="8724"/>
      <c r="BR30" s="9058" t="str">
        <f>IF(TITLE_DATE_PR_CHANGE="",IF(TITLE_DATE_PR="","",TITLE_DATE_PR),TITLE_DATE_PR_CHANGE)</f>
        <v>45646.459814814814</v>
      </c>
      <c r="BS30" s="9058"/>
      <c r="BT30" s="9058"/>
      <c r="BU30" s="9058"/>
      <c r="BV30" s="9058"/>
      <c r="BW30" s="9058"/>
      <c r="BX30" s="9058"/>
      <c r="BY30" s="8724"/>
      <c r="BZ30" s="9058" t="str">
        <f>IF(TITLE_DATE_PR_CHANGE="",IF(TITLE_DATE_PR="","",TITLE_DATE_PR),TITLE_DATE_PR_CHANGE)</f>
        <v>45646.459814814814</v>
      </c>
      <c r="CA30" s="9058"/>
      <c r="CB30" s="9058"/>
      <c r="CC30" s="9058"/>
      <c r="CD30" s="9058"/>
      <c r="CE30" s="9058"/>
      <c r="CF30" s="9058"/>
      <c r="CG30" s="8724"/>
      <c r="CH30" s="9058" t="str">
        <f>IF(TITLE_DATE_PR_CHANGE="",IF(TITLE_DATE_PR="","",TITLE_DATE_PR),TITLE_DATE_PR_CHANGE)</f>
        <v>45646.459814814814</v>
      </c>
      <c r="CI30" s="9058"/>
      <c r="CJ30" s="9058"/>
      <c r="CK30" s="9058"/>
      <c r="CL30" s="9058"/>
      <c r="CM30" s="9058"/>
      <c r="CN30" s="9058"/>
      <c r="CO30" s="8724"/>
      <c r="CP30" s="9058" t="str">
        <f>IF(TITLE_DATE_PR_CHANGE="",IF(TITLE_DATE_PR="","",TITLE_DATE_PR),TITLE_DATE_PR_CHANGE)</f>
        <v>45646.459814814814</v>
      </c>
      <c r="CQ30" s="9058"/>
      <c r="CR30" s="9058"/>
      <c r="CS30" s="9058"/>
      <c r="CT30" s="9058"/>
      <c r="CU30" s="9058"/>
      <c r="CV30" s="9058"/>
      <c r="CW30" s="8724"/>
      <c r="CX30" s="9058" t="str">
        <f>IF(TITLE_DATE_PR_CHANGE="",IF(TITLE_DATE_PR="","",TITLE_DATE_PR),TITLE_DATE_PR_CHANGE)</f>
        <v>45646.459814814814</v>
      </c>
      <c r="CY30" s="9058"/>
      <c r="CZ30" s="9058"/>
      <c r="DA30" s="9058"/>
      <c r="DB30" s="9058"/>
      <c r="DC30" s="9058"/>
      <c r="DD30" s="9058"/>
      <c r="DE30" s="8724"/>
      <c r="DF30" s="496"/>
      <c r="DG30" s="450"/>
      <c r="DH30" s="538"/>
      <c r="DI30" s="538"/>
      <c r="DJ30" s="538"/>
      <c r="DK30" s="538"/>
      <c r="DL30" s="538"/>
      <c r="DM30" s="588">
        <v>0</v>
      </c>
    </row>
    <row s="12119" customFormat="1" customHeight="1" ht="18.75">
      <c r="A31" s="1538"/>
      <c r="B31" s="1538"/>
      <c r="C31" s="1538"/>
      <c r="D31" s="1538"/>
      <c r="E31" s="1538"/>
      <c r="F31" s="1538"/>
      <c r="G31" s="1538"/>
      <c r="H31" s="1538"/>
      <c r="I31" s="1538"/>
      <c r="J31" s="1538"/>
      <c r="K31" s="1538"/>
      <c r="L31" s="1539"/>
      <c r="M31" s="1538"/>
      <c r="N31" s="1538"/>
      <c r="O31" s="1538"/>
      <c r="S31" s="2420" t="s">
        <v>433</v>
      </c>
      <c r="T31" s="2420"/>
      <c r="U31" s="1542"/>
      <c r="V31" s="2421" t="str">
        <f>IF(TITLE_NUMBER_PR_CHANGE="",IF(TITLE_NUMBER_PR="","",TITLE_NUMBER_PR),TITLE_NUMBER_PR_CHANGE)</f>
        <v>329-Р</v>
      </c>
      <c r="W31" s="2421"/>
      <c r="X31" s="2421"/>
      <c r="Y31" s="2421"/>
      <c r="Z31" s="2421"/>
      <c r="AA31" s="2421"/>
      <c r="AB31" s="2421"/>
      <c r="AC31" s="496"/>
      <c r="AD31" s="2421" t="str">
        <f>IF(TITLE_NUMBER_PR_CHANGE="",IF(TITLE_NUMBER_PR="","",TITLE_NUMBER_PR),TITLE_NUMBER_PR_CHANGE)</f>
        <v>329-Р</v>
      </c>
      <c r="AE31" s="2421"/>
      <c r="AF31" s="2421"/>
      <c r="AG31" s="2421"/>
      <c r="AH31" s="2421"/>
      <c r="AI31" s="2421"/>
      <c r="AJ31" s="2421"/>
      <c r="AK31" s="496"/>
      <c r="AL31" s="9053" t="str">
        <f>IF(TITLE_NUMBER_PR_CHANGE="",IF(TITLE_NUMBER_PR="","",TITLE_NUMBER_PR),TITLE_NUMBER_PR_CHANGE)</f>
        <v>329-Р</v>
      </c>
      <c r="AM31" s="9053"/>
      <c r="AN31" s="9053"/>
      <c r="AO31" s="9053"/>
      <c r="AP31" s="9053"/>
      <c r="AQ31" s="9053"/>
      <c r="AR31" s="9053"/>
      <c r="AS31" s="8724"/>
      <c r="AT31" s="9053" t="str">
        <f>IF(TITLE_NUMBER_PR_CHANGE="",IF(TITLE_NUMBER_PR="","",TITLE_NUMBER_PR),TITLE_NUMBER_PR_CHANGE)</f>
        <v>329-Р</v>
      </c>
      <c r="AU31" s="9053"/>
      <c r="AV31" s="9053"/>
      <c r="AW31" s="9053"/>
      <c r="AX31" s="9053"/>
      <c r="AY31" s="9053"/>
      <c r="AZ31" s="9053"/>
      <c r="BA31" s="8724"/>
      <c r="BB31" s="9053" t="str">
        <f>IF(TITLE_NUMBER_PR_CHANGE="",IF(TITLE_NUMBER_PR="","",TITLE_NUMBER_PR),TITLE_NUMBER_PR_CHANGE)</f>
        <v>329-Р</v>
      </c>
      <c r="BC31" s="9053"/>
      <c r="BD31" s="9053"/>
      <c r="BE31" s="9053"/>
      <c r="BF31" s="9053"/>
      <c r="BG31" s="9053"/>
      <c r="BH31" s="9053"/>
      <c r="BI31" s="8724"/>
      <c r="BJ31" s="9053" t="str">
        <f>IF(TITLE_NUMBER_PR_CHANGE="",IF(TITLE_NUMBER_PR="","",TITLE_NUMBER_PR),TITLE_NUMBER_PR_CHANGE)</f>
        <v>329-Р</v>
      </c>
      <c r="BK31" s="9053"/>
      <c r="BL31" s="9053"/>
      <c r="BM31" s="9053"/>
      <c r="BN31" s="9053"/>
      <c r="BO31" s="9053"/>
      <c r="BP31" s="9053"/>
      <c r="BQ31" s="8724"/>
      <c r="BR31" s="9053" t="str">
        <f>IF(TITLE_NUMBER_PR_CHANGE="",IF(TITLE_NUMBER_PR="","",TITLE_NUMBER_PR),TITLE_NUMBER_PR_CHANGE)</f>
        <v>329-Р</v>
      </c>
      <c r="BS31" s="9053"/>
      <c r="BT31" s="9053"/>
      <c r="BU31" s="9053"/>
      <c r="BV31" s="9053"/>
      <c r="BW31" s="9053"/>
      <c r="BX31" s="9053"/>
      <c r="BY31" s="8724"/>
      <c r="BZ31" s="9053" t="str">
        <f>IF(TITLE_NUMBER_PR_CHANGE="",IF(TITLE_NUMBER_PR="","",TITLE_NUMBER_PR),TITLE_NUMBER_PR_CHANGE)</f>
        <v>329-Р</v>
      </c>
      <c r="CA31" s="9053"/>
      <c r="CB31" s="9053"/>
      <c r="CC31" s="9053"/>
      <c r="CD31" s="9053"/>
      <c r="CE31" s="9053"/>
      <c r="CF31" s="9053"/>
      <c r="CG31" s="8724"/>
      <c r="CH31" s="9053" t="str">
        <f>IF(TITLE_NUMBER_PR_CHANGE="",IF(TITLE_NUMBER_PR="","",TITLE_NUMBER_PR),TITLE_NUMBER_PR_CHANGE)</f>
        <v>329-Р</v>
      </c>
      <c r="CI31" s="9053"/>
      <c r="CJ31" s="9053"/>
      <c r="CK31" s="9053"/>
      <c r="CL31" s="9053"/>
      <c r="CM31" s="9053"/>
      <c r="CN31" s="9053"/>
      <c r="CO31" s="8724"/>
      <c r="CP31" s="9053" t="str">
        <f>IF(TITLE_NUMBER_PR_CHANGE="",IF(TITLE_NUMBER_PR="","",TITLE_NUMBER_PR),TITLE_NUMBER_PR_CHANGE)</f>
        <v>329-Р</v>
      </c>
      <c r="CQ31" s="9053"/>
      <c r="CR31" s="9053"/>
      <c r="CS31" s="9053"/>
      <c r="CT31" s="9053"/>
      <c r="CU31" s="9053"/>
      <c r="CV31" s="9053"/>
      <c r="CW31" s="8724"/>
      <c r="CX31" s="9053" t="str">
        <f>IF(TITLE_NUMBER_PR_CHANGE="",IF(TITLE_NUMBER_PR="","",TITLE_NUMBER_PR),TITLE_NUMBER_PR_CHANGE)</f>
        <v>329-Р</v>
      </c>
      <c r="CY31" s="9053"/>
      <c r="CZ31" s="9053"/>
      <c r="DA31" s="9053"/>
      <c r="DB31" s="9053"/>
      <c r="DC31" s="9053"/>
      <c r="DD31" s="9053"/>
      <c r="DE31" s="8724"/>
      <c r="DF31" s="496"/>
      <c r="DG31" s="450"/>
      <c r="DH31" s="538"/>
      <c r="DI31" s="538"/>
      <c r="DJ31" s="538"/>
      <c r="DK31" s="538"/>
      <c r="DL31" s="538"/>
      <c r="DM31" s="588">
        <v>0</v>
      </c>
    </row>
    <row s="12119" customFormat="1" customHeight="1" ht="18.75">
      <c r="A32" s="1538"/>
      <c r="B32" s="1538"/>
      <c r="C32" s="1538"/>
      <c r="D32" s="1538"/>
      <c r="E32" s="1538"/>
      <c r="F32" s="1538"/>
      <c r="G32" s="1538"/>
      <c r="H32" s="1538"/>
      <c r="I32" s="1538"/>
      <c r="J32" s="1538"/>
      <c r="K32" s="1538"/>
      <c r="L32" s="1539"/>
      <c r="M32" s="1538"/>
      <c r="N32" s="1538"/>
      <c r="O32" s="1538"/>
      <c r="S32" s="2420" t="s">
        <v>44</v>
      </c>
      <c r="T32" s="2420"/>
      <c r="U32" s="1542"/>
      <c r="V32"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421"/>
      <c r="X32" s="2421"/>
      <c r="Y32" s="2421"/>
      <c r="Z32" s="2421"/>
      <c r="AA32" s="2421"/>
      <c r="AB32" s="2421"/>
      <c r="AC32" s="496"/>
      <c r="AD32"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421"/>
      <c r="AF32" s="2421"/>
      <c r="AG32" s="2421"/>
      <c r="AH32" s="2421"/>
      <c r="AI32" s="2421"/>
      <c r="AJ32" s="2421"/>
      <c r="AK32" s="496"/>
      <c r="AL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M32" s="9053"/>
      <c r="AN32" s="9053"/>
      <c r="AO32" s="9053"/>
      <c r="AP32" s="9053"/>
      <c r="AQ32" s="9053"/>
      <c r="AR32" s="9053"/>
      <c r="AS32" s="8724"/>
      <c r="AT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U32" s="9053"/>
      <c r="AV32" s="9053"/>
      <c r="AW32" s="9053"/>
      <c r="AX32" s="9053"/>
      <c r="AY32" s="9053"/>
      <c r="AZ32" s="9053"/>
      <c r="BA32" s="8724"/>
      <c r="BB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C32" s="9053"/>
      <c r="BD32" s="9053"/>
      <c r="BE32" s="9053"/>
      <c r="BF32" s="9053"/>
      <c r="BG32" s="9053"/>
      <c r="BH32" s="9053"/>
      <c r="BI32" s="8724"/>
      <c r="BJ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K32" s="9053"/>
      <c r="BL32" s="9053"/>
      <c r="BM32" s="9053"/>
      <c r="BN32" s="9053"/>
      <c r="BO32" s="9053"/>
      <c r="BP32" s="9053"/>
      <c r="BQ32" s="8724"/>
      <c r="BR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S32" s="9053"/>
      <c r="BT32" s="9053"/>
      <c r="BU32" s="9053"/>
      <c r="BV32" s="9053"/>
      <c r="BW32" s="9053"/>
      <c r="BX32" s="9053"/>
      <c r="BY32" s="8724"/>
      <c r="BZ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A32" s="9053"/>
      <c r="CB32" s="9053"/>
      <c r="CC32" s="9053"/>
      <c r="CD32" s="9053"/>
      <c r="CE32" s="9053"/>
      <c r="CF32" s="9053"/>
      <c r="CG32" s="8724"/>
      <c r="CH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I32" s="9053"/>
      <c r="CJ32" s="9053"/>
      <c r="CK32" s="9053"/>
      <c r="CL32" s="9053"/>
      <c r="CM32" s="9053"/>
      <c r="CN32" s="9053"/>
      <c r="CO32" s="8724"/>
      <c r="CP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Q32" s="9053"/>
      <c r="CR32" s="9053"/>
      <c r="CS32" s="9053"/>
      <c r="CT32" s="9053"/>
      <c r="CU32" s="9053"/>
      <c r="CV32" s="9053"/>
      <c r="CW32" s="8724"/>
      <c r="CX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Y32" s="9053"/>
      <c r="CZ32" s="9053"/>
      <c r="DA32" s="9053"/>
      <c r="DB32" s="9053"/>
      <c r="DC32" s="9053"/>
      <c r="DD32" s="9053"/>
      <c r="DE32" s="8724"/>
      <c r="DF32" s="496"/>
      <c r="DG32" s="450"/>
      <c r="DH32" s="538"/>
      <c r="DI32" s="538"/>
      <c r="DJ32" s="538"/>
      <c r="DK32" s="538"/>
      <c r="DL32" s="538"/>
      <c r="DM32" s="588">
        <v>0</v>
      </c>
    </row>
    <row customHeight="1" ht="14.25" hidden="1">
      <c r="P33" s="1498"/>
      <c r="Q33" s="546"/>
      <c r="R33" s="546"/>
      <c r="S33" s="1445"/>
      <c r="T33" s="533"/>
      <c r="U33" s="533"/>
      <c r="V33" s="492"/>
      <c r="W33" s="492"/>
      <c r="X33" s="492"/>
      <c r="Y33" s="492"/>
      <c r="Z33" s="492"/>
      <c r="AA33" s="492"/>
      <c r="AB33" s="492"/>
      <c r="AC33" s="492"/>
      <c r="AD33" s="492"/>
      <c r="AE33" s="492"/>
      <c r="AF33" s="492"/>
      <c r="AG33" s="492"/>
      <c r="AH33" s="492"/>
      <c r="AI33" s="492"/>
      <c r="AJ33" s="492"/>
      <c r="AK33" s="492"/>
      <c r="AL33" s="9046"/>
      <c r="AM33" s="9046"/>
      <c r="AN33" s="9046"/>
      <c r="AO33" s="9046"/>
      <c r="AP33" s="9046"/>
      <c r="AQ33" s="9046"/>
      <c r="AR33" s="9046"/>
      <c r="AS33" s="9046"/>
      <c r="AT33" s="9046"/>
      <c r="AU33" s="9046"/>
      <c r="AV33" s="9046"/>
      <c r="AW33" s="9046"/>
      <c r="AX33" s="9046"/>
      <c r="AY33" s="9046"/>
      <c r="AZ33" s="9046"/>
      <c r="BA33" s="9046"/>
      <c r="BB33" s="9046"/>
      <c r="BC33" s="9046"/>
      <c r="BD33" s="9046"/>
      <c r="BE33" s="9046"/>
      <c r="BF33" s="9046"/>
      <c r="BG33" s="9046"/>
      <c r="BH33" s="9046"/>
      <c r="BI33" s="9046"/>
      <c r="BJ33" s="9046"/>
      <c r="BK33" s="9046"/>
      <c r="BL33" s="9046"/>
      <c r="BM33" s="9046"/>
      <c r="BN33" s="9046"/>
      <c r="BO33" s="9046"/>
      <c r="BP33" s="9046"/>
      <c r="BQ33" s="9046"/>
      <c r="BR33" s="9046"/>
      <c r="BS33" s="9046"/>
      <c r="BT33" s="9046"/>
      <c r="BU33" s="9046"/>
      <c r="BV33" s="9046"/>
      <c r="BW33" s="9046"/>
      <c r="BX33" s="9046"/>
      <c r="BY33" s="9046"/>
      <c r="BZ33" s="9046"/>
      <c r="CA33" s="9046"/>
      <c r="CB33" s="9046"/>
      <c r="CC33" s="9046"/>
      <c r="CD33" s="9046"/>
      <c r="CE33" s="9046"/>
      <c r="CF33" s="9046"/>
      <c r="CG33" s="9046"/>
      <c r="CH33" s="9046"/>
      <c r="CI33" s="9046"/>
      <c r="CJ33" s="9046"/>
      <c r="CK33" s="9046"/>
      <c r="CL33" s="9046"/>
      <c r="CM33" s="9046"/>
      <c r="CN33" s="9046"/>
      <c r="CO33" s="9046"/>
      <c r="CP33" s="9046"/>
      <c r="CQ33" s="9046"/>
      <c r="CR33" s="9046"/>
      <c r="CS33" s="9046"/>
      <c r="CT33" s="9046"/>
      <c r="CU33" s="9046"/>
      <c r="CV33" s="9046"/>
      <c r="CW33" s="9046"/>
      <c r="CX33" s="9046"/>
      <c r="CY33" s="9046"/>
      <c r="CZ33" s="9046"/>
      <c r="DA33" s="9046"/>
      <c r="DB33" s="9046"/>
      <c r="DC33" s="9046"/>
      <c r="DD33" s="9046"/>
      <c r="DE33" s="9046"/>
      <c r="DF33" s="679"/>
      <c r="DM33" s="1325">
        <v>0</v>
      </c>
    </row>
    <row s="12119" customFormat="1" customHeight="1" ht="18.75" hidden="1">
      <c r="A34" s="1538"/>
      <c r="B34" s="1538"/>
      <c r="C34" s="1538"/>
      <c r="D34" s="1538"/>
      <c r="E34" s="1538"/>
      <c r="F34" s="1538"/>
      <c r="G34" s="1538"/>
      <c r="H34" s="1538"/>
      <c r="I34" s="1538"/>
      <c r="J34" s="1538"/>
      <c r="K34" s="1538"/>
      <c r="L34" s="1539"/>
      <c r="M34" s="1538"/>
      <c r="N34" s="1538"/>
      <c r="O34" s="1538"/>
      <c r="S34" s="2420" t="s">
        <v>434</v>
      </c>
      <c r="T34" s="2420"/>
      <c r="U34" s="1542"/>
      <c r="V34" s="2434" t="str">
        <f>IF(TITLE_DATE_PR_CHANGE="",IF(TITLE_DATE_PR="","",TITLE_DATE_PR),TITLE_DATE_PR_CHANGE)</f>
        <v>45646.459814814814</v>
      </c>
      <c r="W34" s="2434"/>
      <c r="X34" s="2434"/>
      <c r="Y34" s="2434"/>
      <c r="Z34" s="2434"/>
      <c r="AA34" s="2434"/>
      <c r="AB34" s="2434"/>
      <c r="AC34" s="496"/>
      <c r="AD34" s="2434" t="str">
        <f>IF(TITLE_DATE_PR_CHANGE="",IF(TITLE_DATE_PR="","",TITLE_DATE_PR),TITLE_DATE_PR_CHANGE)</f>
        <v>45646.459814814814</v>
      </c>
      <c r="AE34" s="2434"/>
      <c r="AF34" s="2434"/>
      <c r="AG34" s="2434"/>
      <c r="AH34" s="2434"/>
      <c r="AI34" s="2434"/>
      <c r="AJ34" s="2434"/>
      <c r="AK34" s="496"/>
      <c r="AL34" s="9058" t="str">
        <f>IF(TITLE_DATE_PR_CHANGE="",IF(TITLE_DATE_PR="","",TITLE_DATE_PR),TITLE_DATE_PR_CHANGE)</f>
        <v>45646.459814814814</v>
      </c>
      <c r="AM34" s="9058"/>
      <c r="AN34" s="9058"/>
      <c r="AO34" s="9058"/>
      <c r="AP34" s="9058"/>
      <c r="AQ34" s="9058"/>
      <c r="AR34" s="9058"/>
      <c r="AS34" s="8724"/>
      <c r="AT34" s="9058" t="str">
        <f>IF(TITLE_DATE_PR_CHANGE="",IF(TITLE_DATE_PR="","",TITLE_DATE_PR),TITLE_DATE_PR_CHANGE)</f>
        <v>45646.459814814814</v>
      </c>
      <c r="AU34" s="9058"/>
      <c r="AV34" s="9058"/>
      <c r="AW34" s="9058"/>
      <c r="AX34" s="9058"/>
      <c r="AY34" s="9058"/>
      <c r="AZ34" s="9058"/>
      <c r="BA34" s="8724"/>
      <c r="BB34" s="9058" t="str">
        <f>IF(TITLE_DATE_PR_CHANGE="",IF(TITLE_DATE_PR="","",TITLE_DATE_PR),TITLE_DATE_PR_CHANGE)</f>
        <v>45646.459814814814</v>
      </c>
      <c r="BC34" s="9058"/>
      <c r="BD34" s="9058"/>
      <c r="BE34" s="9058"/>
      <c r="BF34" s="9058"/>
      <c r="BG34" s="9058"/>
      <c r="BH34" s="9058"/>
      <c r="BI34" s="8724"/>
      <c r="BJ34" s="9058" t="str">
        <f>IF(TITLE_DATE_PR_CHANGE="",IF(TITLE_DATE_PR="","",TITLE_DATE_PR),TITLE_DATE_PR_CHANGE)</f>
        <v>45646.459814814814</v>
      </c>
      <c r="BK34" s="9058"/>
      <c r="BL34" s="9058"/>
      <c r="BM34" s="9058"/>
      <c r="BN34" s="9058"/>
      <c r="BO34" s="9058"/>
      <c r="BP34" s="9058"/>
      <c r="BQ34" s="8724"/>
      <c r="BR34" s="9058" t="str">
        <f>IF(TITLE_DATE_PR_CHANGE="",IF(TITLE_DATE_PR="","",TITLE_DATE_PR),TITLE_DATE_PR_CHANGE)</f>
        <v>45646.459814814814</v>
      </c>
      <c r="BS34" s="9058"/>
      <c r="BT34" s="9058"/>
      <c r="BU34" s="9058"/>
      <c r="BV34" s="9058"/>
      <c r="BW34" s="9058"/>
      <c r="BX34" s="9058"/>
      <c r="BY34" s="8724"/>
      <c r="BZ34" s="9058" t="str">
        <f>IF(TITLE_DATE_PR_CHANGE="",IF(TITLE_DATE_PR="","",TITLE_DATE_PR),TITLE_DATE_PR_CHANGE)</f>
        <v>45646.459814814814</v>
      </c>
      <c r="CA34" s="9058"/>
      <c r="CB34" s="9058"/>
      <c r="CC34" s="9058"/>
      <c r="CD34" s="9058"/>
      <c r="CE34" s="9058"/>
      <c r="CF34" s="9058"/>
      <c r="CG34" s="8724"/>
      <c r="CH34" s="9058" t="str">
        <f>IF(TITLE_DATE_PR_CHANGE="",IF(TITLE_DATE_PR="","",TITLE_DATE_PR),TITLE_DATE_PR_CHANGE)</f>
        <v>45646.459814814814</v>
      </c>
      <c r="CI34" s="9058"/>
      <c r="CJ34" s="9058"/>
      <c r="CK34" s="9058"/>
      <c r="CL34" s="9058"/>
      <c r="CM34" s="9058"/>
      <c r="CN34" s="9058"/>
      <c r="CO34" s="8724"/>
      <c r="CP34" s="9058" t="str">
        <f>IF(TITLE_DATE_PR_CHANGE="",IF(TITLE_DATE_PR="","",TITLE_DATE_PR),TITLE_DATE_PR_CHANGE)</f>
        <v>45646.459814814814</v>
      </c>
      <c r="CQ34" s="9058"/>
      <c r="CR34" s="9058"/>
      <c r="CS34" s="9058"/>
      <c r="CT34" s="9058"/>
      <c r="CU34" s="9058"/>
      <c r="CV34" s="9058"/>
      <c r="CW34" s="8724"/>
      <c r="CX34" s="9058" t="str">
        <f>IF(TITLE_DATE_PR_CHANGE="",IF(TITLE_DATE_PR="","",TITLE_DATE_PR),TITLE_DATE_PR_CHANGE)</f>
        <v>45646.459814814814</v>
      </c>
      <c r="CY34" s="9058"/>
      <c r="CZ34" s="9058"/>
      <c r="DA34" s="9058"/>
      <c r="DB34" s="9058"/>
      <c r="DC34" s="9058"/>
      <c r="DD34" s="9058"/>
      <c r="DE34" s="8724"/>
      <c r="DF34" s="496"/>
      <c r="DG34" s="450"/>
      <c r="DH34" s="538"/>
      <c r="DI34" s="538"/>
      <c r="DJ34" s="538"/>
      <c r="DK34" s="538"/>
      <c r="DL34" s="538"/>
      <c r="DM34" s="588">
        <v>0</v>
      </c>
    </row>
    <row s="12119" customFormat="1" customHeight="1" ht="18.75" hidden="1">
      <c r="A35" s="1538"/>
      <c r="B35" s="1538"/>
      <c r="C35" s="1538"/>
      <c r="D35" s="1538"/>
      <c r="E35" s="1538"/>
      <c r="F35" s="1538"/>
      <c r="G35" s="1538"/>
      <c r="H35" s="1538"/>
      <c r="I35" s="1538"/>
      <c r="J35" s="1538"/>
      <c r="K35" s="1538"/>
      <c r="L35" s="1539"/>
      <c r="M35" s="1538"/>
      <c r="N35" s="1538"/>
      <c r="O35" s="1538"/>
      <c r="S35" s="2420" t="s">
        <v>435</v>
      </c>
      <c r="T35" s="2420"/>
      <c r="U35" s="1542"/>
      <c r="V35" s="2421" t="str">
        <f>IF(TITLE_NUMBER_PR_CHANGE="",IF(TITLE_NUMBER_PR="","",TITLE_NUMBER_PR),TITLE_NUMBER_PR_CHANGE)</f>
        <v>329-Р</v>
      </c>
      <c r="W35" s="2421"/>
      <c r="X35" s="2421"/>
      <c r="Y35" s="2421"/>
      <c r="Z35" s="2421"/>
      <c r="AA35" s="2421"/>
      <c r="AB35" s="2421"/>
      <c r="AC35" s="496"/>
      <c r="AD35" s="2421" t="str">
        <f>IF(TITLE_NUMBER_PR_CHANGE="",IF(TITLE_NUMBER_PR="","",TITLE_NUMBER_PR),TITLE_NUMBER_PR_CHANGE)</f>
        <v>329-Р</v>
      </c>
      <c r="AE35" s="2421"/>
      <c r="AF35" s="2421"/>
      <c r="AG35" s="2421"/>
      <c r="AH35" s="2421"/>
      <c r="AI35" s="2421"/>
      <c r="AJ35" s="2421"/>
      <c r="AK35" s="496"/>
      <c r="AL35" s="9053" t="str">
        <f>IF(TITLE_NUMBER_PR_CHANGE="",IF(TITLE_NUMBER_PR="","",TITLE_NUMBER_PR),TITLE_NUMBER_PR_CHANGE)</f>
        <v>329-Р</v>
      </c>
      <c r="AM35" s="9053"/>
      <c r="AN35" s="9053"/>
      <c r="AO35" s="9053"/>
      <c r="AP35" s="9053"/>
      <c r="AQ35" s="9053"/>
      <c r="AR35" s="9053"/>
      <c r="AS35" s="8724"/>
      <c r="AT35" s="9053" t="str">
        <f>IF(TITLE_NUMBER_PR_CHANGE="",IF(TITLE_NUMBER_PR="","",TITLE_NUMBER_PR),TITLE_NUMBER_PR_CHANGE)</f>
        <v>329-Р</v>
      </c>
      <c r="AU35" s="9053"/>
      <c r="AV35" s="9053"/>
      <c r="AW35" s="9053"/>
      <c r="AX35" s="9053"/>
      <c r="AY35" s="9053"/>
      <c r="AZ35" s="9053"/>
      <c r="BA35" s="8724"/>
      <c r="BB35" s="9053" t="str">
        <f>IF(TITLE_NUMBER_PR_CHANGE="",IF(TITLE_NUMBER_PR="","",TITLE_NUMBER_PR),TITLE_NUMBER_PR_CHANGE)</f>
        <v>329-Р</v>
      </c>
      <c r="BC35" s="9053"/>
      <c r="BD35" s="9053"/>
      <c r="BE35" s="9053"/>
      <c r="BF35" s="9053"/>
      <c r="BG35" s="9053"/>
      <c r="BH35" s="9053"/>
      <c r="BI35" s="8724"/>
      <c r="BJ35" s="9053" t="str">
        <f>IF(TITLE_NUMBER_PR_CHANGE="",IF(TITLE_NUMBER_PR="","",TITLE_NUMBER_PR),TITLE_NUMBER_PR_CHANGE)</f>
        <v>329-Р</v>
      </c>
      <c r="BK35" s="9053"/>
      <c r="BL35" s="9053"/>
      <c r="BM35" s="9053"/>
      <c r="BN35" s="9053"/>
      <c r="BO35" s="9053"/>
      <c r="BP35" s="9053"/>
      <c r="BQ35" s="8724"/>
      <c r="BR35" s="9053" t="str">
        <f>IF(TITLE_NUMBER_PR_CHANGE="",IF(TITLE_NUMBER_PR="","",TITLE_NUMBER_PR),TITLE_NUMBER_PR_CHANGE)</f>
        <v>329-Р</v>
      </c>
      <c r="BS35" s="9053"/>
      <c r="BT35" s="9053"/>
      <c r="BU35" s="9053"/>
      <c r="BV35" s="9053"/>
      <c r="BW35" s="9053"/>
      <c r="BX35" s="9053"/>
      <c r="BY35" s="8724"/>
      <c r="BZ35" s="9053" t="str">
        <f>IF(TITLE_NUMBER_PR_CHANGE="",IF(TITLE_NUMBER_PR="","",TITLE_NUMBER_PR),TITLE_NUMBER_PR_CHANGE)</f>
        <v>329-Р</v>
      </c>
      <c r="CA35" s="9053"/>
      <c r="CB35" s="9053"/>
      <c r="CC35" s="9053"/>
      <c r="CD35" s="9053"/>
      <c r="CE35" s="9053"/>
      <c r="CF35" s="9053"/>
      <c r="CG35" s="8724"/>
      <c r="CH35" s="9053" t="str">
        <f>IF(TITLE_NUMBER_PR_CHANGE="",IF(TITLE_NUMBER_PR="","",TITLE_NUMBER_PR),TITLE_NUMBER_PR_CHANGE)</f>
        <v>329-Р</v>
      </c>
      <c r="CI35" s="9053"/>
      <c r="CJ35" s="9053"/>
      <c r="CK35" s="9053"/>
      <c r="CL35" s="9053"/>
      <c r="CM35" s="9053"/>
      <c r="CN35" s="9053"/>
      <c r="CO35" s="8724"/>
      <c r="CP35" s="9053" t="str">
        <f>IF(TITLE_NUMBER_PR_CHANGE="",IF(TITLE_NUMBER_PR="","",TITLE_NUMBER_PR),TITLE_NUMBER_PR_CHANGE)</f>
        <v>329-Р</v>
      </c>
      <c r="CQ35" s="9053"/>
      <c r="CR35" s="9053"/>
      <c r="CS35" s="9053"/>
      <c r="CT35" s="9053"/>
      <c r="CU35" s="9053"/>
      <c r="CV35" s="9053"/>
      <c r="CW35" s="8724"/>
      <c r="CX35" s="9053" t="str">
        <f>IF(TITLE_NUMBER_PR_CHANGE="",IF(TITLE_NUMBER_PR="","",TITLE_NUMBER_PR),TITLE_NUMBER_PR_CHANGE)</f>
        <v>329-Р</v>
      </c>
      <c r="CY35" s="9053"/>
      <c r="CZ35" s="9053"/>
      <c r="DA35" s="9053"/>
      <c r="DB35" s="9053"/>
      <c r="DC35" s="9053"/>
      <c r="DD35" s="9053"/>
      <c r="DE35" s="8724"/>
      <c r="DF35" s="496"/>
      <c r="DG35" s="450"/>
      <c r="DH35" s="538"/>
      <c r="DI35" s="538"/>
      <c r="DJ35" s="538"/>
      <c r="DK35" s="538"/>
      <c r="DL35" s="538"/>
      <c r="DM35" s="588">
        <v>0</v>
      </c>
    </row>
    <row s="12119" customFormat="1" customHeight="1" ht="0">
      <c r="A36" s="1538"/>
      <c r="B36" s="1538"/>
      <c r="C36" s="1538"/>
      <c r="D36" s="1538"/>
      <c r="E36" s="1538"/>
      <c r="F36" s="1538"/>
      <c r="G36" s="1538"/>
      <c r="H36" s="1538"/>
      <c r="I36" s="1538"/>
      <c r="J36" s="1538"/>
      <c r="K36" s="1538"/>
      <c r="L36" s="1539"/>
      <c r="M36" s="1538"/>
      <c r="N36" s="1538"/>
      <c r="O36" s="1538"/>
      <c r="S36" s="493"/>
      <c r="T36" s="493"/>
      <c r="U36" s="1389"/>
      <c r="V36" s="496"/>
      <c r="W36" s="496"/>
      <c r="X36" s="496"/>
      <c r="Y36" s="496"/>
      <c r="Z36" s="496"/>
      <c r="AA36" s="496"/>
      <c r="AB36" s="496"/>
      <c r="AC36" s="448" t="s">
        <v>436</v>
      </c>
      <c r="AD36" s="496"/>
      <c r="AE36" s="496"/>
      <c r="AF36" s="496"/>
      <c r="AG36" s="496"/>
      <c r="AH36" s="496"/>
      <c r="AI36" s="496"/>
      <c r="AJ36" s="496"/>
      <c r="AK36" s="448" t="s">
        <v>436</v>
      </c>
      <c r="AL36" s="8724"/>
      <c r="AM36" s="8724"/>
      <c r="AN36" s="8724"/>
      <c r="AO36" s="8724"/>
      <c r="AP36" s="8724"/>
      <c r="AQ36" s="8724"/>
      <c r="AR36" s="8724"/>
      <c r="AS36" s="9062" t="s">
        <v>436</v>
      </c>
      <c r="AT36" s="8724"/>
      <c r="AU36" s="8724"/>
      <c r="AV36" s="8724"/>
      <c r="AW36" s="8724"/>
      <c r="AX36" s="8724"/>
      <c r="AY36" s="8724"/>
      <c r="AZ36" s="8724"/>
      <c r="BA36" s="9062" t="s">
        <v>436</v>
      </c>
      <c r="BB36" s="8724"/>
      <c r="BC36" s="8724"/>
      <c r="BD36" s="8724"/>
      <c r="BE36" s="8724"/>
      <c r="BF36" s="8724"/>
      <c r="BG36" s="8724"/>
      <c r="BH36" s="8724"/>
      <c r="BI36" s="9062" t="s">
        <v>436</v>
      </c>
      <c r="BJ36" s="8724"/>
      <c r="BK36" s="8724"/>
      <c r="BL36" s="8724"/>
      <c r="BM36" s="8724"/>
      <c r="BN36" s="8724"/>
      <c r="BO36" s="8724"/>
      <c r="BP36" s="8724"/>
      <c r="BQ36" s="9062" t="s">
        <v>436</v>
      </c>
      <c r="BR36" s="8724"/>
      <c r="BS36" s="8724"/>
      <c r="BT36" s="8724"/>
      <c r="BU36" s="8724"/>
      <c r="BV36" s="8724"/>
      <c r="BW36" s="8724"/>
      <c r="BX36" s="8724"/>
      <c r="BY36" s="9062" t="s">
        <v>436</v>
      </c>
      <c r="BZ36" s="8724"/>
      <c r="CA36" s="8724"/>
      <c r="CB36" s="8724"/>
      <c r="CC36" s="8724"/>
      <c r="CD36" s="8724"/>
      <c r="CE36" s="8724"/>
      <c r="CF36" s="8724"/>
      <c r="CG36" s="9062" t="s">
        <v>436</v>
      </c>
      <c r="CH36" s="8724"/>
      <c r="CI36" s="8724"/>
      <c r="CJ36" s="8724"/>
      <c r="CK36" s="8724"/>
      <c r="CL36" s="8724"/>
      <c r="CM36" s="8724"/>
      <c r="CN36" s="8724"/>
      <c r="CO36" s="9062" t="s">
        <v>436</v>
      </c>
      <c r="CP36" s="8724"/>
      <c r="CQ36" s="8724"/>
      <c r="CR36" s="8724"/>
      <c r="CS36" s="8724"/>
      <c r="CT36" s="8724"/>
      <c r="CU36" s="8724"/>
      <c r="CV36" s="8724"/>
      <c r="CW36" s="9062" t="s">
        <v>436</v>
      </c>
      <c r="CX36" s="8724"/>
      <c r="CY36" s="8724"/>
      <c r="CZ36" s="8724"/>
      <c r="DA36" s="8724"/>
      <c r="DB36" s="8724"/>
      <c r="DC36" s="8724"/>
      <c r="DD36" s="8724"/>
      <c r="DE36" s="9062" t="s">
        <v>436</v>
      </c>
      <c r="DH36" s="538"/>
      <c r="DI36" s="538"/>
      <c r="DJ36" s="538"/>
      <c r="DK36" s="538"/>
      <c r="DL36" s="538"/>
      <c r="DM36" s="588">
        <v>0</v>
      </c>
    </row>
    <row customHeight="1" ht="14.699999999999998">
      <c r="Q37" s="546"/>
      <c r="R37" s="546"/>
      <c r="S37" s="1445"/>
      <c r="T37" s="533"/>
      <c r="U37" s="1414"/>
      <c r="V37" s="2422"/>
      <c r="W37" s="2422"/>
      <c r="X37" s="2422"/>
      <c r="Y37" s="2422"/>
      <c r="Z37" s="2422"/>
      <c r="AA37" s="2422"/>
      <c r="AB37" s="2422"/>
      <c r="AC37" s="2422"/>
      <c r="AD37" s="2422"/>
      <c r="AE37" s="2422"/>
      <c r="AF37" s="2422"/>
      <c r="AG37" s="2422"/>
      <c r="AH37" s="2422"/>
      <c r="AI37" s="2422"/>
      <c r="AJ37" s="2422"/>
      <c r="AK37" s="2422"/>
      <c r="AL37" s="9065" t="s">
        <v>437</v>
      </c>
      <c r="AM37" s="9065"/>
      <c r="AN37" s="9065"/>
      <c r="AO37" s="9065"/>
      <c r="AP37" s="9065"/>
      <c r="AQ37" s="9065"/>
      <c r="AR37" s="9065"/>
      <c r="AS37" s="9065"/>
      <c r="AT37" s="9065" t="s">
        <v>437</v>
      </c>
      <c r="AU37" s="9065"/>
      <c r="AV37" s="9065"/>
      <c r="AW37" s="9065"/>
      <c r="AX37" s="9065"/>
      <c r="AY37" s="9065"/>
      <c r="AZ37" s="9065"/>
      <c r="BA37" s="9065"/>
      <c r="BB37" s="9065" t="s">
        <v>437</v>
      </c>
      <c r="BC37" s="9065"/>
      <c r="BD37" s="9065"/>
      <c r="BE37" s="9065"/>
      <c r="BF37" s="9065"/>
      <c r="BG37" s="9065"/>
      <c r="BH37" s="9065"/>
      <c r="BI37" s="9065"/>
      <c r="BJ37" s="9065" t="s">
        <v>437</v>
      </c>
      <c r="BK37" s="9065"/>
      <c r="BL37" s="9065"/>
      <c r="BM37" s="9065"/>
      <c r="BN37" s="9065"/>
      <c r="BO37" s="9065"/>
      <c r="BP37" s="9065"/>
      <c r="BQ37" s="9065"/>
      <c r="BR37" s="9065" t="s">
        <v>437</v>
      </c>
      <c r="BS37" s="9065"/>
      <c r="BT37" s="9065"/>
      <c r="BU37" s="9065"/>
      <c r="BV37" s="9065"/>
      <c r="BW37" s="9065"/>
      <c r="BX37" s="9065"/>
      <c r="BY37" s="9065"/>
      <c r="BZ37" s="9065" t="s">
        <v>437</v>
      </c>
      <c r="CA37" s="9065"/>
      <c r="CB37" s="9065"/>
      <c r="CC37" s="9065"/>
      <c r="CD37" s="9065"/>
      <c r="CE37" s="9065"/>
      <c r="CF37" s="9065"/>
      <c r="CG37" s="9065"/>
      <c r="CH37" s="9065" t="s">
        <v>437</v>
      </c>
      <c r="CI37" s="9065"/>
      <c r="CJ37" s="9065"/>
      <c r="CK37" s="9065"/>
      <c r="CL37" s="9065"/>
      <c r="CM37" s="9065"/>
      <c r="CN37" s="9065"/>
      <c r="CO37" s="9065"/>
      <c r="CP37" s="9065" t="s">
        <v>437</v>
      </c>
      <c r="CQ37" s="9065"/>
      <c r="CR37" s="9065"/>
      <c r="CS37" s="9065"/>
      <c r="CT37" s="9065"/>
      <c r="CU37" s="9065"/>
      <c r="CV37" s="9065"/>
      <c r="CW37" s="9065"/>
      <c r="CX37" s="9065" t="s">
        <v>437</v>
      </c>
      <c r="CY37" s="9065"/>
      <c r="CZ37" s="9065"/>
      <c r="DA37" s="9065"/>
      <c r="DB37" s="9065"/>
      <c r="DC37" s="9065"/>
      <c r="DD37" s="9065"/>
      <c r="DE37" s="9065"/>
      <c r="DM37" s="1325">
        <v>14</v>
      </c>
    </row>
    <row customHeight="1" ht="15">
      <c r="Q38" s="546"/>
      <c r="R38" s="546"/>
      <c r="S38" s="2297" t="s">
        <v>312</v>
      </c>
      <c r="T38" s="2297"/>
      <c r="U38" s="2297"/>
      <c r="V38" s="2297"/>
      <c r="W38" s="2297"/>
      <c r="X38" s="2297"/>
      <c r="Y38" s="2297"/>
      <c r="Z38" s="2297"/>
      <c r="AA38" s="2297"/>
      <c r="AB38" s="2297"/>
      <c r="AC38" s="2297"/>
      <c r="AD38" s="2297"/>
      <c r="AE38" s="2297"/>
      <c r="AF38" s="2297"/>
      <c r="AG38" s="2297"/>
      <c r="AH38" s="2297"/>
      <c r="AI38" s="2297"/>
      <c r="AJ38" s="2297"/>
      <c r="AK38" s="2297"/>
      <c r="AL38" s="9066" t="s">
        <v>312</v>
      </c>
      <c r="AM38" s="9066"/>
      <c r="AN38" s="9066"/>
      <c r="AO38" s="9066"/>
      <c r="AP38" s="9066"/>
      <c r="AQ38" s="9066"/>
      <c r="AR38" s="9066"/>
      <c r="AS38" s="9066"/>
      <c r="AT38" s="9066" t="s">
        <v>312</v>
      </c>
      <c r="AU38" s="9066"/>
      <c r="AV38" s="9066"/>
      <c r="AW38" s="9066"/>
      <c r="AX38" s="9066"/>
      <c r="AY38" s="9066"/>
      <c r="AZ38" s="9066"/>
      <c r="BA38" s="9066"/>
      <c r="BB38" s="9066" t="s">
        <v>312</v>
      </c>
      <c r="BC38" s="9066"/>
      <c r="BD38" s="9066"/>
      <c r="BE38" s="9066"/>
      <c r="BF38" s="9066"/>
      <c r="BG38" s="9066"/>
      <c r="BH38" s="9066"/>
      <c r="BI38" s="9066"/>
      <c r="BJ38" s="9066" t="s">
        <v>312</v>
      </c>
      <c r="BK38" s="9066"/>
      <c r="BL38" s="9066"/>
      <c r="BM38" s="9066"/>
      <c r="BN38" s="9066"/>
      <c r="BO38" s="9066"/>
      <c r="BP38" s="9066"/>
      <c r="BQ38" s="9066"/>
      <c r="BR38" s="9066" t="s">
        <v>312</v>
      </c>
      <c r="BS38" s="9066"/>
      <c r="BT38" s="9066"/>
      <c r="BU38" s="9066"/>
      <c r="BV38" s="9066"/>
      <c r="BW38" s="9066"/>
      <c r="BX38" s="9066"/>
      <c r="BY38" s="9066"/>
      <c r="BZ38" s="9066" t="s">
        <v>312</v>
      </c>
      <c r="CA38" s="9066"/>
      <c r="CB38" s="9066"/>
      <c r="CC38" s="9066"/>
      <c r="CD38" s="9066"/>
      <c r="CE38" s="9066"/>
      <c r="CF38" s="9066"/>
      <c r="CG38" s="9066"/>
      <c r="CH38" s="9066" t="s">
        <v>312</v>
      </c>
      <c r="CI38" s="9066"/>
      <c r="CJ38" s="9066"/>
      <c r="CK38" s="9066"/>
      <c r="CL38" s="9066"/>
      <c r="CM38" s="9066"/>
      <c r="CN38" s="9066"/>
      <c r="CO38" s="9066"/>
      <c r="CP38" s="9066" t="s">
        <v>312</v>
      </c>
      <c r="CQ38" s="9066"/>
      <c r="CR38" s="9066"/>
      <c r="CS38" s="9066"/>
      <c r="CT38" s="9066"/>
      <c r="CU38" s="9066"/>
      <c r="CV38" s="9066"/>
      <c r="CW38" s="9066"/>
      <c r="CX38" s="9066" t="s">
        <v>312</v>
      </c>
      <c r="CY38" s="9066"/>
      <c r="CZ38" s="9066"/>
      <c r="DA38" s="9066"/>
      <c r="DB38" s="9066"/>
      <c r="DC38" s="9066"/>
      <c r="DD38" s="9066"/>
      <c r="DE38" s="9066"/>
      <c r="DF38" s="2297"/>
      <c r="DG38" s="2297"/>
      <c r="DM38" s="1325"/>
    </row>
    <row customHeight="1" ht="14.699999999999998">
      <c r="Q39" s="546"/>
      <c r="R39" s="546"/>
      <c r="S39" s="2443" t="s">
        <v>91</v>
      </c>
      <c r="T39" s="2379" t="s">
        <v>438</v>
      </c>
      <c r="U39" s="471"/>
      <c r="V39" s="2444" t="s">
        <v>439</v>
      </c>
      <c r="W39" s="2445"/>
      <c r="X39" s="2445"/>
      <c r="Y39" s="2445"/>
      <c r="Z39" s="2445"/>
      <c r="AA39" s="2445"/>
      <c r="AB39" s="2446"/>
      <c r="AC39" s="2447" t="s">
        <v>440</v>
      </c>
      <c r="AD39" s="2444" t="s">
        <v>439</v>
      </c>
      <c r="AE39" s="2445"/>
      <c r="AF39" s="2445"/>
      <c r="AG39" s="2445"/>
      <c r="AH39" s="2445"/>
      <c r="AI39" s="2445"/>
      <c r="AJ39" s="2446"/>
      <c r="AK39" s="2447" t="s">
        <v>441</v>
      </c>
      <c r="AL39" s="9073" t="s">
        <v>439</v>
      </c>
      <c r="AM39" s="9074"/>
      <c r="AN39" s="9074"/>
      <c r="AO39" s="9074"/>
      <c r="AP39" s="9074"/>
      <c r="AQ39" s="9074"/>
      <c r="AR39" s="9075"/>
      <c r="AS39" s="9076" t="s">
        <v>440</v>
      </c>
      <c r="AT39" s="9073" t="s">
        <v>439</v>
      </c>
      <c r="AU39" s="9074"/>
      <c r="AV39" s="9074"/>
      <c r="AW39" s="9074"/>
      <c r="AX39" s="9074"/>
      <c r="AY39" s="9074"/>
      <c r="AZ39" s="9075"/>
      <c r="BA39" s="9076" t="s">
        <v>440</v>
      </c>
      <c r="BB39" s="9073" t="s">
        <v>439</v>
      </c>
      <c r="BC39" s="9074"/>
      <c r="BD39" s="9074"/>
      <c r="BE39" s="9074"/>
      <c r="BF39" s="9074"/>
      <c r="BG39" s="9074"/>
      <c r="BH39" s="9075"/>
      <c r="BI39" s="9076" t="s">
        <v>440</v>
      </c>
      <c r="BJ39" s="9073" t="s">
        <v>439</v>
      </c>
      <c r="BK39" s="9074"/>
      <c r="BL39" s="9074"/>
      <c r="BM39" s="9074"/>
      <c r="BN39" s="9074"/>
      <c r="BO39" s="9074"/>
      <c r="BP39" s="9075"/>
      <c r="BQ39" s="9076" t="s">
        <v>440</v>
      </c>
      <c r="BR39" s="9073" t="s">
        <v>439</v>
      </c>
      <c r="BS39" s="9074"/>
      <c r="BT39" s="9074"/>
      <c r="BU39" s="9074"/>
      <c r="BV39" s="9074"/>
      <c r="BW39" s="9074"/>
      <c r="BX39" s="9075"/>
      <c r="BY39" s="9076" t="s">
        <v>440</v>
      </c>
      <c r="BZ39" s="9073" t="s">
        <v>439</v>
      </c>
      <c r="CA39" s="9074"/>
      <c r="CB39" s="9074"/>
      <c r="CC39" s="9074"/>
      <c r="CD39" s="9074"/>
      <c r="CE39" s="9074"/>
      <c r="CF39" s="9075"/>
      <c r="CG39" s="9076" t="s">
        <v>440</v>
      </c>
      <c r="CH39" s="9073" t="s">
        <v>439</v>
      </c>
      <c r="CI39" s="9074"/>
      <c r="CJ39" s="9074"/>
      <c r="CK39" s="9074"/>
      <c r="CL39" s="9074"/>
      <c r="CM39" s="9074"/>
      <c r="CN39" s="9075"/>
      <c r="CO39" s="9076" t="s">
        <v>440</v>
      </c>
      <c r="CP39" s="9073" t="s">
        <v>439</v>
      </c>
      <c r="CQ39" s="9074"/>
      <c r="CR39" s="9074"/>
      <c r="CS39" s="9074"/>
      <c r="CT39" s="9074"/>
      <c r="CU39" s="9074"/>
      <c r="CV39" s="9075"/>
      <c r="CW39" s="9076" t="s">
        <v>440</v>
      </c>
      <c r="CX39" s="9073" t="s">
        <v>439</v>
      </c>
      <c r="CY39" s="9074"/>
      <c r="CZ39" s="9074"/>
      <c r="DA39" s="9074"/>
      <c r="DB39" s="9074"/>
      <c r="DC39" s="9074"/>
      <c r="DD39" s="9075"/>
      <c r="DE39" s="9076" t="s">
        <v>440</v>
      </c>
      <c r="DF39" s="2450" t="s">
        <v>442</v>
      </c>
      <c r="DG39" s="2297"/>
      <c r="DM39" s="1325">
        <v>14</v>
      </c>
    </row>
    <row customHeight="1" ht="35.699999999999996">
      <c r="Q40" s="546"/>
      <c r="R40" s="546"/>
      <c r="S40" s="2443"/>
      <c r="T40" s="2379"/>
      <c r="U40" s="1201"/>
      <c r="V40" s="2430" t="s">
        <v>443</v>
      </c>
      <c r="W40" s="2780" t="s">
        <v>444</v>
      </c>
      <c r="X40" s="2432" t="s">
        <v>445</v>
      </c>
      <c r="Y40" s="2433"/>
      <c r="Z40" s="2432" t="s">
        <v>446</v>
      </c>
      <c r="AA40" s="2439"/>
      <c r="AB40" s="2433"/>
      <c r="AC40" s="2448"/>
      <c r="AD40" s="2430" t="s">
        <v>443</v>
      </c>
      <c r="AE40" s="2453" t="s">
        <v>444</v>
      </c>
      <c r="AF40" s="2432" t="s">
        <v>445</v>
      </c>
      <c r="AG40" s="2433"/>
      <c r="AH40" s="2432" t="s">
        <v>446</v>
      </c>
      <c r="AI40" s="2439"/>
      <c r="AJ40" s="2433"/>
      <c r="AK40" s="2448"/>
      <c r="AL40" s="9086" t="s">
        <v>443</v>
      </c>
      <c r="AM40" s="9087" t="s">
        <v>444</v>
      </c>
      <c r="AN40" s="9088" t="s">
        <v>445</v>
      </c>
      <c r="AO40" s="9089"/>
      <c r="AP40" s="9088" t="s">
        <v>446</v>
      </c>
      <c r="AQ40" s="9090"/>
      <c r="AR40" s="9089"/>
      <c r="AS40" s="9091"/>
      <c r="AT40" s="9086" t="s">
        <v>443</v>
      </c>
      <c r="AU40" s="9087" t="s">
        <v>444</v>
      </c>
      <c r="AV40" s="9088" t="s">
        <v>445</v>
      </c>
      <c r="AW40" s="9089"/>
      <c r="AX40" s="9088" t="s">
        <v>446</v>
      </c>
      <c r="AY40" s="9090"/>
      <c r="AZ40" s="9089"/>
      <c r="BA40" s="9091"/>
      <c r="BB40" s="9086" t="s">
        <v>443</v>
      </c>
      <c r="BC40" s="9087" t="s">
        <v>444</v>
      </c>
      <c r="BD40" s="9088" t="s">
        <v>445</v>
      </c>
      <c r="BE40" s="9089"/>
      <c r="BF40" s="9088" t="s">
        <v>446</v>
      </c>
      <c r="BG40" s="9090"/>
      <c r="BH40" s="9089"/>
      <c r="BI40" s="9091"/>
      <c r="BJ40" s="9086" t="s">
        <v>443</v>
      </c>
      <c r="BK40" s="9087" t="s">
        <v>444</v>
      </c>
      <c r="BL40" s="9088" t="s">
        <v>445</v>
      </c>
      <c r="BM40" s="9089"/>
      <c r="BN40" s="9088" t="s">
        <v>446</v>
      </c>
      <c r="BO40" s="9090"/>
      <c r="BP40" s="9089"/>
      <c r="BQ40" s="9091"/>
      <c r="BR40" s="9086" t="s">
        <v>443</v>
      </c>
      <c r="BS40" s="9087" t="s">
        <v>444</v>
      </c>
      <c r="BT40" s="9088" t="s">
        <v>445</v>
      </c>
      <c r="BU40" s="9089"/>
      <c r="BV40" s="9088" t="s">
        <v>446</v>
      </c>
      <c r="BW40" s="9090"/>
      <c r="BX40" s="9089"/>
      <c r="BY40" s="9091"/>
      <c r="BZ40" s="9086" t="s">
        <v>443</v>
      </c>
      <c r="CA40" s="9087" t="s">
        <v>444</v>
      </c>
      <c r="CB40" s="9088" t="s">
        <v>445</v>
      </c>
      <c r="CC40" s="9089"/>
      <c r="CD40" s="9088" t="s">
        <v>446</v>
      </c>
      <c r="CE40" s="9090"/>
      <c r="CF40" s="9089"/>
      <c r="CG40" s="9091"/>
      <c r="CH40" s="9086" t="s">
        <v>443</v>
      </c>
      <c r="CI40" s="9087" t="s">
        <v>444</v>
      </c>
      <c r="CJ40" s="9088" t="s">
        <v>445</v>
      </c>
      <c r="CK40" s="9089"/>
      <c r="CL40" s="9088" t="s">
        <v>446</v>
      </c>
      <c r="CM40" s="9090"/>
      <c r="CN40" s="9089"/>
      <c r="CO40" s="9091"/>
      <c r="CP40" s="9086" t="s">
        <v>443</v>
      </c>
      <c r="CQ40" s="9087" t="s">
        <v>444</v>
      </c>
      <c r="CR40" s="9088" t="s">
        <v>445</v>
      </c>
      <c r="CS40" s="9089"/>
      <c r="CT40" s="9088" t="s">
        <v>446</v>
      </c>
      <c r="CU40" s="9090"/>
      <c r="CV40" s="9089"/>
      <c r="CW40" s="9091"/>
      <c r="CX40" s="9086" t="s">
        <v>443</v>
      </c>
      <c r="CY40" s="9087" t="s">
        <v>444</v>
      </c>
      <c r="CZ40" s="9088" t="s">
        <v>445</v>
      </c>
      <c r="DA40" s="9089"/>
      <c r="DB40" s="9088" t="s">
        <v>446</v>
      </c>
      <c r="DC40" s="9090"/>
      <c r="DD40" s="9089"/>
      <c r="DE40" s="9091"/>
      <c r="DF40" s="2451"/>
      <c r="DG40" s="2297"/>
      <c r="DM40" s="1325">
        <v>34</v>
      </c>
    </row>
    <row customHeight="1" ht="35.699999999999996">
      <c r="A41" s="1540"/>
      <c r="B41" s="1540" t="s">
        <v>138</v>
      </c>
      <c r="C41" s="1540" t="s">
        <v>139</v>
      </c>
      <c r="D41" s="1540" t="s">
        <v>140</v>
      </c>
      <c r="E41" s="1534" t="s">
        <v>447</v>
      </c>
      <c r="F41" s="1534" t="s">
        <v>448</v>
      </c>
      <c r="G41" s="1534" t="s">
        <v>449</v>
      </c>
      <c r="H41" s="1534" t="s">
        <v>450</v>
      </c>
      <c r="I41" s="1534" t="s">
        <v>451</v>
      </c>
      <c r="J41" s="1534" t="s">
        <v>452</v>
      </c>
      <c r="K41" s="1534" t="s">
        <v>453</v>
      </c>
      <c r="L41" s="1534" t="s">
        <v>427</v>
      </c>
      <c r="Q41" s="546"/>
      <c r="R41" s="546"/>
      <c r="S41" s="2443"/>
      <c r="T41" s="2379"/>
      <c r="U41" s="472"/>
      <c r="V41" s="2431"/>
      <c r="W41" s="2454"/>
      <c r="X41" s="1392" t="s">
        <v>454</v>
      </c>
      <c r="Y41" s="1392" t="s">
        <v>455</v>
      </c>
      <c r="Z41" s="1391" t="s">
        <v>456</v>
      </c>
      <c r="AA41" s="2440" t="s">
        <v>457</v>
      </c>
      <c r="AB41" s="2441"/>
      <c r="AC41" s="2449"/>
      <c r="AD41" s="2431"/>
      <c r="AE41" s="2454"/>
      <c r="AF41" s="1392" t="s">
        <v>454</v>
      </c>
      <c r="AG41" s="1392" t="s">
        <v>455</v>
      </c>
      <c r="AH41" s="1483" t="s">
        <v>456</v>
      </c>
      <c r="AI41" s="2440" t="s">
        <v>457</v>
      </c>
      <c r="AJ41" s="2441"/>
      <c r="AK41" s="2449"/>
      <c r="AL41" s="9103"/>
      <c r="AM41" s="9104"/>
      <c r="AN41" s="9105" t="s">
        <v>454</v>
      </c>
      <c r="AO41" s="9105" t="s">
        <v>455</v>
      </c>
      <c r="AP41" s="9105" t="s">
        <v>456</v>
      </c>
      <c r="AQ41" s="9106" t="s">
        <v>457</v>
      </c>
      <c r="AR41" s="9107"/>
      <c r="AS41" s="9108"/>
      <c r="AT41" s="9103"/>
      <c r="AU41" s="9104"/>
      <c r="AV41" s="9105" t="s">
        <v>454</v>
      </c>
      <c r="AW41" s="9105" t="s">
        <v>455</v>
      </c>
      <c r="AX41" s="9105" t="s">
        <v>456</v>
      </c>
      <c r="AY41" s="9106" t="s">
        <v>457</v>
      </c>
      <c r="AZ41" s="9107"/>
      <c r="BA41" s="9108"/>
      <c r="BB41" s="9103"/>
      <c r="BC41" s="9104"/>
      <c r="BD41" s="9105" t="s">
        <v>454</v>
      </c>
      <c r="BE41" s="9105" t="s">
        <v>455</v>
      </c>
      <c r="BF41" s="9105" t="s">
        <v>456</v>
      </c>
      <c r="BG41" s="9106" t="s">
        <v>457</v>
      </c>
      <c r="BH41" s="9107"/>
      <c r="BI41" s="9108"/>
      <c r="BJ41" s="9103"/>
      <c r="BK41" s="9104"/>
      <c r="BL41" s="9105" t="s">
        <v>454</v>
      </c>
      <c r="BM41" s="9105" t="s">
        <v>455</v>
      </c>
      <c r="BN41" s="9105" t="s">
        <v>456</v>
      </c>
      <c r="BO41" s="9106" t="s">
        <v>457</v>
      </c>
      <c r="BP41" s="9107"/>
      <c r="BQ41" s="9108"/>
      <c r="BR41" s="9103"/>
      <c r="BS41" s="9104"/>
      <c r="BT41" s="9105" t="s">
        <v>454</v>
      </c>
      <c r="BU41" s="9105" t="s">
        <v>455</v>
      </c>
      <c r="BV41" s="9105" t="s">
        <v>456</v>
      </c>
      <c r="BW41" s="9106" t="s">
        <v>457</v>
      </c>
      <c r="BX41" s="9107"/>
      <c r="BY41" s="9108"/>
      <c r="BZ41" s="9103"/>
      <c r="CA41" s="9104"/>
      <c r="CB41" s="9105" t="s">
        <v>454</v>
      </c>
      <c r="CC41" s="9105" t="s">
        <v>455</v>
      </c>
      <c r="CD41" s="9105" t="s">
        <v>456</v>
      </c>
      <c r="CE41" s="9106" t="s">
        <v>457</v>
      </c>
      <c r="CF41" s="9107"/>
      <c r="CG41" s="9108"/>
      <c r="CH41" s="9103"/>
      <c r="CI41" s="9104"/>
      <c r="CJ41" s="9105" t="s">
        <v>454</v>
      </c>
      <c r="CK41" s="9105" t="s">
        <v>455</v>
      </c>
      <c r="CL41" s="9105" t="s">
        <v>456</v>
      </c>
      <c r="CM41" s="9106" t="s">
        <v>457</v>
      </c>
      <c r="CN41" s="9107"/>
      <c r="CO41" s="9108"/>
      <c r="CP41" s="9103"/>
      <c r="CQ41" s="9104"/>
      <c r="CR41" s="9105" t="s">
        <v>454</v>
      </c>
      <c r="CS41" s="9105" t="s">
        <v>455</v>
      </c>
      <c r="CT41" s="9105" t="s">
        <v>456</v>
      </c>
      <c r="CU41" s="9106" t="s">
        <v>457</v>
      </c>
      <c r="CV41" s="9107"/>
      <c r="CW41" s="9108"/>
      <c r="CX41" s="9103"/>
      <c r="CY41" s="9104"/>
      <c r="CZ41" s="9105" t="s">
        <v>454</v>
      </c>
      <c r="DA41" s="9105" t="s">
        <v>455</v>
      </c>
      <c r="DB41" s="9105" t="s">
        <v>456</v>
      </c>
      <c r="DC41" s="9106" t="s">
        <v>457</v>
      </c>
      <c r="DD41" s="9107"/>
      <c r="DE41" s="9108"/>
      <c r="DF41" s="2452"/>
      <c r="DG41" s="2297"/>
      <c r="DM41" s="1325">
        <v>34</v>
      </c>
    </row>
    <row s="12668" customFormat="1" customHeight="1" ht="11.25" hidden="1">
      <c r="A42" s="1540"/>
      <c r="B42" s="1540"/>
      <c r="C42" s="1540"/>
      <c r="D42" s="1540"/>
      <c r="E42" s="1540"/>
      <c r="F42" s="1540"/>
      <c r="G42" s="1540"/>
      <c r="H42" s="1540"/>
      <c r="I42" s="1540"/>
      <c r="J42" s="1540"/>
      <c r="K42" s="1540"/>
      <c r="L42" s="1534"/>
      <c r="M42" s="1532"/>
      <c r="N42" s="1532"/>
      <c r="O42" s="1532"/>
      <c r="P42" s="1416"/>
      <c r="Q42" s="1417"/>
      <c r="R42" s="1424">
        <v>1</v>
      </c>
      <c r="S42" s="1447" t="s">
        <v>112</v>
      </c>
      <c r="T42" s="1425" t="s">
        <v>113</v>
      </c>
      <c r="U42" s="1415" t="str">
        <f>OFFSET(U42,0,-1)</f>
        <v>2</v>
      </c>
      <c r="V42" s="1426">
        <f>OFFSET(V42,0,-1)+1</f>
        <v>3</v>
      </c>
      <c r="W42" s="1426"/>
      <c r="X42" s="1426">
        <f>OFFSET(X42,0,-1)+1</f>
        <v>1</v>
      </c>
      <c r="Y42" s="1426">
        <f>OFFSET(Y42,0,-1)+1</f>
        <v>2</v>
      </c>
      <c r="Z42" s="1426">
        <f>OFFSET(Z42,0,-1)+1</f>
        <v>3</v>
      </c>
      <c r="AA42" s="2442">
        <f>OFFSET(AA42,0,-1)+1</f>
        <v>4</v>
      </c>
      <c r="AB42" s="2442"/>
      <c r="AC42" s="1426">
        <f>OFFSET(AC42,0,-2)+1</f>
        <v>5</v>
      </c>
      <c r="AD42" s="1482">
        <f>OFFSET(AD42,0,-1)+1</f>
        <v>6</v>
      </c>
      <c r="AE42" s="1482"/>
      <c r="AF42" s="1482">
        <f>OFFSET(AF42,0,-1)+1</f>
        <v>1</v>
      </c>
      <c r="AG42" s="1482">
        <f>OFFSET(AG42,0,-1)+1</f>
        <v>2</v>
      </c>
      <c r="AH42" s="1482">
        <f>OFFSET(AH42,0,-1)+1</f>
        <v>3</v>
      </c>
      <c r="AI42" s="2442">
        <f>OFFSET(AI42,0,-1)+1</f>
        <v>4</v>
      </c>
      <c r="AJ42" s="2442"/>
      <c r="AK42" s="1482">
        <f>OFFSET(AK42,0,-2)+1</f>
        <v>5</v>
      </c>
      <c r="AL42" s="9119">
        <f>OFFSET(AL42,0,-1)+1</f>
        <v>6</v>
      </c>
      <c r="AM42" s="9119"/>
      <c r="AN42" s="9119">
        <f>OFFSET(AN42,0,-1)+1</f>
        <v>1</v>
      </c>
      <c r="AO42" s="9119">
        <f>OFFSET(AO42,0,-1)+1</f>
        <v>2</v>
      </c>
      <c r="AP42" s="9119">
        <f>OFFSET(AP42,0,-1)+1</f>
        <v>3</v>
      </c>
      <c r="AQ42" s="9119">
        <f>OFFSET(AQ42,0,-1)+1</f>
        <v>4</v>
      </c>
      <c r="AR42" s="9119"/>
      <c r="AS42" s="9119">
        <f>OFFSET(AS42,0,-2)+1</f>
        <v>5</v>
      </c>
      <c r="AT42" s="9119">
        <f>OFFSET(AT42,0,-1)+1</f>
        <v>6</v>
      </c>
      <c r="AU42" s="9119"/>
      <c r="AV42" s="9119">
        <f>OFFSET(AV42,0,-1)+1</f>
        <v>1</v>
      </c>
      <c r="AW42" s="9119">
        <f>OFFSET(AW42,0,-1)+1</f>
        <v>2</v>
      </c>
      <c r="AX42" s="9119">
        <f>OFFSET(AX42,0,-1)+1</f>
        <v>3</v>
      </c>
      <c r="AY42" s="9119">
        <f>OFFSET(AY42,0,-1)+1</f>
        <v>4</v>
      </c>
      <c r="AZ42" s="9119"/>
      <c r="BA42" s="9119">
        <f>OFFSET(BA42,0,-2)+1</f>
        <v>5</v>
      </c>
      <c r="BB42" s="9119">
        <f>OFFSET(BB42,0,-1)+1</f>
        <v>6</v>
      </c>
      <c r="BC42" s="9119"/>
      <c r="BD42" s="9119">
        <f>OFFSET(BD42,0,-1)+1</f>
        <v>1</v>
      </c>
      <c r="BE42" s="9119">
        <f>OFFSET(BE42,0,-1)+1</f>
        <v>2</v>
      </c>
      <c r="BF42" s="9119">
        <f>OFFSET(BF42,0,-1)+1</f>
        <v>3</v>
      </c>
      <c r="BG42" s="9119">
        <f>OFFSET(BG42,0,-1)+1</f>
        <v>4</v>
      </c>
      <c r="BH42" s="9119"/>
      <c r="BI42" s="9119">
        <f>OFFSET(BI42,0,-2)+1</f>
        <v>5</v>
      </c>
      <c r="BJ42" s="9119">
        <f>OFFSET(BJ42,0,-1)+1</f>
        <v>6</v>
      </c>
      <c r="BK42" s="9119"/>
      <c r="BL42" s="9119">
        <f>OFFSET(BL42,0,-1)+1</f>
        <v>1</v>
      </c>
      <c r="BM42" s="9119">
        <f>OFFSET(BM42,0,-1)+1</f>
        <v>2</v>
      </c>
      <c r="BN42" s="9119">
        <f>OFFSET(BN42,0,-1)+1</f>
        <v>3</v>
      </c>
      <c r="BO42" s="9119">
        <f>OFFSET(BO42,0,-1)+1</f>
        <v>4</v>
      </c>
      <c r="BP42" s="9119"/>
      <c r="BQ42" s="9119">
        <f>OFFSET(BQ42,0,-2)+1</f>
        <v>5</v>
      </c>
      <c r="BR42" s="9119">
        <f>OFFSET(BR42,0,-1)+1</f>
        <v>6</v>
      </c>
      <c r="BS42" s="9119"/>
      <c r="BT42" s="9119">
        <f>OFFSET(BT42,0,-1)+1</f>
        <v>1</v>
      </c>
      <c r="BU42" s="9119">
        <f>OFFSET(BU42,0,-1)+1</f>
        <v>2</v>
      </c>
      <c r="BV42" s="9119">
        <f>OFFSET(BV42,0,-1)+1</f>
        <v>3</v>
      </c>
      <c r="BW42" s="9119">
        <f>OFFSET(BW42,0,-1)+1</f>
        <v>4</v>
      </c>
      <c r="BX42" s="9119"/>
      <c r="BY42" s="9119">
        <f>OFFSET(BY42,0,-2)+1</f>
        <v>5</v>
      </c>
      <c r="BZ42" s="9119">
        <f>OFFSET(BZ42,0,-1)+1</f>
        <v>6</v>
      </c>
      <c r="CA42" s="9119"/>
      <c r="CB42" s="9119">
        <f>OFFSET(CB42,0,-1)+1</f>
        <v>1</v>
      </c>
      <c r="CC42" s="9119">
        <f>OFFSET(CC42,0,-1)+1</f>
        <v>2</v>
      </c>
      <c r="CD42" s="9119">
        <f>OFFSET(CD42,0,-1)+1</f>
        <v>3</v>
      </c>
      <c r="CE42" s="9119">
        <f>OFFSET(CE42,0,-1)+1</f>
        <v>4</v>
      </c>
      <c r="CF42" s="9119"/>
      <c r="CG42" s="9119">
        <f>OFFSET(CG42,0,-2)+1</f>
        <v>5</v>
      </c>
      <c r="CH42" s="9119">
        <f>OFFSET(CH42,0,-1)+1</f>
        <v>6</v>
      </c>
      <c r="CI42" s="9119"/>
      <c r="CJ42" s="9119">
        <f>OFFSET(CJ42,0,-1)+1</f>
        <v>1</v>
      </c>
      <c r="CK42" s="9119">
        <f>OFFSET(CK42,0,-1)+1</f>
        <v>2</v>
      </c>
      <c r="CL42" s="9119">
        <f>OFFSET(CL42,0,-1)+1</f>
        <v>3</v>
      </c>
      <c r="CM42" s="9119">
        <f>OFFSET(CM42,0,-1)+1</f>
        <v>4</v>
      </c>
      <c r="CN42" s="9119"/>
      <c r="CO42" s="9119">
        <f>OFFSET(CO42,0,-2)+1</f>
        <v>5</v>
      </c>
      <c r="CP42" s="9119">
        <f>OFFSET(CP42,0,-1)+1</f>
        <v>6</v>
      </c>
      <c r="CQ42" s="9119"/>
      <c r="CR42" s="9119">
        <f>OFFSET(CR42,0,-1)+1</f>
        <v>1</v>
      </c>
      <c r="CS42" s="9119">
        <f>OFFSET(CS42,0,-1)+1</f>
        <v>2</v>
      </c>
      <c r="CT42" s="9119">
        <f>OFFSET(CT42,0,-1)+1</f>
        <v>3</v>
      </c>
      <c r="CU42" s="9119">
        <f>OFFSET(CU42,0,-1)+1</f>
        <v>4</v>
      </c>
      <c r="CV42" s="9119"/>
      <c r="CW42" s="9119">
        <f>OFFSET(CW42,0,-2)+1</f>
        <v>5</v>
      </c>
      <c r="CX42" s="9119">
        <f>OFFSET(CX42,0,-1)+1</f>
        <v>6</v>
      </c>
      <c r="CY42" s="9119"/>
      <c r="CZ42" s="9119">
        <f>OFFSET(CZ42,0,-1)+1</f>
        <v>1</v>
      </c>
      <c r="DA42" s="9119">
        <f>OFFSET(DA42,0,-1)+1</f>
        <v>2</v>
      </c>
      <c r="DB42" s="9119">
        <f>OFFSET(DB42,0,-1)+1</f>
        <v>3</v>
      </c>
      <c r="DC42" s="9119">
        <f>OFFSET(DC42,0,-1)+1</f>
        <v>4</v>
      </c>
      <c r="DD42" s="9119"/>
      <c r="DE42" s="9119">
        <f>OFFSET(DE42,0,-2)+1</f>
        <v>5</v>
      </c>
      <c r="DF42" s="1415">
        <f>OFFSET(DF42,0,-1)</f>
        <v>5</v>
      </c>
      <c r="DG42" s="1426">
        <f>OFFSET(DG42,0,-1)+1</f>
        <v>6</v>
      </c>
      <c r="DH42" s="681"/>
      <c r="DI42" s="681"/>
      <c r="DJ42" s="681"/>
      <c r="DK42" s="681"/>
      <c r="DL42" s="681"/>
      <c r="DM42" s="666">
        <v>0</v>
      </c>
    </row>
    <row customHeight="1" ht="24">
      <c r="A43" s="1533" t="s">
        <v>161</v>
      </c>
      <c r="B43" s="1533"/>
      <c r="C43" s="1533"/>
      <c r="D43" s="1533"/>
      <c r="E43" s="2428">
        <v>1</v>
      </c>
      <c r="F43" s="1533"/>
      <c r="G43" s="1533"/>
      <c r="H43" s="1533"/>
      <c r="I43" s="1533"/>
      <c r="J43" s="1533"/>
      <c r="K43" s="1533"/>
      <c r="L43" s="1534"/>
      <c r="M43" s="1535"/>
      <c r="N43" s="1535"/>
      <c r="O43" s="1535"/>
      <c r="P43" s="531"/>
      <c r="Q43" s="530"/>
      <c r="R43" s="525"/>
      <c r="S43" s="1394">
        <f>INDEX(PT_DIFFERENTIATION_NUM_NTAR,MATCH(A43,PT_DIFFERENTIATION_NTAR_ID,0))</f>
        <v>1</v>
      </c>
      <c r="T43" s="468" t="s">
        <v>126</v>
      </c>
      <c r="U43" s="470"/>
      <c r="V43" s="2412"/>
      <c r="W43" s="2413"/>
      <c r="X43" s="2413"/>
      <c r="Y43" s="2413"/>
      <c r="Z43" s="2413"/>
      <c r="AA43" s="2413"/>
      <c r="AB43" s="2413"/>
      <c r="AC43" s="2414"/>
      <c r="AD43" s="2412" t="str">
        <f>INDEX(PT_DIFFERENTIATION_NTAR,MATCH(A43,PT_DIFFERENTIATION_NTAR_ID,0))</f>
        <v>Тариф на тепловую энергию (мощность) на коллекторах источника тепловой энергии</v>
      </c>
      <c r="AE43" s="2413"/>
      <c r="AF43" s="2413"/>
      <c r="AG43" s="2413"/>
      <c r="AH43" s="2413"/>
      <c r="AI43" s="2413"/>
      <c r="AJ43" s="2413"/>
      <c r="AK43" s="2413"/>
      <c r="AL43" s="8738"/>
      <c r="AM43" s="8739"/>
      <c r="AN43" s="8739"/>
      <c r="AO43" s="8739"/>
      <c r="AP43" s="8739"/>
      <c r="AQ43" s="8739"/>
      <c r="AR43" s="8739"/>
      <c r="AS43" s="8740"/>
      <c r="AT43" s="8738"/>
      <c r="AU43" s="8739"/>
      <c r="AV43" s="8739"/>
      <c r="AW43" s="8739"/>
      <c r="AX43" s="8739"/>
      <c r="AY43" s="8739"/>
      <c r="AZ43" s="8739"/>
      <c r="BA43" s="8740"/>
      <c r="BB43" s="8738"/>
      <c r="BC43" s="8739"/>
      <c r="BD43" s="8739"/>
      <c r="BE43" s="8739"/>
      <c r="BF43" s="8739"/>
      <c r="BG43" s="8739"/>
      <c r="BH43" s="8739"/>
      <c r="BI43" s="8740"/>
      <c r="BJ43" s="8738"/>
      <c r="BK43" s="8739"/>
      <c r="BL43" s="8739"/>
      <c r="BM43" s="8739"/>
      <c r="BN43" s="8739"/>
      <c r="BO43" s="8739"/>
      <c r="BP43" s="8739"/>
      <c r="BQ43" s="8740"/>
      <c r="BR43" s="8738"/>
      <c r="BS43" s="8739"/>
      <c r="BT43" s="8739"/>
      <c r="BU43" s="8739"/>
      <c r="BV43" s="8739"/>
      <c r="BW43" s="8739"/>
      <c r="BX43" s="8739"/>
      <c r="BY43" s="8740"/>
      <c r="BZ43" s="8738"/>
      <c r="CA43" s="8739"/>
      <c r="CB43" s="8739"/>
      <c r="CC43" s="8739"/>
      <c r="CD43" s="8739"/>
      <c r="CE43" s="8739"/>
      <c r="CF43" s="8739"/>
      <c r="CG43" s="8740"/>
      <c r="CH43" s="8738"/>
      <c r="CI43" s="8739"/>
      <c r="CJ43" s="8739"/>
      <c r="CK43" s="8739"/>
      <c r="CL43" s="8739"/>
      <c r="CM43" s="8739"/>
      <c r="CN43" s="8739"/>
      <c r="CO43" s="8740"/>
      <c r="CP43" s="8738"/>
      <c r="CQ43" s="8739"/>
      <c r="CR43" s="8739"/>
      <c r="CS43" s="8739"/>
      <c r="CT43" s="8739"/>
      <c r="CU43" s="8739"/>
      <c r="CV43" s="8739"/>
      <c r="CW43" s="8740"/>
      <c r="CX43" s="8738"/>
      <c r="CY43" s="8739"/>
      <c r="CZ43" s="8739"/>
      <c r="DA43" s="8739"/>
      <c r="DB43" s="8739"/>
      <c r="DC43" s="8739"/>
      <c r="DD43" s="8739"/>
      <c r="DE43" s="8740"/>
      <c r="DF43" s="2414"/>
      <c r="DG43" s="142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670"/>
      <c r="DJ43" s="670" t="str">
        <f>IF(T43="","",T43)</f>
        <v>Наименование тарифа</v>
      </c>
      <c r="DK43" s="670"/>
      <c r="DL43" s="670"/>
      <c r="DM43" s="1325">
        <v>23</v>
      </c>
    </row>
    <row customHeight="1" ht="24">
      <c r="A44" s="1533" t="s">
        <v>161</v>
      </c>
      <c r="B44" s="1533" t="s">
        <v>162</v>
      </c>
      <c r="C44" s="1533"/>
      <c r="D44" s="1533"/>
      <c r="E44" s="2429"/>
      <c r="F44" s="2428">
        <v>1</v>
      </c>
      <c r="G44" s="1533"/>
      <c r="H44" s="1533"/>
      <c r="I44" s="1533"/>
      <c r="J44" s="1533"/>
      <c r="K44" s="1533"/>
      <c r="L44" s="1534"/>
      <c r="M44" s="1535"/>
      <c r="N44" s="1535"/>
      <c r="O44" s="1535"/>
      <c r="P44" s="692"/>
      <c r="Q44" s="522"/>
      <c r="R44" s="523"/>
      <c r="S44" s="1394" t="str">
        <f>INDEX(PT_DIFFERENTIATION_NUM_TER,MATCH(B44,PT_DIFFERENTIATION_TER_ID,0))</f>
        <v>1.1</v>
      </c>
      <c r="T44" s="478" t="s">
        <v>409</v>
      </c>
      <c r="U44" s="470"/>
      <c r="V44" s="2412"/>
      <c r="W44" s="2413"/>
      <c r="X44" s="2413"/>
      <c r="Y44" s="2413"/>
      <c r="Z44" s="2413"/>
      <c r="AA44" s="2413"/>
      <c r="AB44" s="2413"/>
      <c r="AC44" s="2414"/>
      <c r="AD44" s="2412" t="str">
        <f>INDEX(PT_DIFFERENTIATION_TER,MATCH(B44,PT_DIFFERENTIATION_TER_ID,0))</f>
        <v>Территория 1</v>
      </c>
      <c r="AE44" s="2413"/>
      <c r="AF44" s="2413"/>
      <c r="AG44" s="2413"/>
      <c r="AH44" s="2413"/>
      <c r="AI44" s="2413"/>
      <c r="AJ44" s="2413"/>
      <c r="AK44" s="2413"/>
      <c r="AL44" s="8738"/>
      <c r="AM44" s="8739"/>
      <c r="AN44" s="8739"/>
      <c r="AO44" s="8739"/>
      <c r="AP44" s="8739"/>
      <c r="AQ44" s="8739"/>
      <c r="AR44" s="8739"/>
      <c r="AS44" s="8740"/>
      <c r="AT44" s="8738"/>
      <c r="AU44" s="8739"/>
      <c r="AV44" s="8739"/>
      <c r="AW44" s="8739"/>
      <c r="AX44" s="8739"/>
      <c r="AY44" s="8739"/>
      <c r="AZ44" s="8739"/>
      <c r="BA44" s="8740"/>
      <c r="BB44" s="8738"/>
      <c r="BC44" s="8739"/>
      <c r="BD44" s="8739"/>
      <c r="BE44" s="8739"/>
      <c r="BF44" s="8739"/>
      <c r="BG44" s="8739"/>
      <c r="BH44" s="8739"/>
      <c r="BI44" s="8740"/>
      <c r="BJ44" s="8738"/>
      <c r="BK44" s="8739"/>
      <c r="BL44" s="8739"/>
      <c r="BM44" s="8739"/>
      <c r="BN44" s="8739"/>
      <c r="BO44" s="8739"/>
      <c r="BP44" s="8739"/>
      <c r="BQ44" s="8740"/>
      <c r="BR44" s="8738"/>
      <c r="BS44" s="8739"/>
      <c r="BT44" s="8739"/>
      <c r="BU44" s="8739"/>
      <c r="BV44" s="8739"/>
      <c r="BW44" s="8739"/>
      <c r="BX44" s="8739"/>
      <c r="BY44" s="8740"/>
      <c r="BZ44" s="8738"/>
      <c r="CA44" s="8739"/>
      <c r="CB44" s="8739"/>
      <c r="CC44" s="8739"/>
      <c r="CD44" s="8739"/>
      <c r="CE44" s="8739"/>
      <c r="CF44" s="8739"/>
      <c r="CG44" s="8740"/>
      <c r="CH44" s="8738"/>
      <c r="CI44" s="8739"/>
      <c r="CJ44" s="8739"/>
      <c r="CK44" s="8739"/>
      <c r="CL44" s="8739"/>
      <c r="CM44" s="8739"/>
      <c r="CN44" s="8739"/>
      <c r="CO44" s="8740"/>
      <c r="CP44" s="8738"/>
      <c r="CQ44" s="8739"/>
      <c r="CR44" s="8739"/>
      <c r="CS44" s="8739"/>
      <c r="CT44" s="8739"/>
      <c r="CU44" s="8739"/>
      <c r="CV44" s="8739"/>
      <c r="CW44" s="8740"/>
      <c r="CX44" s="8738"/>
      <c r="CY44" s="8739"/>
      <c r="CZ44" s="8739"/>
      <c r="DA44" s="8739"/>
      <c r="DB44" s="8739"/>
      <c r="DC44" s="8739"/>
      <c r="DD44" s="8739"/>
      <c r="DE44" s="8740"/>
      <c r="DF44" s="2414"/>
      <c r="DG44" s="1428" t="s">
        <v>410</v>
      </c>
      <c r="DI44" s="670"/>
      <c r="DJ44" s="670" t="str">
        <f>IF(T44="","",T44)</f>
        <v>Территория действия тарифа</v>
      </c>
      <c r="DK44" s="670"/>
      <c r="DL44" s="670"/>
      <c r="DM44" s="1325">
        <v>23</v>
      </c>
    </row>
    <row customHeight="1" ht="24">
      <c r="A45" s="1533" t="s">
        <v>161</v>
      </c>
      <c r="B45" s="1533" t="s">
        <v>162</v>
      </c>
      <c r="C45" s="1533" t="s">
        <v>163</v>
      </c>
      <c r="D45" s="1533"/>
      <c r="E45" s="2429"/>
      <c r="F45" s="2429"/>
      <c r="G45" s="2428">
        <v>1</v>
      </c>
      <c r="H45" s="1533"/>
      <c r="I45" s="1533"/>
      <c r="J45" s="1533"/>
      <c r="K45" s="1533"/>
      <c r="L45" s="1534"/>
      <c r="M45" s="1535"/>
      <c r="N45" s="1535"/>
      <c r="O45" s="1535"/>
      <c r="P45" s="524"/>
      <c r="Q45" s="522"/>
      <c r="R45" s="523"/>
      <c r="S45" s="1394" t="str">
        <f>INDEX(PT_DIFFERENTIATION_NUM_CS,MATCH(C45,PT_DIFFERENTIATION_CS_ID,0))</f>
        <v>1.1.1</v>
      </c>
      <c r="T45" s="479" t="s">
        <v>411</v>
      </c>
      <c r="U45" s="470"/>
      <c r="V45" s="2412"/>
      <c r="W45" s="2413"/>
      <c r="X45" s="2413"/>
      <c r="Y45" s="2413"/>
      <c r="Z45" s="2413"/>
      <c r="AA45" s="2413"/>
      <c r="AB45" s="2413"/>
      <c r="AC45" s="2414"/>
      <c r="AD45" s="2412" t="str">
        <f>INDEX(PT_DIFFERENTIATION_CS,MATCH(C45,PT_DIFFERENTIATION_CS_ID,0))</f>
        <v>без дифференциации</v>
      </c>
      <c r="AE45" s="2413"/>
      <c r="AF45" s="2413"/>
      <c r="AG45" s="2413"/>
      <c r="AH45" s="2413"/>
      <c r="AI45" s="2413"/>
      <c r="AJ45" s="2413"/>
      <c r="AK45" s="2413"/>
      <c r="AL45" s="8738"/>
      <c r="AM45" s="8739"/>
      <c r="AN45" s="8739"/>
      <c r="AO45" s="8739"/>
      <c r="AP45" s="8739"/>
      <c r="AQ45" s="8739"/>
      <c r="AR45" s="8739"/>
      <c r="AS45" s="8740"/>
      <c r="AT45" s="8738"/>
      <c r="AU45" s="8739"/>
      <c r="AV45" s="8739"/>
      <c r="AW45" s="8739"/>
      <c r="AX45" s="8739"/>
      <c r="AY45" s="8739"/>
      <c r="AZ45" s="8739"/>
      <c r="BA45" s="8740"/>
      <c r="BB45" s="8738"/>
      <c r="BC45" s="8739"/>
      <c r="BD45" s="8739"/>
      <c r="BE45" s="8739"/>
      <c r="BF45" s="8739"/>
      <c r="BG45" s="8739"/>
      <c r="BH45" s="8739"/>
      <c r="BI45" s="8740"/>
      <c r="BJ45" s="8738"/>
      <c r="BK45" s="8739"/>
      <c r="BL45" s="8739"/>
      <c r="BM45" s="8739"/>
      <c r="BN45" s="8739"/>
      <c r="BO45" s="8739"/>
      <c r="BP45" s="8739"/>
      <c r="BQ45" s="8740"/>
      <c r="BR45" s="8738"/>
      <c r="BS45" s="8739"/>
      <c r="BT45" s="8739"/>
      <c r="BU45" s="8739"/>
      <c r="BV45" s="8739"/>
      <c r="BW45" s="8739"/>
      <c r="BX45" s="8739"/>
      <c r="BY45" s="8740"/>
      <c r="BZ45" s="8738"/>
      <c r="CA45" s="8739"/>
      <c r="CB45" s="8739"/>
      <c r="CC45" s="8739"/>
      <c r="CD45" s="8739"/>
      <c r="CE45" s="8739"/>
      <c r="CF45" s="8739"/>
      <c r="CG45" s="8740"/>
      <c r="CH45" s="8738"/>
      <c r="CI45" s="8739"/>
      <c r="CJ45" s="8739"/>
      <c r="CK45" s="8739"/>
      <c r="CL45" s="8739"/>
      <c r="CM45" s="8739"/>
      <c r="CN45" s="8739"/>
      <c r="CO45" s="8740"/>
      <c r="CP45" s="8738"/>
      <c r="CQ45" s="8739"/>
      <c r="CR45" s="8739"/>
      <c r="CS45" s="8739"/>
      <c r="CT45" s="8739"/>
      <c r="CU45" s="8739"/>
      <c r="CV45" s="8739"/>
      <c r="CW45" s="8740"/>
      <c r="CX45" s="8738"/>
      <c r="CY45" s="8739"/>
      <c r="CZ45" s="8739"/>
      <c r="DA45" s="8739"/>
      <c r="DB45" s="8739"/>
      <c r="DC45" s="8739"/>
      <c r="DD45" s="8739"/>
      <c r="DE45" s="8740"/>
      <c r="DF45" s="2414"/>
      <c r="DG45" s="1428" t="s">
        <v>412</v>
      </c>
      <c r="DI45" s="670"/>
      <c r="DJ45" s="670" t="str">
        <f>IF(T45="","",T45)</f>
        <v>Наименование системы теплоснабжения </v>
      </c>
      <c r="DK45" s="670"/>
      <c r="DL45" s="670"/>
      <c r="DM45" s="1325">
        <v>23</v>
      </c>
    </row>
    <row customHeight="1" ht="24">
      <c r="A46" s="1533" t="s">
        <v>161</v>
      </c>
      <c r="B46" s="1533" t="s">
        <v>162</v>
      </c>
      <c r="C46" s="1533" t="s">
        <v>163</v>
      </c>
      <c r="D46" s="1533" t="s">
        <v>164</v>
      </c>
      <c r="E46" s="2429"/>
      <c r="F46" s="2429"/>
      <c r="G46" s="2429"/>
      <c r="H46" s="2428">
        <v>1</v>
      </c>
      <c r="I46" s="1533"/>
      <c r="J46" s="1533"/>
      <c r="K46" s="1533"/>
      <c r="L46" s="1534"/>
      <c r="M46" s="1535"/>
      <c r="N46" s="1535"/>
      <c r="O46" s="1535"/>
      <c r="P46" s="524"/>
      <c r="Q46" s="522"/>
      <c r="R46" s="523"/>
      <c r="S46" s="1394" t="str">
        <f>INDEX(PT_DIFFERENTIATION_NUM_IST_TE,MATCH(D46,PT_DIFFERENTIATION_IST_TE_ID,0))</f>
        <v>1.1.1.1</v>
      </c>
      <c r="T46" s="480" t="s">
        <v>413</v>
      </c>
      <c r="U46" s="470"/>
      <c r="V46" s="2412"/>
      <c r="W46" s="2413"/>
      <c r="X46" s="2413"/>
      <c r="Y46" s="2413"/>
      <c r="Z46" s="2413"/>
      <c r="AA46" s="2413"/>
      <c r="AB46" s="2413"/>
      <c r="AC46" s="2414"/>
      <c r="AD46" s="2412" t="str">
        <f>INDEX(PT_DIFFERENTIATION_IST_TE,MATCH(D46,PT_DIFFERENTIATION_IST_TE_ID,0))</f>
        <v>без дифференциации</v>
      </c>
      <c r="AE46" s="2413"/>
      <c r="AF46" s="2413"/>
      <c r="AG46" s="2413"/>
      <c r="AH46" s="2413"/>
      <c r="AI46" s="2413"/>
      <c r="AJ46" s="2413"/>
      <c r="AK46" s="2413"/>
      <c r="AL46" s="8738"/>
      <c r="AM46" s="8739"/>
      <c r="AN46" s="8739"/>
      <c r="AO46" s="8739"/>
      <c r="AP46" s="8739"/>
      <c r="AQ46" s="8739"/>
      <c r="AR46" s="8739"/>
      <c r="AS46" s="8740"/>
      <c r="AT46" s="8738"/>
      <c r="AU46" s="8739"/>
      <c r="AV46" s="8739"/>
      <c r="AW46" s="8739"/>
      <c r="AX46" s="8739"/>
      <c r="AY46" s="8739"/>
      <c r="AZ46" s="8739"/>
      <c r="BA46" s="8740"/>
      <c r="BB46" s="8738"/>
      <c r="BC46" s="8739"/>
      <c r="BD46" s="8739"/>
      <c r="BE46" s="8739"/>
      <c r="BF46" s="8739"/>
      <c r="BG46" s="8739"/>
      <c r="BH46" s="8739"/>
      <c r="BI46" s="8740"/>
      <c r="BJ46" s="8738"/>
      <c r="BK46" s="8739"/>
      <c r="BL46" s="8739"/>
      <c r="BM46" s="8739"/>
      <c r="BN46" s="8739"/>
      <c r="BO46" s="8739"/>
      <c r="BP46" s="8739"/>
      <c r="BQ46" s="8740"/>
      <c r="BR46" s="8738"/>
      <c r="BS46" s="8739"/>
      <c r="BT46" s="8739"/>
      <c r="BU46" s="8739"/>
      <c r="BV46" s="8739"/>
      <c r="BW46" s="8739"/>
      <c r="BX46" s="8739"/>
      <c r="BY46" s="8740"/>
      <c r="BZ46" s="8738"/>
      <c r="CA46" s="8739"/>
      <c r="CB46" s="8739"/>
      <c r="CC46" s="8739"/>
      <c r="CD46" s="8739"/>
      <c r="CE46" s="8739"/>
      <c r="CF46" s="8739"/>
      <c r="CG46" s="8740"/>
      <c r="CH46" s="8738"/>
      <c r="CI46" s="8739"/>
      <c r="CJ46" s="8739"/>
      <c r="CK46" s="8739"/>
      <c r="CL46" s="8739"/>
      <c r="CM46" s="8739"/>
      <c r="CN46" s="8739"/>
      <c r="CO46" s="8740"/>
      <c r="CP46" s="8738"/>
      <c r="CQ46" s="8739"/>
      <c r="CR46" s="8739"/>
      <c r="CS46" s="8739"/>
      <c r="CT46" s="8739"/>
      <c r="CU46" s="8739"/>
      <c r="CV46" s="8739"/>
      <c r="CW46" s="8740"/>
      <c r="CX46" s="8738"/>
      <c r="CY46" s="8739"/>
      <c r="CZ46" s="8739"/>
      <c r="DA46" s="8739"/>
      <c r="DB46" s="8739"/>
      <c r="DC46" s="8739"/>
      <c r="DD46" s="8739"/>
      <c r="DE46" s="8740"/>
      <c r="DF46" s="2414"/>
      <c r="DG46" s="1428" t="s">
        <v>414</v>
      </c>
      <c r="DI46" s="670"/>
      <c r="DJ46" s="670" t="str">
        <f>IF(T46="","",T46)</f>
        <v>Источник тепловой энергии  </v>
      </c>
      <c r="DK46" s="670"/>
      <c r="DL46" s="670"/>
      <c r="DM46" s="1325">
        <v>23</v>
      </c>
    </row>
    <row customHeight="1" ht="49.5">
      <c r="A47" s="1533" t="s">
        <v>161</v>
      </c>
      <c r="B47" s="1533" t="s">
        <v>162</v>
      </c>
      <c r="C47" s="1533" t="s">
        <v>163</v>
      </c>
      <c r="D47" s="1533" t="s">
        <v>164</v>
      </c>
      <c r="E47" s="2429"/>
      <c r="F47" s="2429"/>
      <c r="G47" s="2429"/>
      <c r="H47" s="2429"/>
      <c r="I47" s="2426" t="str">
        <f>S46&amp;".1"</f>
        <v>1.1.1.1.1</v>
      </c>
      <c r="J47" s="1533"/>
      <c r="K47" s="1533"/>
      <c r="L47" s="1534" t="s">
        <v>415</v>
      </c>
      <c r="P47" s="2427">
        <v>1</v>
      </c>
      <c r="Q47" s="1390"/>
      <c r="R47" s="526"/>
      <c r="S47" s="1394" t="str">
        <f>$I47</f>
        <v>1.1.1.1.1</v>
      </c>
      <c r="T47" s="455" t="s">
        <v>416</v>
      </c>
      <c r="U47" s="470"/>
      <c r="V47" s="2415"/>
      <c r="W47" s="2416"/>
      <c r="X47" s="2416"/>
      <c r="Y47" s="2416"/>
      <c r="Z47" s="2416"/>
      <c r="AA47" s="2416"/>
      <c r="AB47" s="2416"/>
      <c r="AC47" s="2417"/>
      <c r="AD47" s="2415" t="s">
        <v>458</v>
      </c>
      <c r="AE47" s="2416"/>
      <c r="AF47" s="2416"/>
      <c r="AG47" s="2416"/>
      <c r="AH47" s="2416"/>
      <c r="AI47" s="2416"/>
      <c r="AJ47" s="2416"/>
      <c r="AK47" s="2416"/>
      <c r="AL47" s="8759"/>
      <c r="AM47" s="8760"/>
      <c r="AN47" s="8760"/>
      <c r="AO47" s="8760"/>
      <c r="AP47" s="8760"/>
      <c r="AQ47" s="8760"/>
      <c r="AR47" s="8760"/>
      <c r="AS47" s="8761"/>
      <c r="AT47" s="8759"/>
      <c r="AU47" s="8760"/>
      <c r="AV47" s="8760"/>
      <c r="AW47" s="8760"/>
      <c r="AX47" s="8760"/>
      <c r="AY47" s="8760"/>
      <c r="AZ47" s="8760"/>
      <c r="BA47" s="8761"/>
      <c r="BB47" s="8759"/>
      <c r="BC47" s="8760"/>
      <c r="BD47" s="8760"/>
      <c r="BE47" s="8760"/>
      <c r="BF47" s="8760"/>
      <c r="BG47" s="8760"/>
      <c r="BH47" s="8760"/>
      <c r="BI47" s="8761"/>
      <c r="BJ47" s="8759"/>
      <c r="BK47" s="8760"/>
      <c r="BL47" s="8760"/>
      <c r="BM47" s="8760"/>
      <c r="BN47" s="8760"/>
      <c r="BO47" s="8760"/>
      <c r="BP47" s="8760"/>
      <c r="BQ47" s="8761"/>
      <c r="BR47" s="8759"/>
      <c r="BS47" s="8760"/>
      <c r="BT47" s="8760"/>
      <c r="BU47" s="8760"/>
      <c r="BV47" s="8760"/>
      <c r="BW47" s="8760"/>
      <c r="BX47" s="8760"/>
      <c r="BY47" s="8761"/>
      <c r="BZ47" s="8759"/>
      <c r="CA47" s="8760"/>
      <c r="CB47" s="8760"/>
      <c r="CC47" s="8760"/>
      <c r="CD47" s="8760"/>
      <c r="CE47" s="8760"/>
      <c r="CF47" s="8760"/>
      <c r="CG47" s="8761"/>
      <c r="CH47" s="8759"/>
      <c r="CI47" s="8760"/>
      <c r="CJ47" s="8760"/>
      <c r="CK47" s="8760"/>
      <c r="CL47" s="8760"/>
      <c r="CM47" s="8760"/>
      <c r="CN47" s="8760"/>
      <c r="CO47" s="8761"/>
      <c r="CP47" s="8759"/>
      <c r="CQ47" s="8760"/>
      <c r="CR47" s="8760"/>
      <c r="CS47" s="8760"/>
      <c r="CT47" s="8760"/>
      <c r="CU47" s="8760"/>
      <c r="CV47" s="8760"/>
      <c r="CW47" s="8761"/>
      <c r="CX47" s="8759"/>
      <c r="CY47" s="8760"/>
      <c r="CZ47" s="8760"/>
      <c r="DA47" s="8760"/>
      <c r="DB47" s="8760"/>
      <c r="DC47" s="8760"/>
      <c r="DD47" s="8760"/>
      <c r="DE47" s="8761"/>
      <c r="DF47" s="2417"/>
      <c r="DG47" s="1428" t="s">
        <v>417</v>
      </c>
      <c r="DI47" s="670"/>
      <c r="DJ47" s="670" t="str">
        <f>IF(T47="","",T47)</f>
        <v>Схема подключения теплопотребляющей установки к коллектору источника тепловой энергии</v>
      </c>
      <c r="DK47" s="670"/>
      <c r="DL47" s="670"/>
      <c r="DM47" s="1325">
        <v>47</v>
      </c>
    </row>
    <row customHeight="1" ht="24">
      <c r="A48" s="1533" t="s">
        <v>161</v>
      </c>
      <c r="B48" s="1533" t="s">
        <v>162</v>
      </c>
      <c r="C48" s="1533" t="s">
        <v>163</v>
      </c>
      <c r="D48" s="1533" t="s">
        <v>164</v>
      </c>
      <c r="E48" s="2429"/>
      <c r="F48" s="2429"/>
      <c r="G48" s="2429"/>
      <c r="H48" s="2429"/>
      <c r="I48" s="2456"/>
      <c r="J48" s="2426" t="str">
        <f>I47&amp;".1"</f>
        <v>1.1.1.1.1.1</v>
      </c>
      <c r="K48" s="1533"/>
      <c r="L48" s="1534" t="s">
        <v>418</v>
      </c>
      <c r="P48" s="2427"/>
      <c r="Q48" s="2427">
        <v>1</v>
      </c>
      <c r="R48" s="527"/>
      <c r="S48" s="1394" t="str">
        <f>$J48</f>
        <v>1.1.1.1.1.1</v>
      </c>
      <c r="T48" s="456" t="s">
        <v>419</v>
      </c>
      <c r="U48" s="470"/>
      <c r="V48" s="2415"/>
      <c r="W48" s="2416"/>
      <c r="X48" s="2416"/>
      <c r="Y48" s="2416"/>
      <c r="Z48" s="2416"/>
      <c r="AA48" s="2416"/>
      <c r="AB48" s="2416"/>
      <c r="AC48" s="2417"/>
      <c r="AD48" s="2415" t="s">
        <v>459</v>
      </c>
      <c r="AE48" s="2416"/>
      <c r="AF48" s="2416"/>
      <c r="AG48" s="2416"/>
      <c r="AH48" s="2416"/>
      <c r="AI48" s="2416"/>
      <c r="AJ48" s="2416"/>
      <c r="AK48" s="2416"/>
      <c r="AL48" s="8759"/>
      <c r="AM48" s="8760"/>
      <c r="AN48" s="8760"/>
      <c r="AO48" s="8760"/>
      <c r="AP48" s="8760"/>
      <c r="AQ48" s="8760"/>
      <c r="AR48" s="8760"/>
      <c r="AS48" s="8761"/>
      <c r="AT48" s="8759"/>
      <c r="AU48" s="8760"/>
      <c r="AV48" s="8760"/>
      <c r="AW48" s="8760"/>
      <c r="AX48" s="8760"/>
      <c r="AY48" s="8760"/>
      <c r="AZ48" s="8760"/>
      <c r="BA48" s="8761"/>
      <c r="BB48" s="8759"/>
      <c r="BC48" s="8760"/>
      <c r="BD48" s="8760"/>
      <c r="BE48" s="8760"/>
      <c r="BF48" s="8760"/>
      <c r="BG48" s="8760"/>
      <c r="BH48" s="8760"/>
      <c r="BI48" s="8761"/>
      <c r="BJ48" s="8759"/>
      <c r="BK48" s="8760"/>
      <c r="BL48" s="8760"/>
      <c r="BM48" s="8760"/>
      <c r="BN48" s="8760"/>
      <c r="BO48" s="8760"/>
      <c r="BP48" s="8760"/>
      <c r="BQ48" s="8761"/>
      <c r="BR48" s="8759"/>
      <c r="BS48" s="8760"/>
      <c r="BT48" s="8760"/>
      <c r="BU48" s="8760"/>
      <c r="BV48" s="8760"/>
      <c r="BW48" s="8760"/>
      <c r="BX48" s="8760"/>
      <c r="BY48" s="8761"/>
      <c r="BZ48" s="8759"/>
      <c r="CA48" s="8760"/>
      <c r="CB48" s="8760"/>
      <c r="CC48" s="8760"/>
      <c r="CD48" s="8760"/>
      <c r="CE48" s="8760"/>
      <c r="CF48" s="8760"/>
      <c r="CG48" s="8761"/>
      <c r="CH48" s="8759"/>
      <c r="CI48" s="8760"/>
      <c r="CJ48" s="8760"/>
      <c r="CK48" s="8760"/>
      <c r="CL48" s="8760"/>
      <c r="CM48" s="8760"/>
      <c r="CN48" s="8760"/>
      <c r="CO48" s="8761"/>
      <c r="CP48" s="8759"/>
      <c r="CQ48" s="8760"/>
      <c r="CR48" s="8760"/>
      <c r="CS48" s="8760"/>
      <c r="CT48" s="8760"/>
      <c r="CU48" s="8760"/>
      <c r="CV48" s="8760"/>
      <c r="CW48" s="8761"/>
      <c r="CX48" s="8759"/>
      <c r="CY48" s="8760"/>
      <c r="CZ48" s="8760"/>
      <c r="DA48" s="8760"/>
      <c r="DB48" s="8760"/>
      <c r="DC48" s="8760"/>
      <c r="DD48" s="8760"/>
      <c r="DE48" s="8761"/>
      <c r="DF48" s="2417"/>
      <c r="DG48" s="1428" t="s">
        <v>420</v>
      </c>
      <c r="DI48" s="670"/>
      <c r="DJ48" s="670" t="str">
        <f>IF(T48="","",T48)</f>
        <v>Группа потребителей</v>
      </c>
      <c r="DK48" s="670"/>
      <c r="DL48" s="670"/>
      <c r="DM48" s="1325">
        <v>23</v>
      </c>
    </row>
    <row customHeight="1" ht="24">
      <c r="A49" s="1533" t="s">
        <v>161</v>
      </c>
      <c r="B49" s="1533" t="s">
        <v>162</v>
      </c>
      <c r="C49" s="1533" t="s">
        <v>163</v>
      </c>
      <c r="D49" s="1533" t="s">
        <v>164</v>
      </c>
      <c r="E49" s="2429"/>
      <c r="F49" s="2429"/>
      <c r="G49" s="2429"/>
      <c r="H49" s="2429"/>
      <c r="I49" s="2456"/>
      <c r="J49" s="2456"/>
      <c r="K49" s="2426" t="str">
        <f>J48&amp;".1"</f>
        <v>1.1.1.1.1.1.1</v>
      </c>
      <c r="L49" s="1534" t="s">
        <v>421</v>
      </c>
      <c r="P49" s="2427"/>
      <c r="Q49" s="2427"/>
      <c r="R49" s="527">
        <v>1</v>
      </c>
      <c r="S49" s="1394" t="str">
        <f>$K49</f>
        <v>1.1.1.1.1.1.1</v>
      </c>
      <c r="T49" s="1517" t="s">
        <v>460</v>
      </c>
      <c r="U49" s="470"/>
      <c r="V49" s="921"/>
      <c r="W49" s="495"/>
      <c r="X49" s="921"/>
      <c r="Y49" s="1427"/>
      <c r="Z49" s="2435"/>
      <c r="AA49" s="2277" t="s">
        <v>64</v>
      </c>
      <c r="AB49" s="2435"/>
      <c r="AC49" s="2277" t="s">
        <v>64</v>
      </c>
      <c r="AD49" s="921">
        <v>1140.1</v>
      </c>
      <c r="AE49" s="495"/>
      <c r="AF49" s="921"/>
      <c r="AG49" s="1427"/>
      <c r="AH49" s="8774">
        <v>45292.445856481485</v>
      </c>
      <c r="AI49" s="2277" t="s">
        <v>64</v>
      </c>
      <c r="AJ49" s="9123">
        <v>45473.48060185185</v>
      </c>
      <c r="AK49" s="2277" t="s">
        <v>64</v>
      </c>
      <c r="AL49" s="8771">
        <v>1311.15</v>
      </c>
      <c r="AM49" s="8772"/>
      <c r="AN49" s="8771"/>
      <c r="AO49" s="8773"/>
      <c r="AP49" s="8774">
        <v>45474.480787037035</v>
      </c>
      <c r="AQ49" s="8192" t="s">
        <v>64</v>
      </c>
      <c r="AR49" s="8774">
        <v>45657.48106481481</v>
      </c>
      <c r="AS49" s="8192" t="s">
        <v>64</v>
      </c>
      <c r="AT49" s="8771">
        <v>1311.15</v>
      </c>
      <c r="AU49" s="8772"/>
      <c r="AV49" s="8771"/>
      <c r="AW49" s="8773"/>
      <c r="AX49" s="8774">
        <v>45658.48217592593</v>
      </c>
      <c r="AY49" s="8192" t="s">
        <v>64</v>
      </c>
      <c r="AZ49" s="8774">
        <v>45838.482256944444</v>
      </c>
      <c r="BA49" s="8192" t="s">
        <v>64</v>
      </c>
      <c r="BB49" s="8771">
        <v>1353.36</v>
      </c>
      <c r="BC49" s="8772"/>
      <c r="BD49" s="8771"/>
      <c r="BE49" s="8773"/>
      <c r="BF49" s="8774">
        <v>45839.482395833336</v>
      </c>
      <c r="BG49" s="8192" t="s">
        <v>64</v>
      </c>
      <c r="BH49" s="8774">
        <v>46022.484143518515</v>
      </c>
      <c r="BI49" s="8192" t="s">
        <v>64</v>
      </c>
      <c r="BJ49" s="8771">
        <v>1210.43</v>
      </c>
      <c r="BK49" s="8772"/>
      <c r="BL49" s="8771"/>
      <c r="BM49" s="8773"/>
      <c r="BN49" s="8774">
        <v>46023.48465277778</v>
      </c>
      <c r="BO49" s="8192" t="s">
        <v>64</v>
      </c>
      <c r="BP49" s="8774">
        <v>46203.48473379629</v>
      </c>
      <c r="BQ49" s="8192" t="s">
        <v>64</v>
      </c>
      <c r="BR49" s="8771">
        <v>1311.99</v>
      </c>
      <c r="BS49" s="8772"/>
      <c r="BT49" s="8771"/>
      <c r="BU49" s="8773"/>
      <c r="BV49" s="8774">
        <v>46204.48488425926</v>
      </c>
      <c r="BW49" s="8192" t="s">
        <v>64</v>
      </c>
      <c r="BX49" s="8774">
        <v>46387.48504629629</v>
      </c>
      <c r="BY49" s="8192" t="s">
        <v>64</v>
      </c>
      <c r="BZ49" s="8771">
        <v>1300.2</v>
      </c>
      <c r="CA49" s="8772"/>
      <c r="CB49" s="8771"/>
      <c r="CC49" s="8773"/>
      <c r="CD49" s="8774">
        <v>46388</v>
      </c>
      <c r="CE49" s="8192" t="s">
        <v>64</v>
      </c>
      <c r="CF49" s="8774">
        <v>46568</v>
      </c>
      <c r="CG49" s="8192" t="s">
        <v>64</v>
      </c>
      <c r="CH49" s="8771">
        <v>1300.2</v>
      </c>
      <c r="CI49" s="8772"/>
      <c r="CJ49" s="8771"/>
      <c r="CK49" s="8773"/>
      <c r="CL49" s="8774">
        <v>46569</v>
      </c>
      <c r="CM49" s="8192" t="s">
        <v>64</v>
      </c>
      <c r="CN49" s="8774">
        <v>46752</v>
      </c>
      <c r="CO49" s="8192" t="s">
        <v>64</v>
      </c>
      <c r="CP49" s="8771">
        <v>1300.2</v>
      </c>
      <c r="CQ49" s="8772"/>
      <c r="CR49" s="8771"/>
      <c r="CS49" s="8773"/>
      <c r="CT49" s="8774">
        <v>46753</v>
      </c>
      <c r="CU49" s="8192" t="s">
        <v>64</v>
      </c>
      <c r="CV49" s="8774">
        <v>46934</v>
      </c>
      <c r="CW49" s="8192" t="s">
        <v>64</v>
      </c>
      <c r="CX49" s="8771">
        <v>1413.82</v>
      </c>
      <c r="CY49" s="8772"/>
      <c r="CZ49" s="8771"/>
      <c r="DA49" s="8773"/>
      <c r="DB49" s="8774">
        <v>46935</v>
      </c>
      <c r="DC49" s="8192" t="s">
        <v>64</v>
      </c>
      <c r="DD49" s="8774">
        <v>47118</v>
      </c>
      <c r="DE49" s="8192" t="s">
        <v>64</v>
      </c>
      <c r="DF49" s="1518"/>
      <c r="DG49" s="2423" t="s">
        <v>422</v>
      </c>
      <c r="DH49" s="681">
        <f>STRCHECKDATE(V50:DF50)</f>
      </c>
      <c r="DI49" s="670"/>
      <c r="DJ49" s="670" t="str">
        <f>IF(T49="","",T49)</f>
        <v>вода</v>
      </c>
      <c r="DK49" s="670"/>
      <c r="DL49" s="670"/>
      <c r="DM49" s="1325">
        <v>23</v>
      </c>
    </row>
    <row customHeight="1" ht="1.05">
      <c r="A50" s="1533" t="s">
        <v>161</v>
      </c>
      <c r="B50" s="1533" t="s">
        <v>162</v>
      </c>
      <c r="C50" s="1533" t="s">
        <v>163</v>
      </c>
      <c r="D50" s="1533" t="s">
        <v>164</v>
      </c>
      <c r="E50" s="2429"/>
      <c r="F50" s="2429"/>
      <c r="G50" s="2429"/>
      <c r="H50" s="2429"/>
      <c r="I50" s="2456"/>
      <c r="J50" s="2456"/>
      <c r="K50" s="2426"/>
      <c r="L50" s="1534"/>
      <c r="P50" s="2427"/>
      <c r="Q50" s="2427"/>
      <c r="R50" s="527"/>
      <c r="S50" s="1393"/>
      <c r="T50" s="470"/>
      <c r="U50" s="470"/>
      <c r="V50" s="495"/>
      <c r="W50" s="495"/>
      <c r="X50" s="495"/>
      <c r="Y50" s="498" t="str">
        <f>Z49&amp;"-"&amp;AB49</f>
        <v>-</v>
      </c>
      <c r="Z50" s="2436"/>
      <c r="AA50" s="2277"/>
      <c r="AB50" s="2436"/>
      <c r="AC50" s="2277"/>
      <c r="AD50" s="495"/>
      <c r="AE50" s="495"/>
      <c r="AF50" s="495"/>
      <c r="AG50" s="498" t="str">
        <f>AH49&amp;"-"&amp;AJ49</f>
        <v>45292.445856481485-45473.48060185185</v>
      </c>
      <c r="AH50" s="2436"/>
      <c r="AI50" s="2277"/>
      <c r="AJ50" s="2458"/>
      <c r="AK50" s="2277"/>
      <c r="AL50" s="8772"/>
      <c r="AM50" s="8772"/>
      <c r="AN50" s="8772"/>
      <c r="AO50" s="8779" t="str">
        <f>AP49&amp;"-"&amp;AR49</f>
        <v>45474.480787037035-45657.48106481481</v>
      </c>
      <c r="AP50" s="8780"/>
      <c r="AQ50" s="8192"/>
      <c r="AR50" s="8780"/>
      <c r="AS50" s="8192"/>
      <c r="AT50" s="8772"/>
      <c r="AU50" s="8772"/>
      <c r="AV50" s="8772"/>
      <c r="AW50" s="8779" t="str">
        <f>AX49&amp;"-"&amp;AZ49</f>
        <v>45658.48217592593-45838.482256944444</v>
      </c>
      <c r="AX50" s="8780"/>
      <c r="AY50" s="8192"/>
      <c r="AZ50" s="8780"/>
      <c r="BA50" s="8192"/>
      <c r="BB50" s="8772"/>
      <c r="BC50" s="8772"/>
      <c r="BD50" s="8772"/>
      <c r="BE50" s="8779" t="str">
        <f>BF49&amp;"-"&amp;BH49</f>
        <v>45839.482395833336-46022.484143518515</v>
      </c>
      <c r="BF50" s="8780"/>
      <c r="BG50" s="8192"/>
      <c r="BH50" s="8780"/>
      <c r="BI50" s="8192"/>
      <c r="BJ50" s="8772"/>
      <c r="BK50" s="8772"/>
      <c r="BL50" s="8772"/>
      <c r="BM50" s="8779" t="str">
        <f>BN49&amp;"-"&amp;BP49</f>
        <v>46023.48465277778-46203.48473379629</v>
      </c>
      <c r="BN50" s="8780"/>
      <c r="BO50" s="8192"/>
      <c r="BP50" s="8780"/>
      <c r="BQ50" s="8192"/>
      <c r="BR50" s="8772"/>
      <c r="BS50" s="8772"/>
      <c r="BT50" s="8772"/>
      <c r="BU50" s="8779" t="str">
        <f>BV49&amp;"-"&amp;BX49</f>
        <v>46204.48488425926-46387.48504629629</v>
      </c>
      <c r="BV50" s="8780"/>
      <c r="BW50" s="8192"/>
      <c r="BX50" s="8780"/>
      <c r="BY50" s="8192"/>
      <c r="BZ50" s="8772"/>
      <c r="CA50" s="8772"/>
      <c r="CB50" s="8772"/>
      <c r="CC50" s="8779" t="str">
        <f>CD49&amp;"-"&amp;CF49</f>
        <v>46388-46568</v>
      </c>
      <c r="CD50" s="8780"/>
      <c r="CE50" s="8192"/>
      <c r="CF50" s="8780"/>
      <c r="CG50" s="8192"/>
      <c r="CH50" s="8772"/>
      <c r="CI50" s="8772"/>
      <c r="CJ50" s="8772"/>
      <c r="CK50" s="8779" t="str">
        <f>CL49&amp;"-"&amp;CN49</f>
        <v>46569-46752</v>
      </c>
      <c r="CL50" s="8780"/>
      <c r="CM50" s="8192"/>
      <c r="CN50" s="8780"/>
      <c r="CO50" s="8192"/>
      <c r="CP50" s="8772"/>
      <c r="CQ50" s="8772"/>
      <c r="CR50" s="8772"/>
      <c r="CS50" s="8779" t="str">
        <f>CT49&amp;"-"&amp;CV49</f>
        <v>46753-46934</v>
      </c>
      <c r="CT50" s="8780"/>
      <c r="CU50" s="8192"/>
      <c r="CV50" s="8780"/>
      <c r="CW50" s="8192"/>
      <c r="CX50" s="8772"/>
      <c r="CY50" s="8772"/>
      <c r="CZ50" s="8772"/>
      <c r="DA50" s="8779" t="str">
        <f>DB49&amp;"-"&amp;DD49</f>
        <v>46935-47118</v>
      </c>
      <c r="DB50" s="8780"/>
      <c r="DC50" s="8192"/>
      <c r="DD50" s="8780"/>
      <c r="DE50" s="8192"/>
      <c r="DF50" s="1519"/>
      <c r="DG50" s="2424"/>
      <c r="DI50" s="670"/>
      <c r="DJ50" s="670" t="str">
        <f>IF(T50="","",T50)</f>
        <v/>
      </c>
      <c r="DK50" s="670"/>
      <c r="DL50" s="670"/>
      <c r="DM50" s="1325">
        <v>1</v>
      </c>
    </row>
    <row customHeight="1" ht="11.549999999999999">
      <c r="A51" s="1533" t="s">
        <v>161</v>
      </c>
      <c r="B51" s="1533" t="s">
        <v>162</v>
      </c>
      <c r="C51" s="1533" t="s">
        <v>163</v>
      </c>
      <c r="D51" s="1533" t="s">
        <v>164</v>
      </c>
      <c r="E51" s="2429"/>
      <c r="F51" s="2429"/>
      <c r="G51" s="2429"/>
      <c r="H51" s="2429"/>
      <c r="I51" s="2456"/>
      <c r="J51" s="2426"/>
      <c r="K51" s="1533"/>
      <c r="L51" s="1534"/>
      <c r="P51" s="2427"/>
      <c r="Q51" s="2427"/>
      <c r="R51" s="526"/>
      <c r="S51" s="1448"/>
      <c r="T51" s="458" t="s">
        <v>423</v>
      </c>
      <c r="U51" s="537"/>
      <c r="V51" s="537"/>
      <c r="W51" s="537"/>
      <c r="X51" s="537"/>
      <c r="Y51" s="537"/>
      <c r="Z51" s="537"/>
      <c r="AA51" s="537"/>
      <c r="AB51" s="537"/>
      <c r="AC51" s="537"/>
      <c r="AD51" s="537"/>
      <c r="AE51" s="537"/>
      <c r="AF51" s="537"/>
      <c r="AG51" s="537"/>
      <c r="AH51" s="537"/>
      <c r="AI51" s="537"/>
      <c r="AJ51" s="537"/>
      <c r="AK51" s="537"/>
      <c r="AL51" s="9128"/>
      <c r="AM51" s="9129"/>
      <c r="AN51" s="9130"/>
      <c r="AO51" s="9131"/>
      <c r="AP51" s="9132"/>
      <c r="AQ51" s="9133"/>
      <c r="AR51" s="9134"/>
      <c r="AS51" s="9135"/>
      <c r="AT51" s="9136"/>
      <c r="AU51" s="9137"/>
      <c r="AV51" s="9138"/>
      <c r="AW51" s="9139"/>
      <c r="AX51" s="9140"/>
      <c r="AY51" s="9141"/>
      <c r="AZ51" s="9142"/>
      <c r="BA51" s="9143"/>
      <c r="BB51" s="9144"/>
      <c r="BC51" s="9145"/>
      <c r="BD51" s="9146"/>
      <c r="BE51" s="9147"/>
      <c r="BF51" s="9148"/>
      <c r="BG51" s="9149"/>
      <c r="BH51" s="9150"/>
      <c r="BI51" s="9151"/>
      <c r="BJ51" s="9152"/>
      <c r="BK51" s="9153"/>
      <c r="BL51" s="9154"/>
      <c r="BM51" s="9155"/>
      <c r="BN51" s="9156"/>
      <c r="BO51" s="9157"/>
      <c r="BP51" s="9158"/>
      <c r="BQ51" s="9159"/>
      <c r="BR51" s="9160"/>
      <c r="BS51" s="9161"/>
      <c r="BT51" s="9162"/>
      <c r="BU51" s="9163"/>
      <c r="BV51" s="9164"/>
      <c r="BW51" s="9165"/>
      <c r="BX51" s="9166"/>
      <c r="BY51" s="9167"/>
      <c r="BZ51" s="9168"/>
      <c r="CA51" s="9169"/>
      <c r="CB51" s="9170"/>
      <c r="CC51" s="9171"/>
      <c r="CD51" s="9172"/>
      <c r="CE51" s="9173"/>
      <c r="CF51" s="9174"/>
      <c r="CG51" s="9175"/>
      <c r="CH51" s="9176"/>
      <c r="CI51" s="9177"/>
      <c r="CJ51" s="9178"/>
      <c r="CK51" s="9179"/>
      <c r="CL51" s="9180"/>
      <c r="CM51" s="9181"/>
      <c r="CN51" s="9182"/>
      <c r="CO51" s="9183"/>
      <c r="CP51" s="9184"/>
      <c r="CQ51" s="9185"/>
      <c r="CR51" s="9186"/>
      <c r="CS51" s="9187"/>
      <c r="CT51" s="9188"/>
      <c r="CU51" s="9189"/>
      <c r="CV51" s="9190"/>
      <c r="CW51" s="9191"/>
      <c r="CX51" s="9192"/>
      <c r="CY51" s="9193"/>
      <c r="CZ51" s="9194"/>
      <c r="DA51" s="9195"/>
      <c r="DB51" s="9196"/>
      <c r="DC51" s="9197"/>
      <c r="DD51" s="9198"/>
      <c r="DE51" s="9199"/>
      <c r="DF51" s="494"/>
      <c r="DG51" s="2425"/>
      <c r="DI51" s="670"/>
      <c r="DJ51" s="670" t="str">
        <f>IF(T51="","",T51)</f>
        <v>Добавить вид теплоносителя (параметры теплоносителя)</v>
      </c>
      <c r="DK51" s="670"/>
      <c r="DL51" s="670"/>
      <c r="DM51" s="1325">
        <v>11</v>
      </c>
    </row>
    <row customHeight="1" ht="11.549999999999999">
      <c r="A52" s="1533" t="s">
        <v>161</v>
      </c>
      <c r="B52" s="1533" t="s">
        <v>162</v>
      </c>
      <c r="C52" s="1533" t="s">
        <v>163</v>
      </c>
      <c r="D52" s="1533" t="s">
        <v>164</v>
      </c>
      <c r="E52" s="2429"/>
      <c r="F52" s="2429"/>
      <c r="G52" s="2429"/>
      <c r="H52" s="2429"/>
      <c r="I52" s="2426"/>
      <c r="J52" s="1533"/>
      <c r="K52" s="1533"/>
      <c r="L52" s="1534"/>
      <c r="P52" s="2427"/>
      <c r="Q52" s="1390"/>
      <c r="R52" s="526"/>
      <c r="S52" s="1448"/>
      <c r="T52" s="457" t="s">
        <v>424</v>
      </c>
      <c r="U52" s="537"/>
      <c r="V52" s="537"/>
      <c r="W52" s="537"/>
      <c r="X52" s="537"/>
      <c r="Y52" s="537"/>
      <c r="Z52" s="537"/>
      <c r="AA52" s="537"/>
      <c r="AB52" s="537"/>
      <c r="AC52" s="536"/>
      <c r="AD52" s="537"/>
      <c r="AE52" s="537"/>
      <c r="AF52" s="537"/>
      <c r="AG52" s="537"/>
      <c r="AH52" s="537"/>
      <c r="AI52" s="537"/>
      <c r="AJ52" s="537"/>
      <c r="AK52" s="536"/>
      <c r="AL52" s="9200"/>
      <c r="AM52" s="9201"/>
      <c r="AN52" s="9202"/>
      <c r="AO52" s="9203"/>
      <c r="AP52" s="9204"/>
      <c r="AQ52" s="9205"/>
      <c r="AR52" s="9206"/>
      <c r="AS52" s="9207"/>
      <c r="AT52" s="9208"/>
      <c r="AU52" s="9209"/>
      <c r="AV52" s="9210"/>
      <c r="AW52" s="9211"/>
      <c r="AX52" s="9212"/>
      <c r="AY52" s="9213"/>
      <c r="AZ52" s="9214"/>
      <c r="BA52" s="9215"/>
      <c r="BB52" s="9216"/>
      <c r="BC52" s="9217"/>
      <c r="BD52" s="9218"/>
      <c r="BE52" s="9219"/>
      <c r="BF52" s="9220"/>
      <c r="BG52" s="9221"/>
      <c r="BH52" s="9222"/>
      <c r="BI52" s="9223"/>
      <c r="BJ52" s="9224"/>
      <c r="BK52" s="9225"/>
      <c r="BL52" s="9226"/>
      <c r="BM52" s="9227"/>
      <c r="BN52" s="9228"/>
      <c r="BO52" s="9229"/>
      <c r="BP52" s="9230"/>
      <c r="BQ52" s="9231"/>
      <c r="BR52" s="9232"/>
      <c r="BS52" s="9233"/>
      <c r="BT52" s="9234"/>
      <c r="BU52" s="9235"/>
      <c r="BV52" s="9236"/>
      <c r="BW52" s="9237"/>
      <c r="BX52" s="9238"/>
      <c r="BY52" s="9239"/>
      <c r="BZ52" s="9240"/>
      <c r="CA52" s="9241"/>
      <c r="CB52" s="9242"/>
      <c r="CC52" s="9243"/>
      <c r="CD52" s="9244"/>
      <c r="CE52" s="9245"/>
      <c r="CF52" s="9246"/>
      <c r="CG52" s="9247"/>
      <c r="CH52" s="9248"/>
      <c r="CI52" s="9249"/>
      <c r="CJ52" s="9250"/>
      <c r="CK52" s="9251"/>
      <c r="CL52" s="9252"/>
      <c r="CM52" s="9253"/>
      <c r="CN52" s="9254"/>
      <c r="CO52" s="9255"/>
      <c r="CP52" s="9256"/>
      <c r="CQ52" s="9257"/>
      <c r="CR52" s="9258"/>
      <c r="CS52" s="9259"/>
      <c r="CT52" s="9260"/>
      <c r="CU52" s="9261"/>
      <c r="CV52" s="9262"/>
      <c r="CW52" s="9263"/>
      <c r="CX52" s="9264"/>
      <c r="CY52" s="9265"/>
      <c r="CZ52" s="9266"/>
      <c r="DA52" s="9267"/>
      <c r="DB52" s="9268"/>
      <c r="DC52" s="9269"/>
      <c r="DD52" s="9270"/>
      <c r="DE52" s="9271"/>
      <c r="DF52" s="537"/>
      <c r="DG52" s="473"/>
      <c r="DI52" s="670"/>
      <c r="DJ52" s="670" t="str">
        <f>IF(T52="","",T52)</f>
        <v>Добавить группу потребителей</v>
      </c>
      <c r="DK52" s="670"/>
      <c r="DL52" s="670"/>
      <c r="DM52" s="1325">
        <v>11</v>
      </c>
    </row>
    <row customHeight="1" ht="14.699999999999998">
      <c r="A53" s="1533" t="s">
        <v>161</v>
      </c>
      <c r="B53" s="1533" t="s">
        <v>162</v>
      </c>
      <c r="C53" s="1533" t="s">
        <v>163</v>
      </c>
      <c r="D53" s="1533" t="s">
        <v>164</v>
      </c>
      <c r="E53" s="2429"/>
      <c r="F53" s="2429"/>
      <c r="G53" s="2429"/>
      <c r="H53" s="2428"/>
      <c r="I53" s="1533"/>
      <c r="J53" s="1533"/>
      <c r="K53" s="1533"/>
      <c r="L53" s="1534"/>
      <c r="M53" s="1535"/>
      <c r="N53" s="1535"/>
      <c r="O53" s="707"/>
      <c r="P53" s="530"/>
      <c r="Q53" s="545"/>
      <c r="R53" s="525"/>
      <c r="S53" s="1448"/>
      <c r="T53" s="535" t="s">
        <v>425</v>
      </c>
      <c r="U53" s="537"/>
      <c r="V53" s="537"/>
      <c r="W53" s="537"/>
      <c r="X53" s="537"/>
      <c r="Y53" s="537"/>
      <c r="Z53" s="537"/>
      <c r="AA53" s="537"/>
      <c r="AB53" s="537"/>
      <c r="AC53" s="536"/>
      <c r="AD53" s="537"/>
      <c r="AE53" s="537"/>
      <c r="AF53" s="537"/>
      <c r="AG53" s="537"/>
      <c r="AH53" s="537"/>
      <c r="AI53" s="537"/>
      <c r="AJ53" s="537"/>
      <c r="AK53" s="536"/>
      <c r="AL53" s="9272"/>
      <c r="AM53" s="9273"/>
      <c r="AN53" s="9274"/>
      <c r="AO53" s="9275"/>
      <c r="AP53" s="9276"/>
      <c r="AQ53" s="9277"/>
      <c r="AR53" s="9278"/>
      <c r="AS53" s="9279"/>
      <c r="AT53" s="9280"/>
      <c r="AU53" s="9281"/>
      <c r="AV53" s="9282"/>
      <c r="AW53" s="9283"/>
      <c r="AX53" s="9284"/>
      <c r="AY53" s="9285"/>
      <c r="AZ53" s="9286"/>
      <c r="BA53" s="9287"/>
      <c r="BB53" s="9288"/>
      <c r="BC53" s="9289"/>
      <c r="BD53" s="9290"/>
      <c r="BE53" s="9291"/>
      <c r="BF53" s="9292"/>
      <c r="BG53" s="9293"/>
      <c r="BH53" s="9294"/>
      <c r="BI53" s="9295"/>
      <c r="BJ53" s="9296"/>
      <c r="BK53" s="9297"/>
      <c r="BL53" s="9298"/>
      <c r="BM53" s="9299"/>
      <c r="BN53" s="9300"/>
      <c r="BO53" s="9301"/>
      <c r="BP53" s="9302"/>
      <c r="BQ53" s="9303"/>
      <c r="BR53" s="9304"/>
      <c r="BS53" s="9305"/>
      <c r="BT53" s="9306"/>
      <c r="BU53" s="9307"/>
      <c r="BV53" s="9308"/>
      <c r="BW53" s="9309"/>
      <c r="BX53" s="9310"/>
      <c r="BY53" s="9311"/>
      <c r="BZ53" s="9312"/>
      <c r="CA53" s="9313"/>
      <c r="CB53" s="9314"/>
      <c r="CC53" s="9315"/>
      <c r="CD53" s="9316"/>
      <c r="CE53" s="9317"/>
      <c r="CF53" s="9318"/>
      <c r="CG53" s="9319"/>
      <c r="CH53" s="9320"/>
      <c r="CI53" s="9321"/>
      <c r="CJ53" s="9322"/>
      <c r="CK53" s="9323"/>
      <c r="CL53" s="9324"/>
      <c r="CM53" s="9325"/>
      <c r="CN53" s="9326"/>
      <c r="CO53" s="9327"/>
      <c r="CP53" s="9328"/>
      <c r="CQ53" s="9329"/>
      <c r="CR53" s="9330"/>
      <c r="CS53" s="9331"/>
      <c r="CT53" s="9332"/>
      <c r="CU53" s="9333"/>
      <c r="CV53" s="9334"/>
      <c r="CW53" s="9335"/>
      <c r="CX53" s="9336"/>
      <c r="CY53" s="9337"/>
      <c r="CZ53" s="9338"/>
      <c r="DA53" s="9339"/>
      <c r="DB53" s="9340"/>
      <c r="DC53" s="9341"/>
      <c r="DD53" s="9342"/>
      <c r="DE53" s="9343"/>
      <c r="DF53" s="537"/>
      <c r="DG53" s="473"/>
      <c r="DI53" s="670"/>
      <c r="DJ53" s="670" t="str">
        <f>IF(T53="","",T53)</f>
        <v>Добавить схему подключения</v>
      </c>
      <c r="DK53" s="670"/>
      <c r="DL53" s="670"/>
      <c r="DM53" s="1325">
        <v>14</v>
      </c>
    </row>
    <row s="11993" customFormat="1" customHeight="1" ht="1.05">
      <c r="A54" s="1513" t="s">
        <v>161</v>
      </c>
      <c r="B54" s="1513" t="s">
        <v>162</v>
      </c>
      <c r="C54" s="1513" t="s">
        <v>163</v>
      </c>
      <c r="D54" s="1484"/>
      <c r="E54" s="2429"/>
      <c r="F54" s="2429"/>
      <c r="G54" s="2428"/>
      <c r="H54" s="1484"/>
      <c r="I54" s="1484"/>
      <c r="J54" s="1484"/>
      <c r="K54" s="1484"/>
      <c r="L54" s="1509"/>
      <c r="M54" s="1485"/>
      <c r="N54" s="1485"/>
      <c r="P54" s="1486"/>
      <c r="Q54" s="1487"/>
      <c r="R54" s="1486"/>
      <c r="S54" s="1492"/>
      <c r="T54" s="1495" t="s">
        <v>165</v>
      </c>
      <c r="U54" s="1494"/>
      <c r="V54" s="1494"/>
      <c r="W54" s="1494"/>
      <c r="X54" s="1494"/>
      <c r="Y54" s="1494"/>
      <c r="Z54" s="1494"/>
      <c r="AA54" s="1494"/>
      <c r="AB54" s="1494"/>
      <c r="AC54" s="1494"/>
      <c r="AD54" s="1494"/>
      <c r="AE54" s="1494"/>
      <c r="AF54" s="1494"/>
      <c r="AG54" s="1494"/>
      <c r="AH54" s="1494"/>
      <c r="AI54" s="1494"/>
      <c r="AJ54" s="1494"/>
      <c r="AK54" s="1494"/>
      <c r="AL54" s="9021"/>
      <c r="AM54" s="9021"/>
      <c r="AN54" s="9021"/>
      <c r="AO54" s="9021"/>
      <c r="AP54" s="9021"/>
      <c r="AQ54" s="9021"/>
      <c r="AR54" s="9021"/>
      <c r="AS54" s="9021"/>
      <c r="AT54" s="9021"/>
      <c r="AU54" s="9021"/>
      <c r="AV54" s="9021"/>
      <c r="AW54" s="9021"/>
      <c r="AX54" s="9021"/>
      <c r="AY54" s="9021"/>
      <c r="AZ54" s="9021"/>
      <c r="BA54" s="9021"/>
      <c r="BB54" s="9021"/>
      <c r="BC54" s="9021"/>
      <c r="BD54" s="9021"/>
      <c r="BE54" s="9021"/>
      <c r="BF54" s="9021"/>
      <c r="BG54" s="9021"/>
      <c r="BH54" s="9021"/>
      <c r="BI54" s="9021"/>
      <c r="BJ54" s="9021"/>
      <c r="BK54" s="9021"/>
      <c r="BL54" s="9021"/>
      <c r="BM54" s="9021"/>
      <c r="BN54" s="9021"/>
      <c r="BO54" s="9021"/>
      <c r="BP54" s="9021"/>
      <c r="BQ54" s="9021"/>
      <c r="BR54" s="9021"/>
      <c r="BS54" s="9021"/>
      <c r="BT54" s="9021"/>
      <c r="BU54" s="9021"/>
      <c r="BV54" s="9021"/>
      <c r="BW54" s="9021"/>
      <c r="BX54" s="9021"/>
      <c r="BY54" s="9021"/>
      <c r="BZ54" s="9021"/>
      <c r="CA54" s="9021"/>
      <c r="CB54" s="9021"/>
      <c r="CC54" s="9021"/>
      <c r="CD54" s="9021"/>
      <c r="CE54" s="9021"/>
      <c r="CF54" s="9021"/>
      <c r="CG54" s="9021"/>
      <c r="CH54" s="9021"/>
      <c r="CI54" s="9021"/>
      <c r="CJ54" s="9021"/>
      <c r="CK54" s="9021"/>
      <c r="CL54" s="9021"/>
      <c r="CM54" s="9021"/>
      <c r="CN54" s="9021"/>
      <c r="CO54" s="9021"/>
      <c r="CP54" s="9021"/>
      <c r="CQ54" s="9021"/>
      <c r="CR54" s="9021"/>
      <c r="CS54" s="9021"/>
      <c r="CT54" s="9021"/>
      <c r="CU54" s="9021"/>
      <c r="CV54" s="9021"/>
      <c r="CW54" s="9021"/>
      <c r="CX54" s="9021"/>
      <c r="CY54" s="9021"/>
      <c r="CZ54" s="9021"/>
      <c r="DA54" s="9021"/>
      <c r="DB54" s="9021"/>
      <c r="DC54" s="9021"/>
      <c r="DD54" s="9021"/>
      <c r="DE54" s="9021"/>
      <c r="DF54" s="1494"/>
      <c r="DG54" s="1494"/>
      <c r="DI54" s="959"/>
      <c r="DJ54" s="959" t="str">
        <f>IF(T54="","",T54)</f>
        <v>Добавить источник для дифференциации</v>
      </c>
      <c r="DK54" s="959"/>
      <c r="DL54" s="959"/>
      <c r="DM54" s="688">
        <v>1</v>
      </c>
    </row>
    <row s="11993" customFormat="1" customHeight="1" ht="1.05">
      <c r="A55" s="1513" t="s">
        <v>161</v>
      </c>
      <c r="B55" s="1513" t="s">
        <v>162</v>
      </c>
      <c r="C55" s="1484"/>
      <c r="D55" s="1484"/>
      <c r="E55" s="2429"/>
      <c r="F55" s="2428"/>
      <c r="G55" s="1484"/>
      <c r="H55" s="1484"/>
      <c r="I55" s="1484"/>
      <c r="J55" s="1484"/>
      <c r="K55" s="1484"/>
      <c r="L55" s="1509"/>
      <c r="M55" s="1491"/>
      <c r="N55" s="1491"/>
      <c r="P55" s="1486"/>
      <c r="Q55" s="1487"/>
      <c r="R55" s="1486"/>
      <c r="S55" s="1492"/>
      <c r="T55" s="1495" t="s">
        <v>166</v>
      </c>
      <c r="U55" s="1494"/>
      <c r="V55" s="1494"/>
      <c r="W55" s="1494"/>
      <c r="X55" s="1494"/>
      <c r="Y55" s="1494"/>
      <c r="Z55" s="1494"/>
      <c r="AA55" s="1494"/>
      <c r="AB55" s="1494"/>
      <c r="AC55" s="1494"/>
      <c r="AD55" s="1494"/>
      <c r="AE55" s="1494"/>
      <c r="AF55" s="1494"/>
      <c r="AG55" s="1494"/>
      <c r="AH55" s="1494"/>
      <c r="AI55" s="1494"/>
      <c r="AJ55" s="1494"/>
      <c r="AK55" s="1494"/>
      <c r="AL55" s="9021"/>
      <c r="AM55" s="9021"/>
      <c r="AN55" s="9021"/>
      <c r="AO55" s="9021"/>
      <c r="AP55" s="9021"/>
      <c r="AQ55" s="9021"/>
      <c r="AR55" s="9021"/>
      <c r="AS55" s="9021"/>
      <c r="AT55" s="9021"/>
      <c r="AU55" s="9021"/>
      <c r="AV55" s="9021"/>
      <c r="AW55" s="9021"/>
      <c r="AX55" s="9021"/>
      <c r="AY55" s="9021"/>
      <c r="AZ55" s="9021"/>
      <c r="BA55" s="9021"/>
      <c r="BB55" s="9021"/>
      <c r="BC55" s="9021"/>
      <c r="BD55" s="9021"/>
      <c r="BE55" s="9021"/>
      <c r="BF55" s="9021"/>
      <c r="BG55" s="9021"/>
      <c r="BH55" s="9021"/>
      <c r="BI55" s="9021"/>
      <c r="BJ55" s="9021"/>
      <c r="BK55" s="9021"/>
      <c r="BL55" s="9021"/>
      <c r="BM55" s="9021"/>
      <c r="BN55" s="9021"/>
      <c r="BO55" s="9021"/>
      <c r="BP55" s="9021"/>
      <c r="BQ55" s="9021"/>
      <c r="BR55" s="9021"/>
      <c r="BS55" s="9021"/>
      <c r="BT55" s="9021"/>
      <c r="BU55" s="9021"/>
      <c r="BV55" s="9021"/>
      <c r="BW55" s="9021"/>
      <c r="BX55" s="9021"/>
      <c r="BY55" s="9021"/>
      <c r="BZ55" s="9021"/>
      <c r="CA55" s="9021"/>
      <c r="CB55" s="9021"/>
      <c r="CC55" s="9021"/>
      <c r="CD55" s="9021"/>
      <c r="CE55" s="9021"/>
      <c r="CF55" s="9021"/>
      <c r="CG55" s="9021"/>
      <c r="CH55" s="9021"/>
      <c r="CI55" s="9021"/>
      <c r="CJ55" s="9021"/>
      <c r="CK55" s="9021"/>
      <c r="CL55" s="9021"/>
      <c r="CM55" s="9021"/>
      <c r="CN55" s="9021"/>
      <c r="CO55" s="9021"/>
      <c r="CP55" s="9021"/>
      <c r="CQ55" s="9021"/>
      <c r="CR55" s="9021"/>
      <c r="CS55" s="9021"/>
      <c r="CT55" s="9021"/>
      <c r="CU55" s="9021"/>
      <c r="CV55" s="9021"/>
      <c r="CW55" s="9021"/>
      <c r="CX55" s="9021"/>
      <c r="CY55" s="9021"/>
      <c r="CZ55" s="9021"/>
      <c r="DA55" s="9021"/>
      <c r="DB55" s="9021"/>
      <c r="DC55" s="9021"/>
      <c r="DD55" s="9021"/>
      <c r="DE55" s="9021"/>
      <c r="DF55" s="1494"/>
      <c r="DG55" s="1494"/>
      <c r="DI55" s="959"/>
      <c r="DJ55" s="959" t="str">
        <f>IF(T55="","",T55)</f>
        <v>Добавить централизованную систему для дифференциации</v>
      </c>
      <c r="DK55" s="959"/>
      <c r="DL55" s="959"/>
      <c r="DM55" s="688">
        <v>1</v>
      </c>
    </row>
    <row s="11993" customFormat="1" customHeight="1" ht="1.05">
      <c r="A56" s="1513" t="s">
        <v>161</v>
      </c>
      <c r="B56" s="1513"/>
      <c r="C56" s="1513"/>
      <c r="D56" s="1513"/>
      <c r="E56" s="2428"/>
      <c r="F56" s="1513"/>
      <c r="G56" s="1513"/>
      <c r="H56" s="1513"/>
      <c r="I56" s="1513"/>
      <c r="J56" s="1513"/>
      <c r="K56" s="1513"/>
      <c r="L56" s="1516"/>
      <c r="M56" s="1491"/>
      <c r="N56" s="1491"/>
      <c r="O56" s="688"/>
      <c r="P56" s="550"/>
      <c r="Q56" s="1514"/>
      <c r="R56" s="550"/>
      <c r="S56" s="1492"/>
      <c r="T56" s="1495" t="s">
        <v>167</v>
      </c>
      <c r="U56" s="1494"/>
      <c r="V56" s="1494"/>
      <c r="W56" s="1494"/>
      <c r="X56" s="1494"/>
      <c r="Y56" s="1494"/>
      <c r="Z56" s="1494"/>
      <c r="AA56" s="1494"/>
      <c r="AB56" s="1494"/>
      <c r="AC56" s="1494"/>
      <c r="AD56" s="1494"/>
      <c r="AE56" s="1494"/>
      <c r="AF56" s="1494"/>
      <c r="AG56" s="1494"/>
      <c r="AH56" s="1494"/>
      <c r="AI56" s="1494"/>
      <c r="AJ56" s="1494"/>
      <c r="AK56" s="1494"/>
      <c r="AL56" s="9021"/>
      <c r="AM56" s="9021"/>
      <c r="AN56" s="9021"/>
      <c r="AO56" s="9021"/>
      <c r="AP56" s="9021"/>
      <c r="AQ56" s="9021"/>
      <c r="AR56" s="9021"/>
      <c r="AS56" s="9021"/>
      <c r="AT56" s="9021"/>
      <c r="AU56" s="9021"/>
      <c r="AV56" s="9021"/>
      <c r="AW56" s="9021"/>
      <c r="AX56" s="9021"/>
      <c r="AY56" s="9021"/>
      <c r="AZ56" s="9021"/>
      <c r="BA56" s="9021"/>
      <c r="BB56" s="9021"/>
      <c r="BC56" s="9021"/>
      <c r="BD56" s="9021"/>
      <c r="BE56" s="9021"/>
      <c r="BF56" s="9021"/>
      <c r="BG56" s="9021"/>
      <c r="BH56" s="9021"/>
      <c r="BI56" s="9021"/>
      <c r="BJ56" s="9021"/>
      <c r="BK56" s="9021"/>
      <c r="BL56" s="9021"/>
      <c r="BM56" s="9021"/>
      <c r="BN56" s="9021"/>
      <c r="BO56" s="9021"/>
      <c r="BP56" s="9021"/>
      <c r="BQ56" s="9021"/>
      <c r="BR56" s="9021"/>
      <c r="BS56" s="9021"/>
      <c r="BT56" s="9021"/>
      <c r="BU56" s="9021"/>
      <c r="BV56" s="9021"/>
      <c r="BW56" s="9021"/>
      <c r="BX56" s="9021"/>
      <c r="BY56" s="9021"/>
      <c r="BZ56" s="9021"/>
      <c r="CA56" s="9021"/>
      <c r="CB56" s="9021"/>
      <c r="CC56" s="9021"/>
      <c r="CD56" s="9021"/>
      <c r="CE56" s="9021"/>
      <c r="CF56" s="9021"/>
      <c r="CG56" s="9021"/>
      <c r="CH56" s="9021"/>
      <c r="CI56" s="9021"/>
      <c r="CJ56" s="9021"/>
      <c r="CK56" s="9021"/>
      <c r="CL56" s="9021"/>
      <c r="CM56" s="9021"/>
      <c r="CN56" s="9021"/>
      <c r="CO56" s="9021"/>
      <c r="CP56" s="9021"/>
      <c r="CQ56" s="9021"/>
      <c r="CR56" s="9021"/>
      <c r="CS56" s="9021"/>
      <c r="CT56" s="9021"/>
      <c r="CU56" s="9021"/>
      <c r="CV56" s="9021"/>
      <c r="CW56" s="9021"/>
      <c r="CX56" s="9021"/>
      <c r="CY56" s="9021"/>
      <c r="CZ56" s="9021"/>
      <c r="DA56" s="9021"/>
      <c r="DB56" s="9021"/>
      <c r="DC56" s="9021"/>
      <c r="DD56" s="9021"/>
      <c r="DE56" s="9021"/>
      <c r="DF56" s="1494"/>
      <c r="DG56" s="1494"/>
      <c r="DI56" s="670"/>
      <c r="DJ56" s="670" t="str">
        <f>IF(T56="","",T56)</f>
        <v>Добавить территорию для дифференциации</v>
      </c>
      <c r="DK56" s="670"/>
      <c r="DL56" s="670"/>
      <c r="DM56" s="681">
        <v>1</v>
      </c>
    </row>
    <row s="11993" customFormat="1" customHeight="1" ht="1.05">
      <c r="A57" s="1484"/>
      <c r="B57" s="1484"/>
      <c r="C57" s="1484"/>
      <c r="D57" s="1484"/>
      <c r="E57" s="1513"/>
      <c r="F57" s="1484"/>
      <c r="G57" s="1484"/>
      <c r="H57" s="1484"/>
      <c r="I57" s="1484"/>
      <c r="J57" s="1484"/>
      <c r="K57" s="1484"/>
      <c r="L57" s="1509"/>
      <c r="M57" s="1491"/>
      <c r="N57" s="1491"/>
      <c r="P57" s="1486"/>
      <c r="Q57" s="1487"/>
      <c r="R57" s="1486"/>
      <c r="S57" s="1492"/>
      <c r="T57" s="1495" t="s">
        <v>168</v>
      </c>
      <c r="U57" s="1494"/>
      <c r="V57" s="1494"/>
      <c r="W57" s="1494"/>
      <c r="X57" s="1494"/>
      <c r="Y57" s="1494"/>
      <c r="Z57" s="1494"/>
      <c r="AA57" s="1494"/>
      <c r="AB57" s="1494"/>
      <c r="AC57" s="1494"/>
      <c r="AD57" s="1494"/>
      <c r="AE57" s="1494"/>
      <c r="AF57" s="1494"/>
      <c r="AG57" s="1494"/>
      <c r="AH57" s="1494"/>
      <c r="AI57" s="1494"/>
      <c r="AJ57" s="1494"/>
      <c r="AK57" s="1494"/>
      <c r="AL57" s="9021"/>
      <c r="AM57" s="9021"/>
      <c r="AN57" s="9021"/>
      <c r="AO57" s="9021"/>
      <c r="AP57" s="9021"/>
      <c r="AQ57" s="9021"/>
      <c r="AR57" s="9021"/>
      <c r="AS57" s="9021"/>
      <c r="AT57" s="9021"/>
      <c r="AU57" s="9021"/>
      <c r="AV57" s="9021"/>
      <c r="AW57" s="9021"/>
      <c r="AX57" s="9021"/>
      <c r="AY57" s="9021"/>
      <c r="AZ57" s="9021"/>
      <c r="BA57" s="9021"/>
      <c r="BB57" s="9021"/>
      <c r="BC57" s="9021"/>
      <c r="BD57" s="9021"/>
      <c r="BE57" s="9021"/>
      <c r="BF57" s="9021"/>
      <c r="BG57" s="9021"/>
      <c r="BH57" s="9021"/>
      <c r="BI57" s="9021"/>
      <c r="BJ57" s="9021"/>
      <c r="BK57" s="9021"/>
      <c r="BL57" s="9021"/>
      <c r="BM57" s="9021"/>
      <c r="BN57" s="9021"/>
      <c r="BO57" s="9021"/>
      <c r="BP57" s="9021"/>
      <c r="BQ57" s="9021"/>
      <c r="BR57" s="9021"/>
      <c r="BS57" s="9021"/>
      <c r="BT57" s="9021"/>
      <c r="BU57" s="9021"/>
      <c r="BV57" s="9021"/>
      <c r="BW57" s="9021"/>
      <c r="BX57" s="9021"/>
      <c r="BY57" s="9021"/>
      <c r="BZ57" s="9021"/>
      <c r="CA57" s="9021"/>
      <c r="CB57" s="9021"/>
      <c r="CC57" s="9021"/>
      <c r="CD57" s="9021"/>
      <c r="CE57" s="9021"/>
      <c r="CF57" s="9021"/>
      <c r="CG57" s="9021"/>
      <c r="CH57" s="9021"/>
      <c r="CI57" s="9021"/>
      <c r="CJ57" s="9021"/>
      <c r="CK57" s="9021"/>
      <c r="CL57" s="9021"/>
      <c r="CM57" s="9021"/>
      <c r="CN57" s="9021"/>
      <c r="CO57" s="9021"/>
      <c r="CP57" s="9021"/>
      <c r="CQ57" s="9021"/>
      <c r="CR57" s="9021"/>
      <c r="CS57" s="9021"/>
      <c r="CT57" s="9021"/>
      <c r="CU57" s="9021"/>
      <c r="CV57" s="9021"/>
      <c r="CW57" s="9021"/>
      <c r="CX57" s="9021"/>
      <c r="CY57" s="9021"/>
      <c r="CZ57" s="9021"/>
      <c r="DA57" s="9021"/>
      <c r="DB57" s="9021"/>
      <c r="DC57" s="9021"/>
      <c r="DD57" s="9021"/>
      <c r="DE57" s="9021"/>
      <c r="DF57" s="1494"/>
      <c r="DG57" s="1494"/>
      <c r="DI57" s="959"/>
      <c r="DJ57" s="959" t="str">
        <f>IF(T57="","",T57)</f>
        <v>Добавить наименование тарифа</v>
      </c>
      <c r="DK57" s="959"/>
      <c r="DL57" s="959"/>
      <c r="DM57" s="688">
        <v>1</v>
      </c>
    </row>
    <row customHeight="1" ht="11.549999999999999">
      <c r="M58" s="1330"/>
      <c r="N58" s="1330"/>
      <c r="O58" s="707"/>
      <c r="P58" s="1325"/>
      <c r="Q58" s="1325"/>
      <c r="R58" s="1325"/>
      <c r="S58" s="1325"/>
      <c r="AL58" s="8724"/>
      <c r="AM58" s="8724"/>
      <c r="AN58" s="8724"/>
      <c r="AO58" s="8724"/>
      <c r="AP58" s="8724"/>
      <c r="AQ58" s="8724"/>
      <c r="AR58" s="8724"/>
      <c r="AS58" s="8724"/>
      <c r="AT58" s="8724"/>
      <c r="AU58" s="8724"/>
      <c r="AV58" s="8724"/>
      <c r="AW58" s="8724"/>
      <c r="AX58" s="8724"/>
      <c r="AY58" s="8724"/>
      <c r="AZ58" s="8724"/>
      <c r="BA58" s="8724"/>
      <c r="BB58" s="8724"/>
      <c r="BC58" s="8724"/>
      <c r="BD58" s="8724"/>
      <c r="BE58" s="8724"/>
      <c r="BF58" s="8724"/>
      <c r="BG58" s="8724"/>
      <c r="BH58" s="8724"/>
      <c r="BI58" s="8724"/>
      <c r="BJ58" s="8724"/>
      <c r="BK58" s="8724"/>
      <c r="BL58" s="8724"/>
      <c r="BM58" s="8724"/>
      <c r="BN58" s="8724"/>
      <c r="BO58" s="8724"/>
      <c r="BP58" s="8724"/>
      <c r="BQ58" s="8724"/>
      <c r="BR58" s="8724"/>
      <c r="BS58" s="8724"/>
      <c r="BT58" s="8724"/>
      <c r="BU58" s="8724"/>
      <c r="BV58" s="8724"/>
      <c r="BW58" s="8724"/>
      <c r="BX58" s="8724"/>
      <c r="BY58" s="8724"/>
      <c r="BZ58" s="8724"/>
      <c r="CA58" s="8724"/>
      <c r="CB58" s="8724"/>
      <c r="CC58" s="8724"/>
      <c r="CD58" s="8724"/>
      <c r="CE58" s="8724"/>
      <c r="CF58" s="8724"/>
      <c r="CG58" s="8724"/>
      <c r="CH58" s="8724"/>
      <c r="CI58" s="8724"/>
      <c r="CJ58" s="8724"/>
      <c r="CK58" s="8724"/>
      <c r="CL58" s="8724"/>
      <c r="CM58" s="8724"/>
      <c r="CN58" s="8724"/>
      <c r="CO58" s="8724"/>
      <c r="CP58" s="8724"/>
      <c r="CQ58" s="8724"/>
      <c r="CR58" s="8724"/>
      <c r="CS58" s="8724"/>
      <c r="CT58" s="8724"/>
      <c r="CU58" s="8724"/>
      <c r="CV58" s="8724"/>
      <c r="CW58" s="8724"/>
      <c r="CX58" s="8724"/>
      <c r="CY58" s="8724"/>
      <c r="CZ58" s="8724"/>
      <c r="DA58" s="8724"/>
      <c r="DB58" s="8724"/>
      <c r="DC58" s="8724"/>
      <c r="DD58" s="8724"/>
      <c r="DE58" s="8724"/>
      <c r="DH58" s="1325"/>
      <c r="DI58" s="1325"/>
      <c r="DJ58" s="1325"/>
      <c r="DK58" s="1325"/>
      <c r="DL58" s="1325"/>
      <c r="DM58" s="1325">
        <v>11</v>
      </c>
    </row>
    <row customHeight="1" ht="28.5">
      <c r="O59" s="707"/>
      <c r="S59" s="1423"/>
      <c r="T59" s="2455"/>
      <c r="U59" s="2455"/>
      <c r="V59" s="2455"/>
      <c r="W59" s="2455"/>
      <c r="X59" s="2455"/>
      <c r="Y59" s="2455"/>
      <c r="Z59" s="2455"/>
      <c r="AA59" s="2455"/>
      <c r="AB59" s="2455"/>
      <c r="AC59" s="2455"/>
      <c r="AD59" s="2455"/>
      <c r="AE59" s="2455"/>
      <c r="AF59" s="2455"/>
      <c r="AG59" s="2455"/>
      <c r="AH59" s="2455"/>
      <c r="AI59" s="2455"/>
      <c r="AJ59" s="2455"/>
      <c r="AK59" s="2455"/>
      <c r="AL59" s="9350"/>
      <c r="AM59" s="9350"/>
      <c r="AN59" s="9350"/>
      <c r="AO59" s="9350"/>
      <c r="AP59" s="9350"/>
      <c r="AQ59" s="9350"/>
      <c r="AR59" s="9350"/>
      <c r="AS59" s="9350"/>
      <c r="AT59" s="9350"/>
      <c r="AU59" s="9350"/>
      <c r="AV59" s="9350"/>
      <c r="AW59" s="9350"/>
      <c r="AX59" s="9350"/>
      <c r="AY59" s="9350"/>
      <c r="AZ59" s="9350"/>
      <c r="BA59" s="9350"/>
      <c r="BB59" s="9350"/>
      <c r="BC59" s="9350"/>
      <c r="BD59" s="9350"/>
      <c r="BE59" s="9350"/>
      <c r="BF59" s="9350"/>
      <c r="BG59" s="9350"/>
      <c r="BH59" s="9350"/>
      <c r="BI59" s="9350"/>
      <c r="BJ59" s="9350"/>
      <c r="BK59" s="9350"/>
      <c r="BL59" s="9350"/>
      <c r="BM59" s="9350"/>
      <c r="BN59" s="9350"/>
      <c r="BO59" s="9350"/>
      <c r="BP59" s="9350"/>
      <c r="BQ59" s="9350"/>
      <c r="BR59" s="9350"/>
      <c r="BS59" s="9350"/>
      <c r="BT59" s="9350"/>
      <c r="BU59" s="9350"/>
      <c r="BV59" s="9350"/>
      <c r="BW59" s="9350"/>
      <c r="BX59" s="9350"/>
      <c r="BY59" s="9350"/>
      <c r="BZ59" s="9350"/>
      <c r="CA59" s="9350"/>
      <c r="CB59" s="9350"/>
      <c r="CC59" s="9350"/>
      <c r="CD59" s="9350"/>
      <c r="CE59" s="9350"/>
      <c r="CF59" s="9350"/>
      <c r="CG59" s="9350"/>
      <c r="CH59" s="9350"/>
      <c r="CI59" s="9350"/>
      <c r="CJ59" s="9350"/>
      <c r="CK59" s="9350"/>
      <c r="CL59" s="9350"/>
      <c r="CM59" s="9350"/>
      <c r="CN59" s="9350"/>
      <c r="CO59" s="9350"/>
      <c r="CP59" s="9350"/>
      <c r="CQ59" s="9350"/>
      <c r="CR59" s="9350"/>
      <c r="CS59" s="9350"/>
      <c r="CT59" s="9350"/>
      <c r="CU59" s="9350"/>
      <c r="CV59" s="9350"/>
      <c r="CW59" s="9350"/>
      <c r="CX59" s="9350"/>
      <c r="CY59" s="9350"/>
      <c r="CZ59" s="9350"/>
      <c r="DA59" s="9350"/>
      <c r="DB59" s="9350"/>
      <c r="DC59" s="9350"/>
      <c r="DD59" s="9350"/>
      <c r="DE59" s="9350"/>
      <c r="DF59" s="2455"/>
      <c r="DG59" s="2455"/>
      <c r="DM59" s="1325">
        <v>27</v>
      </c>
    </row>
    <row customHeight="1" ht="67.2">
      <c r="O60" s="707"/>
      <c r="P60" s="1473"/>
      <c r="T60" s="2455"/>
      <c r="U60" s="2455"/>
      <c r="V60" s="2455"/>
      <c r="W60" s="2455"/>
      <c r="X60" s="2455"/>
      <c r="Y60" s="2455"/>
      <c r="Z60" s="2455"/>
      <c r="AA60" s="2455"/>
      <c r="AB60" s="2455"/>
      <c r="AC60" s="2455"/>
      <c r="AD60" s="2455"/>
      <c r="AE60" s="2455"/>
      <c r="AF60" s="2455"/>
      <c r="AG60" s="2455"/>
      <c r="AH60" s="2455"/>
      <c r="AI60" s="2455"/>
      <c r="AJ60" s="2455"/>
      <c r="AK60" s="2455"/>
      <c r="AL60" s="9350"/>
      <c r="AM60" s="9350"/>
      <c r="AN60" s="9350"/>
      <c r="AO60" s="9350"/>
      <c r="AP60" s="9350"/>
      <c r="AQ60" s="9350"/>
      <c r="AR60" s="9350"/>
      <c r="AS60" s="9350"/>
      <c r="AT60" s="9350"/>
      <c r="AU60" s="9350"/>
      <c r="AV60" s="9350"/>
      <c r="AW60" s="9350"/>
      <c r="AX60" s="9350"/>
      <c r="AY60" s="9350"/>
      <c r="AZ60" s="9350"/>
      <c r="BA60" s="9350"/>
      <c r="BB60" s="9350"/>
      <c r="BC60" s="9350"/>
      <c r="BD60" s="9350"/>
      <c r="BE60" s="9350"/>
      <c r="BF60" s="9350"/>
      <c r="BG60" s="9350"/>
      <c r="BH60" s="9350"/>
      <c r="BI60" s="9350"/>
      <c r="BJ60" s="9350"/>
      <c r="BK60" s="9350"/>
      <c r="BL60" s="9350"/>
      <c r="BM60" s="9350"/>
      <c r="BN60" s="9350"/>
      <c r="BO60" s="9350"/>
      <c r="BP60" s="9350"/>
      <c r="BQ60" s="9350"/>
      <c r="BR60" s="9350"/>
      <c r="BS60" s="9350"/>
      <c r="BT60" s="9350"/>
      <c r="BU60" s="9350"/>
      <c r="BV60" s="9350"/>
      <c r="BW60" s="9350"/>
      <c r="BX60" s="9350"/>
      <c r="BY60" s="9350"/>
      <c r="BZ60" s="9350"/>
      <c r="CA60" s="9350"/>
      <c r="CB60" s="9350"/>
      <c r="CC60" s="9350"/>
      <c r="CD60" s="9350"/>
      <c r="CE60" s="9350"/>
      <c r="CF60" s="9350"/>
      <c r="CG60" s="9350"/>
      <c r="CH60" s="9350"/>
      <c r="CI60" s="9350"/>
      <c r="CJ60" s="9350"/>
      <c r="CK60" s="9350"/>
      <c r="CL60" s="9350"/>
      <c r="CM60" s="9350"/>
      <c r="CN60" s="9350"/>
      <c r="CO60" s="9350"/>
      <c r="CP60" s="9350"/>
      <c r="CQ60" s="9350"/>
      <c r="CR60" s="9350"/>
      <c r="CS60" s="9350"/>
      <c r="CT60" s="9350"/>
      <c r="CU60" s="9350"/>
      <c r="CV60" s="9350"/>
      <c r="CW60" s="9350"/>
      <c r="CX60" s="9350"/>
      <c r="CY60" s="9350"/>
      <c r="CZ60" s="9350"/>
      <c r="DA60" s="9350"/>
      <c r="DB60" s="9350"/>
      <c r="DC60" s="9350"/>
      <c r="DD60" s="9350"/>
      <c r="DE60" s="9350"/>
      <c r="DF60" s="2455"/>
      <c r="DG60" s="2455"/>
      <c r="DM60" s="1325">
        <v>64</v>
      </c>
    </row>
    <row customHeight="1" ht="14.699999999999998">
      <c r="O61" s="707"/>
      <c r="AL61" s="8724"/>
      <c r="AM61" s="8724"/>
      <c r="AN61" s="8724"/>
      <c r="AO61" s="8724"/>
      <c r="AP61" s="8724"/>
      <c r="AQ61" s="8724"/>
      <c r="AR61" s="8724"/>
      <c r="AS61" s="8724"/>
      <c r="AT61" s="8724"/>
      <c r="AU61" s="8724"/>
      <c r="AV61" s="8724"/>
      <c r="AW61" s="8724"/>
      <c r="AX61" s="8724"/>
      <c r="AY61" s="8724"/>
      <c r="AZ61" s="8724"/>
      <c r="BA61" s="8724"/>
      <c r="BB61" s="8724"/>
      <c r="BC61" s="8724"/>
      <c r="BD61" s="8724"/>
      <c r="BE61" s="8724"/>
      <c r="BF61" s="8724"/>
      <c r="BG61" s="8724"/>
      <c r="BH61" s="8724"/>
      <c r="BI61" s="8724"/>
      <c r="BJ61" s="8724"/>
      <c r="BK61" s="8724"/>
      <c r="BL61" s="8724"/>
      <c r="BM61" s="8724"/>
      <c r="BN61" s="8724"/>
      <c r="BO61" s="8724"/>
      <c r="BP61" s="8724"/>
      <c r="BQ61" s="8724"/>
      <c r="BR61" s="8724"/>
      <c r="BS61" s="8724"/>
      <c r="BT61" s="8724"/>
      <c r="BU61" s="8724"/>
      <c r="BV61" s="8724"/>
      <c r="BW61" s="8724"/>
      <c r="BX61" s="8724"/>
      <c r="BY61" s="8724"/>
      <c r="BZ61" s="8724"/>
      <c r="CA61" s="8724"/>
      <c r="CB61" s="8724"/>
      <c r="CC61" s="8724"/>
      <c r="CD61" s="8724"/>
      <c r="CE61" s="8724"/>
      <c r="CF61" s="8724"/>
      <c r="CG61" s="8724"/>
      <c r="CH61" s="8724"/>
      <c r="CI61" s="8724"/>
      <c r="CJ61" s="8724"/>
      <c r="CK61" s="8724"/>
      <c r="CL61" s="8724"/>
      <c r="CM61" s="8724"/>
      <c r="CN61" s="8724"/>
      <c r="CO61" s="8724"/>
      <c r="CP61" s="8724"/>
      <c r="CQ61" s="8724"/>
      <c r="CR61" s="8724"/>
      <c r="CS61" s="8724"/>
      <c r="CT61" s="8724"/>
      <c r="CU61" s="8724"/>
      <c r="CV61" s="8724"/>
      <c r="CW61" s="8724"/>
      <c r="CX61" s="8724"/>
      <c r="CY61" s="8724"/>
      <c r="CZ61" s="8724"/>
      <c r="DA61" s="8724"/>
      <c r="DB61" s="8724"/>
      <c r="DC61" s="8724"/>
      <c r="DD61" s="8724"/>
      <c r="DE61" s="8724"/>
      <c r="DM61" s="1325">
        <v>14</v>
      </c>
    </row>
    <row customHeight="1" ht="18.75">
      <c r="O62" s="707"/>
      <c r="P62" s="1498"/>
      <c r="S62" s="1423"/>
      <c r="T62" s="2455"/>
      <c r="U62" s="2455"/>
      <c r="V62" s="2455"/>
      <c r="W62" s="2455"/>
      <c r="X62" s="2455"/>
      <c r="Y62" s="2455"/>
      <c r="Z62" s="2455"/>
      <c r="AA62" s="2455"/>
      <c r="AB62" s="2455"/>
      <c r="AC62" s="2455"/>
      <c r="AD62" s="2455"/>
      <c r="AE62" s="2455"/>
      <c r="AF62" s="2455"/>
      <c r="AG62" s="2455"/>
      <c r="AH62" s="2455"/>
      <c r="AI62" s="2455"/>
      <c r="AJ62" s="2455"/>
      <c r="AK62" s="2455"/>
      <c r="AL62" s="9350"/>
      <c r="AM62" s="9350"/>
      <c r="AN62" s="9350"/>
      <c r="AO62" s="9350"/>
      <c r="AP62" s="9350"/>
      <c r="AQ62" s="9350"/>
      <c r="AR62" s="9350"/>
      <c r="AS62" s="9350"/>
      <c r="AT62" s="9350"/>
      <c r="AU62" s="9350"/>
      <c r="AV62" s="9350"/>
      <c r="AW62" s="9350"/>
      <c r="AX62" s="9350"/>
      <c r="AY62" s="9350"/>
      <c r="AZ62" s="9350"/>
      <c r="BA62" s="9350"/>
      <c r="BB62" s="9350"/>
      <c r="BC62" s="9350"/>
      <c r="BD62" s="9350"/>
      <c r="BE62" s="9350"/>
      <c r="BF62" s="9350"/>
      <c r="BG62" s="9350"/>
      <c r="BH62" s="9350"/>
      <c r="BI62" s="9350"/>
      <c r="BJ62" s="9350"/>
      <c r="BK62" s="9350"/>
      <c r="BL62" s="9350"/>
      <c r="BM62" s="9350"/>
      <c r="BN62" s="9350"/>
      <c r="BO62" s="9350"/>
      <c r="BP62" s="9350"/>
      <c r="BQ62" s="9350"/>
      <c r="BR62" s="9350"/>
      <c r="BS62" s="9350"/>
      <c r="BT62" s="9350"/>
      <c r="BU62" s="9350"/>
      <c r="BV62" s="9350"/>
      <c r="BW62" s="9350"/>
      <c r="BX62" s="9350"/>
      <c r="BY62" s="9350"/>
      <c r="BZ62" s="9350"/>
      <c r="CA62" s="9350"/>
      <c r="CB62" s="9350"/>
      <c r="CC62" s="9350"/>
      <c r="CD62" s="9350"/>
      <c r="CE62" s="9350"/>
      <c r="CF62" s="9350"/>
      <c r="CG62" s="9350"/>
      <c r="CH62" s="9350"/>
      <c r="CI62" s="9350"/>
      <c r="CJ62" s="9350"/>
      <c r="CK62" s="9350"/>
      <c r="CL62" s="9350"/>
      <c r="CM62" s="9350"/>
      <c r="CN62" s="9350"/>
      <c r="CO62" s="9350"/>
      <c r="CP62" s="9350"/>
      <c r="CQ62" s="9350"/>
      <c r="CR62" s="9350"/>
      <c r="CS62" s="9350"/>
      <c r="CT62" s="9350"/>
      <c r="CU62" s="9350"/>
      <c r="CV62" s="9350"/>
      <c r="CW62" s="9350"/>
      <c r="CX62" s="9350"/>
      <c r="CY62" s="9350"/>
      <c r="CZ62" s="9350"/>
      <c r="DA62" s="9350"/>
      <c r="DB62" s="9350"/>
      <c r="DC62" s="9350"/>
      <c r="DD62" s="9350"/>
      <c r="DE62" s="9350"/>
      <c r="DF62" s="2455"/>
      <c r="DG62" s="2455"/>
      <c r="DM62" s="1325">
        <v>18</v>
      </c>
    </row>
    <row customHeight="1" ht="18.75">
      <c r="O63" s="707"/>
      <c r="P63" s="1498"/>
      <c r="T63" s="2455"/>
      <c r="U63" s="2455"/>
      <c r="V63" s="2455"/>
      <c r="W63" s="2455"/>
      <c r="X63" s="2455"/>
      <c r="Y63" s="2455"/>
      <c r="Z63" s="2455"/>
      <c r="AA63" s="2455"/>
      <c r="AB63" s="2455"/>
      <c r="AC63" s="2455"/>
      <c r="AD63" s="2455"/>
      <c r="AE63" s="2455"/>
      <c r="AF63" s="2455"/>
      <c r="AG63" s="2455"/>
      <c r="AH63" s="2455"/>
      <c r="AI63" s="2455"/>
      <c r="AJ63" s="2455"/>
      <c r="AK63" s="2455"/>
      <c r="AL63" s="9350"/>
      <c r="AM63" s="9350"/>
      <c r="AN63" s="9350"/>
      <c r="AO63" s="9350"/>
      <c r="AP63" s="9350"/>
      <c r="AQ63" s="9350"/>
      <c r="AR63" s="9350"/>
      <c r="AS63" s="9350"/>
      <c r="AT63" s="9350"/>
      <c r="AU63" s="9350"/>
      <c r="AV63" s="9350"/>
      <c r="AW63" s="9350"/>
      <c r="AX63" s="9350"/>
      <c r="AY63" s="9350"/>
      <c r="AZ63" s="9350"/>
      <c r="BA63" s="9350"/>
      <c r="BB63" s="9350"/>
      <c r="BC63" s="9350"/>
      <c r="BD63" s="9350"/>
      <c r="BE63" s="9350"/>
      <c r="BF63" s="9350"/>
      <c r="BG63" s="9350"/>
      <c r="BH63" s="9350"/>
      <c r="BI63" s="9350"/>
      <c r="BJ63" s="9350"/>
      <c r="BK63" s="9350"/>
      <c r="BL63" s="9350"/>
      <c r="BM63" s="9350"/>
      <c r="BN63" s="9350"/>
      <c r="BO63" s="9350"/>
      <c r="BP63" s="9350"/>
      <c r="BQ63" s="9350"/>
      <c r="BR63" s="9350"/>
      <c r="BS63" s="9350"/>
      <c r="BT63" s="9350"/>
      <c r="BU63" s="9350"/>
      <c r="BV63" s="9350"/>
      <c r="BW63" s="9350"/>
      <c r="BX63" s="9350"/>
      <c r="BY63" s="9350"/>
      <c r="BZ63" s="9350"/>
      <c r="CA63" s="9350"/>
      <c r="CB63" s="9350"/>
      <c r="CC63" s="9350"/>
      <c r="CD63" s="9350"/>
      <c r="CE63" s="9350"/>
      <c r="CF63" s="9350"/>
      <c r="CG63" s="9350"/>
      <c r="CH63" s="9350"/>
      <c r="CI63" s="9350"/>
      <c r="CJ63" s="9350"/>
      <c r="CK63" s="9350"/>
      <c r="CL63" s="9350"/>
      <c r="CM63" s="9350"/>
      <c r="CN63" s="9350"/>
      <c r="CO63" s="9350"/>
      <c r="CP63" s="9350"/>
      <c r="CQ63" s="9350"/>
      <c r="CR63" s="9350"/>
      <c r="CS63" s="9350"/>
      <c r="CT63" s="9350"/>
      <c r="CU63" s="9350"/>
      <c r="CV63" s="9350"/>
      <c r="CW63" s="9350"/>
      <c r="CX63" s="9350"/>
      <c r="CY63" s="9350"/>
      <c r="CZ63" s="9350"/>
      <c r="DA63" s="9350"/>
      <c r="DB63" s="9350"/>
      <c r="DC63" s="9350"/>
      <c r="DD63" s="9350"/>
      <c r="DE63" s="9350"/>
      <c r="DF63" s="2455"/>
      <c r="DG63" s="2455"/>
      <c r="DM63" s="1325">
        <v>18</v>
      </c>
    </row>
    <row customHeight="1" ht="29.25">
      <c r="O64" s="707"/>
      <c r="P64" s="1498"/>
      <c r="S64" s="1423"/>
      <c r="T64" s="2455"/>
      <c r="U64" s="2455"/>
      <c r="V64" s="2455"/>
      <c r="W64" s="2455"/>
      <c r="X64" s="2455"/>
      <c r="Y64" s="2455"/>
      <c r="Z64" s="2455"/>
      <c r="AA64" s="2455"/>
      <c r="AB64" s="2455"/>
      <c r="AC64" s="2455"/>
      <c r="AD64" s="2455"/>
      <c r="AE64" s="2455"/>
      <c r="AF64" s="2455"/>
      <c r="AG64" s="2455"/>
      <c r="AH64" s="2455"/>
      <c r="AI64" s="2455"/>
      <c r="AJ64" s="2455"/>
      <c r="AK64" s="2455"/>
      <c r="AL64" s="9350"/>
      <c r="AM64" s="9350"/>
      <c r="AN64" s="9350"/>
      <c r="AO64" s="9350"/>
      <c r="AP64" s="9350"/>
      <c r="AQ64" s="9350"/>
      <c r="AR64" s="9350"/>
      <c r="AS64" s="9350"/>
      <c r="AT64" s="9350"/>
      <c r="AU64" s="9350"/>
      <c r="AV64" s="9350"/>
      <c r="AW64" s="9350"/>
      <c r="AX64" s="9350"/>
      <c r="AY64" s="9350"/>
      <c r="AZ64" s="9350"/>
      <c r="BA64" s="9350"/>
      <c r="BB64" s="9350"/>
      <c r="BC64" s="9350"/>
      <c r="BD64" s="9350"/>
      <c r="BE64" s="9350"/>
      <c r="BF64" s="9350"/>
      <c r="BG64" s="9350"/>
      <c r="BH64" s="9350"/>
      <c r="BI64" s="9350"/>
      <c r="BJ64" s="9350"/>
      <c r="BK64" s="9350"/>
      <c r="BL64" s="9350"/>
      <c r="BM64" s="9350"/>
      <c r="BN64" s="9350"/>
      <c r="BO64" s="9350"/>
      <c r="BP64" s="9350"/>
      <c r="BQ64" s="9350"/>
      <c r="BR64" s="9350"/>
      <c r="BS64" s="9350"/>
      <c r="BT64" s="9350"/>
      <c r="BU64" s="9350"/>
      <c r="BV64" s="9350"/>
      <c r="BW64" s="9350"/>
      <c r="BX64" s="9350"/>
      <c r="BY64" s="9350"/>
      <c r="BZ64" s="9350"/>
      <c r="CA64" s="9350"/>
      <c r="CB64" s="9350"/>
      <c r="CC64" s="9350"/>
      <c r="CD64" s="9350"/>
      <c r="CE64" s="9350"/>
      <c r="CF64" s="9350"/>
      <c r="CG64" s="9350"/>
      <c r="CH64" s="9350"/>
      <c r="CI64" s="9350"/>
      <c r="CJ64" s="9350"/>
      <c r="CK64" s="9350"/>
      <c r="CL64" s="9350"/>
      <c r="CM64" s="9350"/>
      <c r="CN64" s="9350"/>
      <c r="CO64" s="9350"/>
      <c r="CP64" s="9350"/>
      <c r="CQ64" s="9350"/>
      <c r="CR64" s="9350"/>
      <c r="CS64" s="9350"/>
      <c r="CT64" s="9350"/>
      <c r="CU64" s="9350"/>
      <c r="CV64" s="9350"/>
      <c r="CW64" s="9350"/>
      <c r="CX64" s="9350"/>
      <c r="CY64" s="9350"/>
      <c r="CZ64" s="9350"/>
      <c r="DA64" s="9350"/>
      <c r="DB64" s="9350"/>
      <c r="DC64" s="9350"/>
      <c r="DD64" s="9350"/>
      <c r="DE64" s="9350"/>
      <c r="DF64" s="2455"/>
      <c r="DG64" s="2455"/>
      <c r="DM64" s="1325">
        <v>28</v>
      </c>
    </row>
    <row customHeight="1" ht="22.5" hidden="1">
      <c r="A65" s="1330" t="s">
        <v>85</v>
      </c>
      <c r="B65" s="1330">
        <v>0</v>
      </c>
      <c r="C65" s="1330">
        <v>0</v>
      </c>
      <c r="D65" s="1330">
        <v>0</v>
      </c>
      <c r="E65" s="1330">
        <v>0</v>
      </c>
      <c r="F65" s="1330">
        <v>0</v>
      </c>
      <c r="G65" s="1330">
        <v>0</v>
      </c>
      <c r="H65" s="1330">
        <v>0</v>
      </c>
      <c r="I65" s="1330">
        <v>0</v>
      </c>
      <c r="J65" s="1330">
        <v>0</v>
      </c>
      <c r="K65" s="1330">
        <v>0</v>
      </c>
      <c r="L65" s="1499">
        <v>0</v>
      </c>
      <c r="M65" s="1532">
        <v>0</v>
      </c>
      <c r="N65" s="1532">
        <v>0</v>
      </c>
      <c r="O65" s="1532">
        <v>0</v>
      </c>
      <c r="P65" s="1388">
        <v>3</v>
      </c>
      <c r="Q65" s="514">
        <v>3</v>
      </c>
      <c r="R65" s="514">
        <v>3</v>
      </c>
      <c r="S65" s="751">
        <v>12</v>
      </c>
      <c r="T65" s="1325">
        <v>35</v>
      </c>
      <c r="U65" s="1325">
        <v>0</v>
      </c>
      <c r="V65" s="1325">
        <v>0</v>
      </c>
      <c r="W65" s="1325">
        <v>0</v>
      </c>
      <c r="X65" s="1325">
        <v>0</v>
      </c>
      <c r="Y65" s="1325">
        <v>0</v>
      </c>
      <c r="Z65" s="1325">
        <v>0</v>
      </c>
      <c r="AA65" s="1325">
        <v>0</v>
      </c>
      <c r="AB65" s="1325">
        <v>0</v>
      </c>
      <c r="AC65" s="1325">
        <v>0</v>
      </c>
      <c r="AD65" s="1325">
        <v>24</v>
      </c>
      <c r="AE65" s="1325">
        <v>0</v>
      </c>
      <c r="AF65" s="1325">
        <v>24</v>
      </c>
      <c r="AG65" s="1325">
        <v>24</v>
      </c>
      <c r="AH65" s="1325">
        <v>11</v>
      </c>
      <c r="AI65" s="1325">
        <v>3</v>
      </c>
      <c r="AJ65" s="1325">
        <v>11</v>
      </c>
      <c r="AK65" s="1325">
        <v>0</v>
      </c>
      <c r="AL65" s="8724">
        <v>0</v>
      </c>
      <c r="AM65" s="8724">
        <v>0</v>
      </c>
      <c r="AN65" s="8724">
        <v>0</v>
      </c>
      <c r="AO65" s="8724">
        <v>0</v>
      </c>
      <c r="AP65" s="8724">
        <v>0</v>
      </c>
      <c r="AQ65" s="8724">
        <v>0</v>
      </c>
      <c r="AR65" s="8724">
        <v>0</v>
      </c>
      <c r="AS65" s="8724">
        <v>0</v>
      </c>
      <c r="AT65" s="8724">
        <v>0</v>
      </c>
      <c r="AU65" s="8724">
        <v>0</v>
      </c>
      <c r="AV65" s="8724">
        <v>0</v>
      </c>
      <c r="AW65" s="8724">
        <v>0</v>
      </c>
      <c r="AX65" s="8724">
        <v>0</v>
      </c>
      <c r="AY65" s="8724">
        <v>0</v>
      </c>
      <c r="AZ65" s="8724">
        <v>0</v>
      </c>
      <c r="BA65" s="8724">
        <v>0</v>
      </c>
      <c r="BB65" s="8724">
        <v>0</v>
      </c>
      <c r="BC65" s="8724">
        <v>0</v>
      </c>
      <c r="BD65" s="8724">
        <v>0</v>
      </c>
      <c r="BE65" s="8724">
        <v>0</v>
      </c>
      <c r="BF65" s="8724">
        <v>0</v>
      </c>
      <c r="BG65" s="8724">
        <v>0</v>
      </c>
      <c r="BH65" s="8724">
        <v>0</v>
      </c>
      <c r="BI65" s="8724">
        <v>0</v>
      </c>
      <c r="BJ65" s="8724">
        <v>0</v>
      </c>
      <c r="BK65" s="8724">
        <v>0</v>
      </c>
      <c r="BL65" s="8724">
        <v>0</v>
      </c>
      <c r="BM65" s="8724">
        <v>0</v>
      </c>
      <c r="BN65" s="8724">
        <v>0</v>
      </c>
      <c r="BO65" s="8724">
        <v>0</v>
      </c>
      <c r="BP65" s="8724">
        <v>0</v>
      </c>
      <c r="BQ65" s="8724">
        <v>0</v>
      </c>
      <c r="BR65" s="8724">
        <v>0</v>
      </c>
      <c r="BS65" s="8724">
        <v>0</v>
      </c>
      <c r="BT65" s="8724">
        <v>0</v>
      </c>
      <c r="BU65" s="8724">
        <v>0</v>
      </c>
      <c r="BV65" s="8724">
        <v>0</v>
      </c>
      <c r="BW65" s="8724">
        <v>0</v>
      </c>
      <c r="BX65" s="8724">
        <v>0</v>
      </c>
      <c r="BY65" s="8724">
        <v>0</v>
      </c>
      <c r="BZ65" s="8724">
        <v>0</v>
      </c>
      <c r="CA65" s="8724">
        <v>0</v>
      </c>
      <c r="CB65" s="8724">
        <v>0</v>
      </c>
      <c r="CC65" s="8724">
        <v>0</v>
      </c>
      <c r="CD65" s="8724">
        <v>0</v>
      </c>
      <c r="CE65" s="8724">
        <v>0</v>
      </c>
      <c r="CF65" s="8724">
        <v>0</v>
      </c>
      <c r="CG65" s="8724">
        <v>0</v>
      </c>
      <c r="CH65" s="8724">
        <v>0</v>
      </c>
      <c r="CI65" s="8724">
        <v>0</v>
      </c>
      <c r="CJ65" s="8724">
        <v>0</v>
      </c>
      <c r="CK65" s="8724">
        <v>0</v>
      </c>
      <c r="CL65" s="8724">
        <v>0</v>
      </c>
      <c r="CM65" s="8724">
        <v>0</v>
      </c>
      <c r="CN65" s="8724">
        <v>0</v>
      </c>
      <c r="CO65" s="8724">
        <v>0</v>
      </c>
      <c r="CP65" s="8724">
        <v>0</v>
      </c>
      <c r="CQ65" s="8724">
        <v>0</v>
      </c>
      <c r="CR65" s="8724">
        <v>0</v>
      </c>
      <c r="CS65" s="8724">
        <v>0</v>
      </c>
      <c r="CT65" s="8724">
        <v>0</v>
      </c>
      <c r="CU65" s="8724">
        <v>0</v>
      </c>
      <c r="CV65" s="8724">
        <v>0</v>
      </c>
      <c r="CW65" s="8724">
        <v>0</v>
      </c>
      <c r="CX65" s="8724">
        <v>0</v>
      </c>
      <c r="CY65" s="8724">
        <v>0</v>
      </c>
      <c r="CZ65" s="8724">
        <v>0</v>
      </c>
      <c r="DA65" s="8724">
        <v>0</v>
      </c>
      <c r="DB65" s="8724">
        <v>0</v>
      </c>
      <c r="DC65" s="8724">
        <v>0</v>
      </c>
      <c r="DD65" s="8724">
        <v>0</v>
      </c>
      <c r="DE65" s="8724">
        <v>0</v>
      </c>
      <c r="DF65" s="1325">
        <v>4</v>
      </c>
      <c r="DG65" s="1325">
        <v>115</v>
      </c>
      <c r="DH65" s="681">
        <v>10</v>
      </c>
      <c r="DI65" s="681">
        <v>10</v>
      </c>
      <c r="DJ65" s="681">
        <v>10</v>
      </c>
      <c r="DK65" s="681">
        <v>10</v>
      </c>
      <c r="DL65" s="681">
        <v>10</v>
      </c>
      <c r="DM65" s="1325">
        <v>23</v>
      </c>
    </row>
  </sheetData>
  <sheetProtection formatColumns="0" formatRows="0" autoFilter="0" sort="0" insertRows="0" insertColumns="1" deleteRows="0" deleteColumns="0"/>
  <mergeCells count="319">
    <mergeCell ref="V7:AC7"/>
    <mergeCell ref="AD7:DF7"/>
    <mergeCell ref="S34:T34"/>
    <mergeCell ref="V34:AB34"/>
    <mergeCell ref="AD34:AJ34"/>
    <mergeCell ref="S35:T35"/>
    <mergeCell ref="V35:AB35"/>
    <mergeCell ref="AD35:AJ35"/>
    <mergeCell ref="V2:AC2"/>
    <mergeCell ref="AD2:DF2"/>
    <mergeCell ref="V3:AC3"/>
    <mergeCell ref="AD3:DF3"/>
    <mergeCell ref="V4:AC4"/>
    <mergeCell ref="AD4:DF4"/>
    <mergeCell ref="V5:AC5"/>
    <mergeCell ref="AD5:DF5"/>
    <mergeCell ref="V6:AC6"/>
    <mergeCell ref="AD6:DF6"/>
    <mergeCell ref="AI17:AI18"/>
    <mergeCell ref="AJ17:AJ18"/>
    <mergeCell ref="AK17:AK18"/>
    <mergeCell ref="AK8:AK9"/>
    <mergeCell ref="AD29:AJ29"/>
    <mergeCell ref="AD30:AJ30"/>
    <mergeCell ref="T62:DG62"/>
    <mergeCell ref="T63:DG63"/>
    <mergeCell ref="T64:DG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DG59"/>
    <mergeCell ref="W40:W41"/>
    <mergeCell ref="T60:DG60"/>
    <mergeCell ref="Z49:Z50"/>
    <mergeCell ref="AA49:AA50"/>
    <mergeCell ref="AB49:AB50"/>
    <mergeCell ref="Z40:AB40"/>
    <mergeCell ref="AA41:AB41"/>
    <mergeCell ref="AA42:AB42"/>
    <mergeCell ref="V37:AC37"/>
    <mergeCell ref="S38:DF38"/>
    <mergeCell ref="DG38:DG41"/>
    <mergeCell ref="S39:S41"/>
    <mergeCell ref="T39:T41"/>
    <mergeCell ref="V39:AB39"/>
    <mergeCell ref="AC39:AC41"/>
    <mergeCell ref="DF39:DF41"/>
    <mergeCell ref="AI42:AJ42"/>
    <mergeCell ref="AD39:AJ39"/>
    <mergeCell ref="AK39:AK41"/>
    <mergeCell ref="AD40:AD41"/>
    <mergeCell ref="AE40:AE41"/>
    <mergeCell ref="AF40:AG40"/>
    <mergeCell ref="AH40:AJ40"/>
    <mergeCell ref="AI41:AJ41"/>
    <mergeCell ref="AC49:AC50"/>
    <mergeCell ref="DG49:DG51"/>
    <mergeCell ref="DG8:DG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DF43"/>
    <mergeCell ref="AD44:DF44"/>
    <mergeCell ref="AD45:DF45"/>
    <mergeCell ref="AD46:DF46"/>
    <mergeCell ref="AD47:DF47"/>
    <mergeCell ref="AD48:DF48"/>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DE32772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I49 AK458801:DE458801 AI8 AC8 AA8 AI17 AK196657:DE196657 AA49 AC49 AK262193:DE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AW9 AW50 BE9 BE50 BM9 BM50 BU9 BU50 CC9 CC50 CK9 CK50 CS9 CS50 DA9 DA50"/>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BA7FC-4E4E-10C5-C33B-B6D2B8F9A37F}" mc:Ignorable="x14ac xr xr2 xr3">
  <sheetPr>
    <tabColor theme="6" tint="0.4"/>
  </sheetPr>
  <dimension ref="A1:DM65"/>
  <sheetViews>
    <sheetView topLeftCell="A1" showGridLines="0" zoomScale="90" workbookViewId="0">
      <selection activeCell="T59" sqref="T59:DG59"/>
    </sheetView>
  </sheetViews>
  <sheetFormatPr defaultColWidth="10.57421875" customHeight="1" defaultRowHeight="14.25"/>
  <cols>
    <col min="1" max="1" style="11992" width="10.57421875" hidden="1"/>
    <col min="2" max="2" style="11992" width="11.00390625" hidden="1" customWidth="1"/>
    <col min="3" max="3" style="11992" width="10.57421875" hidden="1"/>
    <col min="4" max="4" style="11992" width="11.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2.00390625" hidden="1" customWidth="1"/>
    <col min="10" max="10" style="11992" width="9.8515625" hidden="1" customWidth="1"/>
    <col min="11" max="11" style="11992" width="11.421875" hidden="1" customWidth="1"/>
    <col min="12" max="12" style="13388" width="19.140625" hidden="1" customWidth="1"/>
    <col min="13" max="14" style="13389" width="12.28125" hidden="1" customWidth="1"/>
    <col min="15" max="15" style="13389" width="23.421875" hidden="1" customWidth="1"/>
    <col min="16" max="16" style="13390" width="3.00390625" customWidth="1"/>
    <col min="17" max="18" style="13391" width="3.00390625" customWidth="1"/>
    <col min="19" max="19" style="13392" width="12.00390625" customWidth="1"/>
    <col min="20" max="20" style="11913" width="31.00390625" customWidth="1"/>
    <col min="21" max="21" style="11913" width="0.140625" customWidth="1"/>
    <col min="22" max="22" style="11913" width="24.7109375" hidden="1" customWidth="1"/>
    <col min="23" max="23" style="11913" width="0.140625" hidden="1" customWidth="1"/>
    <col min="24" max="25" style="11913" width="24.7109375" hidden="1" customWidth="1"/>
    <col min="26" max="26" style="11913" width="11.7109375" hidden="1" customWidth="1"/>
    <col min="27" max="27" style="11913" width="3.7109375" hidden="1" customWidth="1"/>
    <col min="28" max="28" style="11913" width="11.7109375" hidden="1" customWidth="1"/>
    <col min="29" max="29" style="11913" width="8.57421875" hidden="1" customWidth="1"/>
    <col min="30" max="30" style="11913" width="24.7109375" customWidth="1"/>
    <col min="31" max="31" style="11913" width="0.140625" customWidth="1"/>
    <col min="32" max="33" style="11913" width="24.00390625" customWidth="1"/>
    <col min="34" max="34" style="11913" width="11.00390625" customWidth="1"/>
    <col min="35" max="35" style="11913" width="3.7109375" customWidth="1"/>
    <col min="36" max="36" style="11913" width="11.00390625" customWidth="1"/>
    <col min="37" max="37" style="11913" width="8.57421875" customWidth="1"/>
    <col min="109" max="109" style="62" width="10.57421875" hidden="1"/>
    <col min="110" max="110" style="11913" width="4.00390625" customWidth="1"/>
    <col min="111" max="111" style="11913" width="115.00390625" customWidth="1"/>
    <col min="112" max="116" style="11993" width="10.00390625" customWidth="1"/>
    <col min="117" max="117" style="11913" width="10.57421875" hidden="1"/>
  </cols>
  <sheetData>
    <row customHeight="1" ht="22.5" hidden="1">
      <c r="Y1" s="497"/>
      <c r="Z1" s="497"/>
      <c r="AG1" s="497"/>
      <c r="AH1" s="497"/>
      <c r="AL1" s="8724"/>
      <c r="AM1" s="8724"/>
      <c r="AN1" s="8724"/>
      <c r="AO1" s="8724"/>
      <c r="AP1" s="8724"/>
      <c r="AQ1" s="8724"/>
      <c r="AR1" s="8724"/>
      <c r="AS1" s="8724"/>
      <c r="AT1" s="8724"/>
      <c r="AU1" s="8724"/>
      <c r="AV1" s="8724"/>
      <c r="AW1" s="8724"/>
      <c r="AX1" s="8724"/>
      <c r="AY1" s="8724"/>
      <c r="AZ1" s="8724"/>
      <c r="BA1" s="8724"/>
      <c r="BB1" s="8724"/>
      <c r="BC1" s="8724"/>
      <c r="BD1" s="8724"/>
      <c r="BE1" s="8724"/>
      <c r="BF1" s="8724"/>
      <c r="BG1" s="8724"/>
      <c r="BH1" s="8724"/>
      <c r="BI1" s="8724"/>
      <c r="BJ1" s="8724"/>
      <c r="BK1" s="8724"/>
      <c r="BL1" s="8724"/>
      <c r="BM1" s="8724"/>
      <c r="BN1" s="8724"/>
      <c r="BO1" s="8724"/>
      <c r="BP1" s="8724"/>
      <c r="BQ1" s="8724"/>
      <c r="BR1" s="8724"/>
      <c r="BS1" s="8724"/>
      <c r="BT1" s="8724"/>
      <c r="BU1" s="8724"/>
      <c r="BV1" s="8724"/>
      <c r="BW1" s="8724"/>
      <c r="BX1" s="8724"/>
      <c r="BY1" s="8724"/>
      <c r="BZ1" s="8724"/>
      <c r="CA1" s="8724"/>
      <c r="CB1" s="8724"/>
      <c r="CC1" s="8724"/>
      <c r="CD1" s="8724"/>
      <c r="CE1" s="8724"/>
      <c r="CF1" s="8724"/>
      <c r="CG1" s="8724"/>
      <c r="CH1" s="8724"/>
      <c r="CI1" s="8724"/>
      <c r="CJ1" s="8724"/>
      <c r="CK1" s="8724"/>
      <c r="CL1" s="8724"/>
      <c r="CM1" s="8724"/>
      <c r="CN1" s="8724"/>
      <c r="CO1" s="8724"/>
      <c r="CP1" s="8724"/>
      <c r="CQ1" s="8724"/>
      <c r="CR1" s="8724"/>
      <c r="CS1" s="8724"/>
      <c r="CT1" s="8724"/>
      <c r="CU1" s="8724"/>
      <c r="CV1" s="8724"/>
      <c r="CW1" s="8724"/>
      <c r="CX1" s="8724"/>
      <c r="CY1" s="8724"/>
      <c r="CZ1" s="8724"/>
      <c r="DA1" s="8724"/>
      <c r="DB1" s="8724"/>
      <c r="DC1" s="8724"/>
      <c r="DD1" s="8724"/>
      <c r="DE1" s="8724"/>
      <c r="DM1" s="1325" t="s">
        <v>14</v>
      </c>
    </row>
    <row customHeight="1" ht="21" hidden="1">
      <c r="A2" s="1533"/>
      <c r="B2" s="1533"/>
      <c r="C2" s="1533"/>
      <c r="D2" s="1533"/>
      <c r="E2" s="2428">
        <v>1</v>
      </c>
      <c r="F2" s="1533"/>
      <c r="G2" s="1533"/>
      <c r="H2" s="1533"/>
      <c r="I2" s="1533"/>
      <c r="J2" s="1533"/>
      <c r="K2" s="1533"/>
      <c r="L2" s="1534"/>
      <c r="M2" s="1535"/>
      <c r="N2" s="1535"/>
      <c r="O2" s="1535"/>
      <c r="P2" s="531"/>
      <c r="Q2" s="530"/>
      <c r="R2" s="525"/>
      <c r="S2" s="1506">
        <f>INDEX(PT_DIFFERENTIATION_NUM_NTAR,MATCH(A2,PT_DIFFERENTIATION_NTAR_ID,0))</f>
      </c>
      <c r="T2" s="468" t="s">
        <v>126</v>
      </c>
      <c r="U2" s="470"/>
      <c r="V2" s="2412"/>
      <c r="W2" s="2413"/>
      <c r="X2" s="2413"/>
      <c r="Y2" s="2413"/>
      <c r="Z2" s="2413"/>
      <c r="AA2" s="2413"/>
      <c r="AB2" s="2413"/>
      <c r="AC2" s="2414"/>
      <c r="AD2" s="2412">
        <f>INDEX(PT_DIFFERENTIATION_NTAR,MATCH(A2,PT_DIFFERENTIATION_NTAR_ID,0))</f>
      </c>
      <c r="AE2" s="2413"/>
      <c r="AF2" s="2413"/>
      <c r="AG2" s="2413"/>
      <c r="AH2" s="2413"/>
      <c r="AI2" s="2413"/>
      <c r="AJ2" s="2413"/>
      <c r="AK2" s="2413"/>
      <c r="AL2" s="8738"/>
      <c r="AM2" s="8739"/>
      <c r="AN2" s="8739"/>
      <c r="AO2" s="8739"/>
      <c r="AP2" s="8739"/>
      <c r="AQ2" s="8739"/>
      <c r="AR2" s="8739"/>
      <c r="AS2" s="8740"/>
      <c r="AT2" s="8738"/>
      <c r="AU2" s="8739"/>
      <c r="AV2" s="8739"/>
      <c r="AW2" s="8739"/>
      <c r="AX2" s="8739"/>
      <c r="AY2" s="8739"/>
      <c r="AZ2" s="8739"/>
      <c r="BA2" s="8740"/>
      <c r="BB2" s="8738"/>
      <c r="BC2" s="8739"/>
      <c r="BD2" s="8739"/>
      <c r="BE2" s="8739"/>
      <c r="BF2" s="8739"/>
      <c r="BG2" s="8739"/>
      <c r="BH2" s="8739"/>
      <c r="BI2" s="8740"/>
      <c r="BJ2" s="8738"/>
      <c r="BK2" s="8739"/>
      <c r="BL2" s="8739"/>
      <c r="BM2" s="8739"/>
      <c r="BN2" s="8739"/>
      <c r="BO2" s="8739"/>
      <c r="BP2" s="8739"/>
      <c r="BQ2" s="8740"/>
      <c r="BR2" s="8738"/>
      <c r="BS2" s="8739"/>
      <c r="BT2" s="8739"/>
      <c r="BU2" s="8739"/>
      <c r="BV2" s="8739"/>
      <c r="BW2" s="8739"/>
      <c r="BX2" s="8739"/>
      <c r="BY2" s="8740"/>
      <c r="BZ2" s="8738"/>
      <c r="CA2" s="8739"/>
      <c r="CB2" s="8739"/>
      <c r="CC2" s="8739"/>
      <c r="CD2" s="8739"/>
      <c r="CE2" s="8739"/>
      <c r="CF2" s="8739"/>
      <c r="CG2" s="8740"/>
      <c r="CH2" s="8738"/>
      <c r="CI2" s="8739"/>
      <c r="CJ2" s="8739"/>
      <c r="CK2" s="8739"/>
      <c r="CL2" s="8739"/>
      <c r="CM2" s="8739"/>
      <c r="CN2" s="8739"/>
      <c r="CO2" s="8740"/>
      <c r="CP2" s="8738"/>
      <c r="CQ2" s="8739"/>
      <c r="CR2" s="8739"/>
      <c r="CS2" s="8739"/>
      <c r="CT2" s="8739"/>
      <c r="CU2" s="8739"/>
      <c r="CV2" s="8739"/>
      <c r="CW2" s="8740"/>
      <c r="CX2" s="8738"/>
      <c r="CY2" s="8739"/>
      <c r="CZ2" s="8739"/>
      <c r="DA2" s="8739"/>
      <c r="DB2" s="8739"/>
      <c r="DC2" s="8739"/>
      <c r="DD2" s="8739"/>
      <c r="DE2" s="8740"/>
      <c r="DF2" s="2414"/>
      <c r="DG2" s="1428" t="s">
        <v>408</v>
      </c>
      <c r="DI2" s="670"/>
      <c r="DJ2" s="670" t="str">
        <f>IF(T2="","",T2)</f>
        <v>Наименование тарифа</v>
      </c>
      <c r="DK2" s="670"/>
      <c r="DL2" s="670"/>
      <c r="DM2" s="1325">
        <v>0</v>
      </c>
    </row>
    <row customHeight="1" ht="21" hidden="1">
      <c r="A3" s="1533"/>
      <c r="B3" s="1533"/>
      <c r="C3" s="1533"/>
      <c r="D3" s="1533"/>
      <c r="E3" s="2429"/>
      <c r="F3" s="2428">
        <v>1</v>
      </c>
      <c r="G3" s="1533"/>
      <c r="H3" s="1533"/>
      <c r="I3" s="1533"/>
      <c r="J3" s="1533"/>
      <c r="K3" s="1533"/>
      <c r="L3" s="1534"/>
      <c r="M3" s="1535"/>
      <c r="N3" s="1535"/>
      <c r="O3" s="1535"/>
      <c r="P3" s="1502"/>
      <c r="Q3" s="522"/>
      <c r="R3" s="523"/>
      <c r="S3" s="1506">
        <f>INDEX(PT_DIFFERENTIATION_NUM_TER,MATCH(B3,PT_DIFFERENTIATION_TER_ID,0))</f>
      </c>
      <c r="T3" s="478" t="s">
        <v>409</v>
      </c>
      <c r="U3" s="470"/>
      <c r="V3" s="2412"/>
      <c r="W3" s="2413"/>
      <c r="X3" s="2413"/>
      <c r="Y3" s="2413"/>
      <c r="Z3" s="2413"/>
      <c r="AA3" s="2413"/>
      <c r="AB3" s="2413"/>
      <c r="AC3" s="2414"/>
      <c r="AD3" s="2412">
        <f>INDEX(PT_DIFFERENTIATION_TER,MATCH(B3,PT_DIFFERENTIATION_TER_ID,0))</f>
      </c>
      <c r="AE3" s="2413"/>
      <c r="AF3" s="2413"/>
      <c r="AG3" s="2413"/>
      <c r="AH3" s="2413"/>
      <c r="AI3" s="2413"/>
      <c r="AJ3" s="2413"/>
      <c r="AK3" s="2413"/>
      <c r="AL3" s="8738"/>
      <c r="AM3" s="8739"/>
      <c r="AN3" s="8739"/>
      <c r="AO3" s="8739"/>
      <c r="AP3" s="8739"/>
      <c r="AQ3" s="8739"/>
      <c r="AR3" s="8739"/>
      <c r="AS3" s="8740"/>
      <c r="AT3" s="8738"/>
      <c r="AU3" s="8739"/>
      <c r="AV3" s="8739"/>
      <c r="AW3" s="8739"/>
      <c r="AX3" s="8739"/>
      <c r="AY3" s="8739"/>
      <c r="AZ3" s="8739"/>
      <c r="BA3" s="8740"/>
      <c r="BB3" s="8738"/>
      <c r="BC3" s="8739"/>
      <c r="BD3" s="8739"/>
      <c r="BE3" s="8739"/>
      <c r="BF3" s="8739"/>
      <c r="BG3" s="8739"/>
      <c r="BH3" s="8739"/>
      <c r="BI3" s="8740"/>
      <c r="BJ3" s="8738"/>
      <c r="BK3" s="8739"/>
      <c r="BL3" s="8739"/>
      <c r="BM3" s="8739"/>
      <c r="BN3" s="8739"/>
      <c r="BO3" s="8739"/>
      <c r="BP3" s="8739"/>
      <c r="BQ3" s="8740"/>
      <c r="BR3" s="8738"/>
      <c r="BS3" s="8739"/>
      <c r="BT3" s="8739"/>
      <c r="BU3" s="8739"/>
      <c r="BV3" s="8739"/>
      <c r="BW3" s="8739"/>
      <c r="BX3" s="8739"/>
      <c r="BY3" s="8740"/>
      <c r="BZ3" s="8738"/>
      <c r="CA3" s="8739"/>
      <c r="CB3" s="8739"/>
      <c r="CC3" s="8739"/>
      <c r="CD3" s="8739"/>
      <c r="CE3" s="8739"/>
      <c r="CF3" s="8739"/>
      <c r="CG3" s="8740"/>
      <c r="CH3" s="8738"/>
      <c r="CI3" s="8739"/>
      <c r="CJ3" s="8739"/>
      <c r="CK3" s="8739"/>
      <c r="CL3" s="8739"/>
      <c r="CM3" s="8739"/>
      <c r="CN3" s="8739"/>
      <c r="CO3" s="8740"/>
      <c r="CP3" s="8738"/>
      <c r="CQ3" s="8739"/>
      <c r="CR3" s="8739"/>
      <c r="CS3" s="8739"/>
      <c r="CT3" s="8739"/>
      <c r="CU3" s="8739"/>
      <c r="CV3" s="8739"/>
      <c r="CW3" s="8740"/>
      <c r="CX3" s="8738"/>
      <c r="CY3" s="8739"/>
      <c r="CZ3" s="8739"/>
      <c r="DA3" s="8739"/>
      <c r="DB3" s="8739"/>
      <c r="DC3" s="8739"/>
      <c r="DD3" s="8739"/>
      <c r="DE3" s="8740"/>
      <c r="DF3" s="2414"/>
      <c r="DG3" s="1428" t="s">
        <v>410</v>
      </c>
      <c r="DI3" s="670"/>
      <c r="DJ3" s="670" t="str">
        <f>IF(T3="","",T3)</f>
        <v>Территория действия тарифа</v>
      </c>
      <c r="DK3" s="670"/>
      <c r="DL3" s="670"/>
      <c r="DM3" s="1325">
        <v>0</v>
      </c>
    </row>
    <row customHeight="1" ht="23.25" hidden="1">
      <c r="A4" s="1533"/>
      <c r="B4" s="1533"/>
      <c r="C4" s="1533"/>
      <c r="D4" s="1533"/>
      <c r="E4" s="2429"/>
      <c r="F4" s="2429"/>
      <c r="G4" s="2428">
        <v>1</v>
      </c>
      <c r="H4" s="1533"/>
      <c r="I4" s="1533"/>
      <c r="J4" s="1533"/>
      <c r="K4" s="1533"/>
      <c r="L4" s="1534"/>
      <c r="M4" s="1535"/>
      <c r="N4" s="1535"/>
      <c r="O4" s="1535"/>
      <c r="P4" s="524"/>
      <c r="Q4" s="522"/>
      <c r="R4" s="523"/>
      <c r="S4" s="1506">
        <f>INDEX(PT_DIFFERENTIATION_NUM_CS,MATCH(C4,PT_DIFFERENTIATION_CS_ID,0))</f>
      </c>
      <c r="T4" s="479" t="s">
        <v>411</v>
      </c>
      <c r="U4" s="470"/>
      <c r="V4" s="2412"/>
      <c r="W4" s="2413"/>
      <c r="X4" s="2413"/>
      <c r="Y4" s="2413"/>
      <c r="Z4" s="2413"/>
      <c r="AA4" s="2413"/>
      <c r="AB4" s="2413"/>
      <c r="AC4" s="2414"/>
      <c r="AD4" s="2412">
        <f>INDEX(PT_DIFFERENTIATION_CS,MATCH(C4,PT_DIFFERENTIATION_CS_ID,0))</f>
      </c>
      <c r="AE4" s="2413"/>
      <c r="AF4" s="2413"/>
      <c r="AG4" s="2413"/>
      <c r="AH4" s="2413"/>
      <c r="AI4" s="2413"/>
      <c r="AJ4" s="2413"/>
      <c r="AK4" s="2413"/>
      <c r="AL4" s="8738"/>
      <c r="AM4" s="8739"/>
      <c r="AN4" s="8739"/>
      <c r="AO4" s="8739"/>
      <c r="AP4" s="8739"/>
      <c r="AQ4" s="8739"/>
      <c r="AR4" s="8739"/>
      <c r="AS4" s="8740"/>
      <c r="AT4" s="8738"/>
      <c r="AU4" s="8739"/>
      <c r="AV4" s="8739"/>
      <c r="AW4" s="8739"/>
      <c r="AX4" s="8739"/>
      <c r="AY4" s="8739"/>
      <c r="AZ4" s="8739"/>
      <c r="BA4" s="8740"/>
      <c r="BB4" s="8738"/>
      <c r="BC4" s="8739"/>
      <c r="BD4" s="8739"/>
      <c r="BE4" s="8739"/>
      <c r="BF4" s="8739"/>
      <c r="BG4" s="8739"/>
      <c r="BH4" s="8739"/>
      <c r="BI4" s="8740"/>
      <c r="BJ4" s="8738"/>
      <c r="BK4" s="8739"/>
      <c r="BL4" s="8739"/>
      <c r="BM4" s="8739"/>
      <c r="BN4" s="8739"/>
      <c r="BO4" s="8739"/>
      <c r="BP4" s="8739"/>
      <c r="BQ4" s="8740"/>
      <c r="BR4" s="8738"/>
      <c r="BS4" s="8739"/>
      <c r="BT4" s="8739"/>
      <c r="BU4" s="8739"/>
      <c r="BV4" s="8739"/>
      <c r="BW4" s="8739"/>
      <c r="BX4" s="8739"/>
      <c r="BY4" s="8740"/>
      <c r="BZ4" s="8738"/>
      <c r="CA4" s="8739"/>
      <c r="CB4" s="8739"/>
      <c r="CC4" s="8739"/>
      <c r="CD4" s="8739"/>
      <c r="CE4" s="8739"/>
      <c r="CF4" s="8739"/>
      <c r="CG4" s="8740"/>
      <c r="CH4" s="8738"/>
      <c r="CI4" s="8739"/>
      <c r="CJ4" s="8739"/>
      <c r="CK4" s="8739"/>
      <c r="CL4" s="8739"/>
      <c r="CM4" s="8739"/>
      <c r="CN4" s="8739"/>
      <c r="CO4" s="8740"/>
      <c r="CP4" s="8738"/>
      <c r="CQ4" s="8739"/>
      <c r="CR4" s="8739"/>
      <c r="CS4" s="8739"/>
      <c r="CT4" s="8739"/>
      <c r="CU4" s="8739"/>
      <c r="CV4" s="8739"/>
      <c r="CW4" s="8740"/>
      <c r="CX4" s="8738"/>
      <c r="CY4" s="8739"/>
      <c r="CZ4" s="8739"/>
      <c r="DA4" s="8739"/>
      <c r="DB4" s="8739"/>
      <c r="DC4" s="8739"/>
      <c r="DD4" s="8739"/>
      <c r="DE4" s="8740"/>
      <c r="DF4" s="2414"/>
      <c r="DG4" s="1428" t="s">
        <v>412</v>
      </c>
      <c r="DI4" s="670"/>
      <c r="DJ4" s="670" t="str">
        <f>IF(T4="","",T4)</f>
        <v>Наименование системы теплоснабжения </v>
      </c>
      <c r="DK4" s="670"/>
      <c r="DL4" s="670"/>
      <c r="DM4" s="1325">
        <v>0</v>
      </c>
    </row>
    <row customHeight="1" ht="21" hidden="1">
      <c r="A5" s="1533"/>
      <c r="B5" s="1533"/>
      <c r="C5" s="1533"/>
      <c r="D5" s="1533"/>
      <c r="E5" s="2429"/>
      <c r="F5" s="2429"/>
      <c r="G5" s="2429"/>
      <c r="H5" s="2428">
        <v>1</v>
      </c>
      <c r="I5" s="1533"/>
      <c r="J5" s="1533"/>
      <c r="K5" s="1533"/>
      <c r="L5" s="1534"/>
      <c r="M5" s="1535"/>
      <c r="N5" s="1535"/>
      <c r="O5" s="1535"/>
      <c r="P5" s="524"/>
      <c r="Q5" s="522"/>
      <c r="R5" s="523"/>
      <c r="S5" s="1506">
        <f>INDEX(PT_DIFFERENTIATION_NUM_IST_TE,MATCH(D5,PT_DIFFERENTIATION_IST_TE_ID,0))</f>
      </c>
      <c r="T5" s="480" t="s">
        <v>413</v>
      </c>
      <c r="U5" s="470"/>
      <c r="V5" s="2412"/>
      <c r="W5" s="2413"/>
      <c r="X5" s="2413"/>
      <c r="Y5" s="2413"/>
      <c r="Z5" s="2413"/>
      <c r="AA5" s="2413"/>
      <c r="AB5" s="2413"/>
      <c r="AC5" s="2414"/>
      <c r="AD5" s="2412">
        <f>INDEX(PT_DIFFERENTIATION_IST_TE,MATCH(D5,PT_DIFFERENTIATION_IST_TE_ID,0))</f>
      </c>
      <c r="AE5" s="2413"/>
      <c r="AF5" s="2413"/>
      <c r="AG5" s="2413"/>
      <c r="AH5" s="2413"/>
      <c r="AI5" s="2413"/>
      <c r="AJ5" s="2413"/>
      <c r="AK5" s="2413"/>
      <c r="AL5" s="8738"/>
      <c r="AM5" s="8739"/>
      <c r="AN5" s="8739"/>
      <c r="AO5" s="8739"/>
      <c r="AP5" s="8739"/>
      <c r="AQ5" s="8739"/>
      <c r="AR5" s="8739"/>
      <c r="AS5" s="8740"/>
      <c r="AT5" s="8738"/>
      <c r="AU5" s="8739"/>
      <c r="AV5" s="8739"/>
      <c r="AW5" s="8739"/>
      <c r="AX5" s="8739"/>
      <c r="AY5" s="8739"/>
      <c r="AZ5" s="8739"/>
      <c r="BA5" s="8740"/>
      <c r="BB5" s="8738"/>
      <c r="BC5" s="8739"/>
      <c r="BD5" s="8739"/>
      <c r="BE5" s="8739"/>
      <c r="BF5" s="8739"/>
      <c r="BG5" s="8739"/>
      <c r="BH5" s="8739"/>
      <c r="BI5" s="8740"/>
      <c r="BJ5" s="8738"/>
      <c r="BK5" s="8739"/>
      <c r="BL5" s="8739"/>
      <c r="BM5" s="8739"/>
      <c r="BN5" s="8739"/>
      <c r="BO5" s="8739"/>
      <c r="BP5" s="8739"/>
      <c r="BQ5" s="8740"/>
      <c r="BR5" s="8738"/>
      <c r="BS5" s="8739"/>
      <c r="BT5" s="8739"/>
      <c r="BU5" s="8739"/>
      <c r="BV5" s="8739"/>
      <c r="BW5" s="8739"/>
      <c r="BX5" s="8739"/>
      <c r="BY5" s="8740"/>
      <c r="BZ5" s="8738"/>
      <c r="CA5" s="8739"/>
      <c r="CB5" s="8739"/>
      <c r="CC5" s="8739"/>
      <c r="CD5" s="8739"/>
      <c r="CE5" s="8739"/>
      <c r="CF5" s="8739"/>
      <c r="CG5" s="8740"/>
      <c r="CH5" s="8738"/>
      <c r="CI5" s="8739"/>
      <c r="CJ5" s="8739"/>
      <c r="CK5" s="8739"/>
      <c r="CL5" s="8739"/>
      <c r="CM5" s="8739"/>
      <c r="CN5" s="8739"/>
      <c r="CO5" s="8740"/>
      <c r="CP5" s="8738"/>
      <c r="CQ5" s="8739"/>
      <c r="CR5" s="8739"/>
      <c r="CS5" s="8739"/>
      <c r="CT5" s="8739"/>
      <c r="CU5" s="8739"/>
      <c r="CV5" s="8739"/>
      <c r="CW5" s="8740"/>
      <c r="CX5" s="8738"/>
      <c r="CY5" s="8739"/>
      <c r="CZ5" s="8739"/>
      <c r="DA5" s="8739"/>
      <c r="DB5" s="8739"/>
      <c r="DC5" s="8739"/>
      <c r="DD5" s="8739"/>
      <c r="DE5" s="8740"/>
      <c r="DF5" s="2414"/>
      <c r="DG5" s="1428" t="s">
        <v>414</v>
      </c>
      <c r="DI5" s="670"/>
      <c r="DJ5" s="670" t="str">
        <f>IF(T5="","",T5)</f>
        <v>Источник тепловой энергии  </v>
      </c>
      <c r="DK5" s="670"/>
      <c r="DL5" s="670"/>
      <c r="DM5" s="1325">
        <v>0</v>
      </c>
    </row>
    <row customHeight="1" ht="47.25" hidden="1">
      <c r="A6" s="1533"/>
      <c r="B6" s="1533"/>
      <c r="C6" s="1533"/>
      <c r="D6" s="1533"/>
      <c r="E6" s="2429"/>
      <c r="F6" s="2429"/>
      <c r="G6" s="2429"/>
      <c r="H6" s="2429"/>
      <c r="I6" s="2426">
        <f>S5&amp;".1"</f>
      </c>
      <c r="J6" s="1533"/>
      <c r="K6" s="1533"/>
      <c r="L6" s="1534" t="s">
        <v>415</v>
      </c>
      <c r="M6" s="707"/>
      <c r="P6" s="2427">
        <v>1</v>
      </c>
      <c r="Q6" s="1501"/>
      <c r="R6" s="526"/>
      <c r="S6" s="1506">
        <f>$I6</f>
      </c>
      <c r="T6" s="455" t="s">
        <v>416</v>
      </c>
      <c r="U6" s="470"/>
      <c r="V6" s="2415"/>
      <c r="W6" s="2416"/>
      <c r="X6" s="2416"/>
      <c r="Y6" s="2416"/>
      <c r="Z6" s="2416"/>
      <c r="AA6" s="2416"/>
      <c r="AB6" s="2416"/>
      <c r="AC6" s="2417"/>
      <c r="AD6" s="2415"/>
      <c r="AE6" s="2416"/>
      <c r="AF6" s="2416"/>
      <c r="AG6" s="2416"/>
      <c r="AH6" s="2416"/>
      <c r="AI6" s="2416"/>
      <c r="AJ6" s="2416"/>
      <c r="AK6" s="2416"/>
      <c r="AL6" s="8759"/>
      <c r="AM6" s="8760"/>
      <c r="AN6" s="8760"/>
      <c r="AO6" s="8760"/>
      <c r="AP6" s="8760"/>
      <c r="AQ6" s="8760"/>
      <c r="AR6" s="8760"/>
      <c r="AS6" s="8761"/>
      <c r="AT6" s="8759"/>
      <c r="AU6" s="8760"/>
      <c r="AV6" s="8760"/>
      <c r="AW6" s="8760"/>
      <c r="AX6" s="8760"/>
      <c r="AY6" s="8760"/>
      <c r="AZ6" s="8760"/>
      <c r="BA6" s="8761"/>
      <c r="BB6" s="8759"/>
      <c r="BC6" s="8760"/>
      <c r="BD6" s="8760"/>
      <c r="BE6" s="8760"/>
      <c r="BF6" s="8760"/>
      <c r="BG6" s="8760"/>
      <c r="BH6" s="8760"/>
      <c r="BI6" s="8761"/>
      <c r="BJ6" s="8759"/>
      <c r="BK6" s="8760"/>
      <c r="BL6" s="8760"/>
      <c r="BM6" s="8760"/>
      <c r="BN6" s="8760"/>
      <c r="BO6" s="8760"/>
      <c r="BP6" s="8760"/>
      <c r="BQ6" s="8761"/>
      <c r="BR6" s="8759"/>
      <c r="BS6" s="8760"/>
      <c r="BT6" s="8760"/>
      <c r="BU6" s="8760"/>
      <c r="BV6" s="8760"/>
      <c r="BW6" s="8760"/>
      <c r="BX6" s="8760"/>
      <c r="BY6" s="8761"/>
      <c r="BZ6" s="8759"/>
      <c r="CA6" s="8760"/>
      <c r="CB6" s="8760"/>
      <c r="CC6" s="8760"/>
      <c r="CD6" s="8760"/>
      <c r="CE6" s="8760"/>
      <c r="CF6" s="8760"/>
      <c r="CG6" s="8761"/>
      <c r="CH6" s="8759"/>
      <c r="CI6" s="8760"/>
      <c r="CJ6" s="8760"/>
      <c r="CK6" s="8760"/>
      <c r="CL6" s="8760"/>
      <c r="CM6" s="8760"/>
      <c r="CN6" s="8760"/>
      <c r="CO6" s="8761"/>
      <c r="CP6" s="8759"/>
      <c r="CQ6" s="8760"/>
      <c r="CR6" s="8760"/>
      <c r="CS6" s="8760"/>
      <c r="CT6" s="8760"/>
      <c r="CU6" s="8760"/>
      <c r="CV6" s="8760"/>
      <c r="CW6" s="8761"/>
      <c r="CX6" s="8759"/>
      <c r="CY6" s="8760"/>
      <c r="CZ6" s="8760"/>
      <c r="DA6" s="8760"/>
      <c r="DB6" s="8760"/>
      <c r="DC6" s="8760"/>
      <c r="DD6" s="8760"/>
      <c r="DE6" s="8761"/>
      <c r="DF6" s="2417"/>
      <c r="DG6" s="1428" t="s">
        <v>417</v>
      </c>
      <c r="DI6" s="670"/>
      <c r="DJ6" s="670" t="str">
        <f>IF(T6="","",T6)</f>
        <v>Схема подключения теплопотребляющей установки к коллектору источника тепловой энергии</v>
      </c>
      <c r="DK6" s="670"/>
      <c r="DL6" s="670"/>
      <c r="DM6" s="1325">
        <v>0</v>
      </c>
    </row>
    <row customHeight="1" ht="21" hidden="1">
      <c r="A7" s="1533"/>
      <c r="B7" s="1533"/>
      <c r="C7" s="1533"/>
      <c r="D7" s="1533"/>
      <c r="E7" s="2429"/>
      <c r="F7" s="2429"/>
      <c r="G7" s="2429"/>
      <c r="H7" s="2429"/>
      <c r="I7" s="2456"/>
      <c r="J7" s="2426">
        <f>I6&amp;".1"</f>
      </c>
      <c r="K7" s="1533"/>
      <c r="L7" s="1534" t="s">
        <v>418</v>
      </c>
      <c r="M7" s="707"/>
      <c r="N7" s="1536"/>
      <c r="P7" s="2427"/>
      <c r="Q7" s="2427">
        <v>1</v>
      </c>
      <c r="R7" s="527"/>
      <c r="S7" s="1506">
        <f>$J7</f>
      </c>
      <c r="T7" s="456" t="s">
        <v>419</v>
      </c>
      <c r="U7" s="470"/>
      <c r="V7" s="2415"/>
      <c r="W7" s="2416"/>
      <c r="X7" s="2416"/>
      <c r="Y7" s="2416"/>
      <c r="Z7" s="2416"/>
      <c r="AA7" s="2416"/>
      <c r="AB7" s="2416"/>
      <c r="AC7" s="2417"/>
      <c r="AD7" s="2415"/>
      <c r="AE7" s="2416"/>
      <c r="AF7" s="2416"/>
      <c r="AG7" s="2416"/>
      <c r="AH7" s="2416"/>
      <c r="AI7" s="2416"/>
      <c r="AJ7" s="2416"/>
      <c r="AK7" s="2416"/>
      <c r="AL7" s="8759"/>
      <c r="AM7" s="8760"/>
      <c r="AN7" s="8760"/>
      <c r="AO7" s="8760"/>
      <c r="AP7" s="8760"/>
      <c r="AQ7" s="8760"/>
      <c r="AR7" s="8760"/>
      <c r="AS7" s="8761"/>
      <c r="AT7" s="8759"/>
      <c r="AU7" s="8760"/>
      <c r="AV7" s="8760"/>
      <c r="AW7" s="8760"/>
      <c r="AX7" s="8760"/>
      <c r="AY7" s="8760"/>
      <c r="AZ7" s="8760"/>
      <c r="BA7" s="8761"/>
      <c r="BB7" s="8759"/>
      <c r="BC7" s="8760"/>
      <c r="BD7" s="8760"/>
      <c r="BE7" s="8760"/>
      <c r="BF7" s="8760"/>
      <c r="BG7" s="8760"/>
      <c r="BH7" s="8760"/>
      <c r="BI7" s="8761"/>
      <c r="BJ7" s="8759"/>
      <c r="BK7" s="8760"/>
      <c r="BL7" s="8760"/>
      <c r="BM7" s="8760"/>
      <c r="BN7" s="8760"/>
      <c r="BO7" s="8760"/>
      <c r="BP7" s="8760"/>
      <c r="BQ7" s="8761"/>
      <c r="BR7" s="8759"/>
      <c r="BS7" s="8760"/>
      <c r="BT7" s="8760"/>
      <c r="BU7" s="8760"/>
      <c r="BV7" s="8760"/>
      <c r="BW7" s="8760"/>
      <c r="BX7" s="8760"/>
      <c r="BY7" s="8761"/>
      <c r="BZ7" s="8759"/>
      <c r="CA7" s="8760"/>
      <c r="CB7" s="8760"/>
      <c r="CC7" s="8760"/>
      <c r="CD7" s="8760"/>
      <c r="CE7" s="8760"/>
      <c r="CF7" s="8760"/>
      <c r="CG7" s="8761"/>
      <c r="CH7" s="8759"/>
      <c r="CI7" s="8760"/>
      <c r="CJ7" s="8760"/>
      <c r="CK7" s="8760"/>
      <c r="CL7" s="8760"/>
      <c r="CM7" s="8760"/>
      <c r="CN7" s="8760"/>
      <c r="CO7" s="8761"/>
      <c r="CP7" s="8759"/>
      <c r="CQ7" s="8760"/>
      <c r="CR7" s="8760"/>
      <c r="CS7" s="8760"/>
      <c r="CT7" s="8760"/>
      <c r="CU7" s="8760"/>
      <c r="CV7" s="8760"/>
      <c r="CW7" s="8761"/>
      <c r="CX7" s="8759"/>
      <c r="CY7" s="8760"/>
      <c r="CZ7" s="8760"/>
      <c r="DA7" s="8760"/>
      <c r="DB7" s="8760"/>
      <c r="DC7" s="8760"/>
      <c r="DD7" s="8760"/>
      <c r="DE7" s="8761"/>
      <c r="DF7" s="2417"/>
      <c r="DG7" s="1428" t="s">
        <v>420</v>
      </c>
      <c r="DI7" s="670"/>
      <c r="DJ7" s="670" t="str">
        <f>IF(T7="","",T7)</f>
        <v>Группа потребителей</v>
      </c>
      <c r="DK7" s="670"/>
      <c r="DL7" s="670"/>
      <c r="DM7" s="1325">
        <v>0</v>
      </c>
    </row>
    <row customHeight="1" ht="21" hidden="1">
      <c r="A8" s="1533"/>
      <c r="B8" s="1533"/>
      <c r="C8" s="1533"/>
      <c r="D8" s="1533"/>
      <c r="E8" s="2429"/>
      <c r="F8" s="2429"/>
      <c r="G8" s="2429"/>
      <c r="H8" s="2429"/>
      <c r="I8" s="2456"/>
      <c r="J8" s="2456"/>
      <c r="K8" s="2426">
        <f>J7&amp;".1"</f>
      </c>
      <c r="L8" s="1534" t="s">
        <v>421</v>
      </c>
      <c r="M8" s="707"/>
      <c r="N8" s="1536"/>
      <c r="O8" s="1536"/>
      <c r="P8" s="2427"/>
      <c r="Q8" s="2427"/>
      <c r="R8" s="527">
        <v>1</v>
      </c>
      <c r="S8" s="1506">
        <f>$K8</f>
      </c>
      <c r="T8" s="1517"/>
      <c r="U8" s="470"/>
      <c r="V8" s="921"/>
      <c r="W8" s="495"/>
      <c r="X8" s="921"/>
      <c r="Y8" s="1427"/>
      <c r="Z8" s="2435"/>
      <c r="AA8" s="2277" t="s">
        <v>64</v>
      </c>
      <c r="AB8" s="2435"/>
      <c r="AC8" s="2277" t="s">
        <v>64</v>
      </c>
      <c r="AD8" s="921"/>
      <c r="AE8" s="495"/>
      <c r="AF8" s="921"/>
      <c r="AG8" s="1427"/>
      <c r="AH8" s="2435"/>
      <c r="AI8" s="2277" t="s">
        <v>64</v>
      </c>
      <c r="AJ8" s="2435"/>
      <c r="AK8" s="2277" t="s">
        <v>64</v>
      </c>
      <c r="AL8" s="8771"/>
      <c r="AM8" s="8772"/>
      <c r="AN8" s="8771"/>
      <c r="AO8" s="8773"/>
      <c r="AP8" s="8774"/>
      <c r="AQ8" s="8192" t="s">
        <v>64</v>
      </c>
      <c r="AR8" s="8774"/>
      <c r="AS8" s="8192" t="s">
        <v>64</v>
      </c>
      <c r="AT8" s="8771"/>
      <c r="AU8" s="8772"/>
      <c r="AV8" s="8771"/>
      <c r="AW8" s="8773"/>
      <c r="AX8" s="8774"/>
      <c r="AY8" s="8192" t="s">
        <v>64</v>
      </c>
      <c r="AZ8" s="8774"/>
      <c r="BA8" s="8192" t="s">
        <v>64</v>
      </c>
      <c r="BB8" s="8771"/>
      <c r="BC8" s="8772"/>
      <c r="BD8" s="8771"/>
      <c r="BE8" s="8773"/>
      <c r="BF8" s="8774"/>
      <c r="BG8" s="8192" t="s">
        <v>64</v>
      </c>
      <c r="BH8" s="8774"/>
      <c r="BI8" s="8192" t="s">
        <v>64</v>
      </c>
      <c r="BJ8" s="8771"/>
      <c r="BK8" s="8772"/>
      <c r="BL8" s="8771"/>
      <c r="BM8" s="8773"/>
      <c r="BN8" s="8774"/>
      <c r="BO8" s="8192" t="s">
        <v>64</v>
      </c>
      <c r="BP8" s="8774"/>
      <c r="BQ8" s="8192" t="s">
        <v>64</v>
      </c>
      <c r="BR8" s="8771"/>
      <c r="BS8" s="8772"/>
      <c r="BT8" s="8771"/>
      <c r="BU8" s="8773"/>
      <c r="BV8" s="8774"/>
      <c r="BW8" s="8192" t="s">
        <v>64</v>
      </c>
      <c r="BX8" s="8774"/>
      <c r="BY8" s="8192" t="s">
        <v>64</v>
      </c>
      <c r="BZ8" s="8771"/>
      <c r="CA8" s="8772"/>
      <c r="CB8" s="8771"/>
      <c r="CC8" s="8773"/>
      <c r="CD8" s="8774"/>
      <c r="CE8" s="8192" t="s">
        <v>64</v>
      </c>
      <c r="CF8" s="8774"/>
      <c r="CG8" s="8192" t="s">
        <v>64</v>
      </c>
      <c r="CH8" s="8771"/>
      <c r="CI8" s="8772"/>
      <c r="CJ8" s="8771"/>
      <c r="CK8" s="8773"/>
      <c r="CL8" s="8774"/>
      <c r="CM8" s="8192" t="s">
        <v>64</v>
      </c>
      <c r="CN8" s="8774"/>
      <c r="CO8" s="8192" t="s">
        <v>64</v>
      </c>
      <c r="CP8" s="8771"/>
      <c r="CQ8" s="8772"/>
      <c r="CR8" s="8771"/>
      <c r="CS8" s="8773"/>
      <c r="CT8" s="8774"/>
      <c r="CU8" s="8192" t="s">
        <v>64</v>
      </c>
      <c r="CV8" s="8774"/>
      <c r="CW8" s="8192" t="s">
        <v>64</v>
      </c>
      <c r="CX8" s="8771"/>
      <c r="CY8" s="8772"/>
      <c r="CZ8" s="8771"/>
      <c r="DA8" s="8773"/>
      <c r="DB8" s="8774"/>
      <c r="DC8" s="8192" t="s">
        <v>64</v>
      </c>
      <c r="DD8" s="8774"/>
      <c r="DE8" s="8192" t="s">
        <v>64</v>
      </c>
      <c r="DF8" s="495"/>
      <c r="DG8" s="2423" t="s">
        <v>422</v>
      </c>
      <c r="DH8" s="681">
        <f>STRCHECKDATE(V9:DF9)</f>
      </c>
      <c r="DI8" s="670"/>
      <c r="DJ8" s="670" t="str">
        <f>IF(T8="","",T8)</f>
        <v/>
      </c>
      <c r="DK8" s="670"/>
      <c r="DL8" s="670"/>
      <c r="DM8" s="1325">
        <v>0</v>
      </c>
    </row>
    <row customHeight="1" ht="0.75" hidden="1">
      <c r="A9" s="1533"/>
      <c r="B9" s="1533"/>
      <c r="C9" s="1533"/>
      <c r="D9" s="1533"/>
      <c r="E9" s="2429"/>
      <c r="F9" s="2429"/>
      <c r="G9" s="2429"/>
      <c r="H9" s="2429"/>
      <c r="I9" s="2456"/>
      <c r="J9" s="2456"/>
      <c r="K9" s="2426"/>
      <c r="L9" s="1534"/>
      <c r="M9" s="707"/>
      <c r="N9" s="1536"/>
      <c r="O9" s="1536"/>
      <c r="P9" s="2427"/>
      <c r="Q9" s="2427"/>
      <c r="R9" s="527"/>
      <c r="S9" s="1512"/>
      <c r="T9" s="470"/>
      <c r="U9" s="470"/>
      <c r="V9" s="495"/>
      <c r="W9" s="495"/>
      <c r="X9" s="495"/>
      <c r="Y9" s="498" t="str">
        <f>Z8&amp;"-"&amp;AB8</f>
        <v>-</v>
      </c>
      <c r="Z9" s="2436"/>
      <c r="AA9" s="2277"/>
      <c r="AB9" s="2436"/>
      <c r="AC9" s="2277"/>
      <c r="AD9" s="495"/>
      <c r="AE9" s="495"/>
      <c r="AF9" s="495"/>
      <c r="AG9" s="498" t="str">
        <f>AH8&amp;"-"&amp;AJ8</f>
        <v>-</v>
      </c>
      <c r="AH9" s="2436"/>
      <c r="AI9" s="2277"/>
      <c r="AJ9" s="2436"/>
      <c r="AK9" s="2277"/>
      <c r="AL9" s="8772"/>
      <c r="AM9" s="8772"/>
      <c r="AN9" s="8772"/>
      <c r="AO9" s="8779" t="str">
        <f>AP8&amp;"-"&amp;AR8</f>
        <v>-</v>
      </c>
      <c r="AP9" s="8780"/>
      <c r="AQ9" s="8192"/>
      <c r="AR9" s="8780"/>
      <c r="AS9" s="8192"/>
      <c r="AT9" s="8772"/>
      <c r="AU9" s="8772"/>
      <c r="AV9" s="8772"/>
      <c r="AW9" s="8779" t="str">
        <f>AX8&amp;"-"&amp;AZ8</f>
        <v>-</v>
      </c>
      <c r="AX9" s="8780"/>
      <c r="AY9" s="8192"/>
      <c r="AZ9" s="8780"/>
      <c r="BA9" s="8192"/>
      <c r="BB9" s="8772"/>
      <c r="BC9" s="8772"/>
      <c r="BD9" s="8772"/>
      <c r="BE9" s="8779" t="str">
        <f>BF8&amp;"-"&amp;BH8</f>
        <v>-</v>
      </c>
      <c r="BF9" s="8780"/>
      <c r="BG9" s="8192"/>
      <c r="BH9" s="8780"/>
      <c r="BI9" s="8192"/>
      <c r="BJ9" s="8772"/>
      <c r="BK9" s="8772"/>
      <c r="BL9" s="8772"/>
      <c r="BM9" s="8779" t="str">
        <f>BN8&amp;"-"&amp;BP8</f>
        <v>-</v>
      </c>
      <c r="BN9" s="8780"/>
      <c r="BO9" s="8192"/>
      <c r="BP9" s="8780"/>
      <c r="BQ9" s="8192"/>
      <c r="BR9" s="8772"/>
      <c r="BS9" s="8772"/>
      <c r="BT9" s="8772"/>
      <c r="BU9" s="8779" t="str">
        <f>BV8&amp;"-"&amp;BX8</f>
        <v>-</v>
      </c>
      <c r="BV9" s="8780"/>
      <c r="BW9" s="8192"/>
      <c r="BX9" s="8780"/>
      <c r="BY9" s="8192"/>
      <c r="BZ9" s="8772"/>
      <c r="CA9" s="8772"/>
      <c r="CB9" s="8772"/>
      <c r="CC9" s="8779" t="str">
        <f>CD8&amp;"-"&amp;CF8</f>
        <v>-</v>
      </c>
      <c r="CD9" s="8780"/>
      <c r="CE9" s="8192"/>
      <c r="CF9" s="8780"/>
      <c r="CG9" s="8192"/>
      <c r="CH9" s="8772"/>
      <c r="CI9" s="8772"/>
      <c r="CJ9" s="8772"/>
      <c r="CK9" s="8779" t="str">
        <f>CL8&amp;"-"&amp;CN8</f>
        <v>-</v>
      </c>
      <c r="CL9" s="8780"/>
      <c r="CM9" s="8192"/>
      <c r="CN9" s="8780"/>
      <c r="CO9" s="8192"/>
      <c r="CP9" s="8772"/>
      <c r="CQ9" s="8772"/>
      <c r="CR9" s="8772"/>
      <c r="CS9" s="8779" t="str">
        <f>CT8&amp;"-"&amp;CV8</f>
        <v>-</v>
      </c>
      <c r="CT9" s="8780"/>
      <c r="CU9" s="8192"/>
      <c r="CV9" s="8780"/>
      <c r="CW9" s="8192"/>
      <c r="CX9" s="8772"/>
      <c r="CY9" s="8772"/>
      <c r="CZ9" s="8772"/>
      <c r="DA9" s="8779" t="str">
        <f>DB8&amp;"-"&amp;DD8</f>
        <v>-</v>
      </c>
      <c r="DB9" s="8780"/>
      <c r="DC9" s="8192"/>
      <c r="DD9" s="8780"/>
      <c r="DE9" s="8192"/>
      <c r="DF9" s="495"/>
      <c r="DG9" s="2424"/>
      <c r="DI9" s="670"/>
      <c r="DJ9" s="670" t="str">
        <f>IF(T9="","",T9)</f>
        <v/>
      </c>
      <c r="DK9" s="670"/>
      <c r="DL9" s="670"/>
      <c r="DM9" s="1325">
        <v>0</v>
      </c>
    </row>
    <row customHeight="1" ht="15" hidden="1">
      <c r="A10" s="1533"/>
      <c r="B10" s="1533"/>
      <c r="C10" s="1533"/>
      <c r="D10" s="1533"/>
      <c r="E10" s="2429"/>
      <c r="F10" s="2429"/>
      <c r="G10" s="2429"/>
      <c r="H10" s="2429"/>
      <c r="I10" s="2456"/>
      <c r="J10" s="2426"/>
      <c r="K10" s="1533"/>
      <c r="L10" s="1534"/>
      <c r="M10" s="707"/>
      <c r="N10" s="1536"/>
      <c r="P10" s="2427"/>
      <c r="Q10" s="2427"/>
      <c r="R10" s="526"/>
      <c r="S10" s="1448"/>
      <c r="T10" s="458" t="s">
        <v>423</v>
      </c>
      <c r="U10" s="537"/>
      <c r="V10" s="537"/>
      <c r="W10" s="537"/>
      <c r="X10" s="537"/>
      <c r="Y10" s="537"/>
      <c r="Z10" s="537"/>
      <c r="AA10" s="537"/>
      <c r="AB10" s="537"/>
      <c r="AC10" s="537"/>
      <c r="AD10" s="537"/>
      <c r="AE10" s="537"/>
      <c r="AF10" s="537"/>
      <c r="AG10" s="537"/>
      <c r="AH10" s="537"/>
      <c r="AI10" s="537"/>
      <c r="AJ10" s="537"/>
      <c r="AK10" s="537"/>
      <c r="AL10" s="9364"/>
      <c r="AM10" s="9365"/>
      <c r="AN10" s="9366"/>
      <c r="AO10" s="9367"/>
      <c r="AP10" s="9368"/>
      <c r="AQ10" s="9369"/>
      <c r="AR10" s="9370"/>
      <c r="AS10" s="9371"/>
      <c r="AT10" s="9372"/>
      <c r="AU10" s="9373"/>
      <c r="AV10" s="9374"/>
      <c r="AW10" s="9375"/>
      <c r="AX10" s="9376"/>
      <c r="AY10" s="9377"/>
      <c r="AZ10" s="9378"/>
      <c r="BA10" s="9379"/>
      <c r="BB10" s="9380"/>
      <c r="BC10" s="9381"/>
      <c r="BD10" s="9382"/>
      <c r="BE10" s="9383"/>
      <c r="BF10" s="9384"/>
      <c r="BG10" s="9385"/>
      <c r="BH10" s="9386"/>
      <c r="BI10" s="9387"/>
      <c r="BJ10" s="9388"/>
      <c r="BK10" s="9389"/>
      <c r="BL10" s="9390"/>
      <c r="BM10" s="9391"/>
      <c r="BN10" s="9392"/>
      <c r="BO10" s="9393"/>
      <c r="BP10" s="9394"/>
      <c r="BQ10" s="9395"/>
      <c r="BR10" s="9396"/>
      <c r="BS10" s="9397"/>
      <c r="BT10" s="9398"/>
      <c r="BU10" s="9399"/>
      <c r="BV10" s="9400"/>
      <c r="BW10" s="9401"/>
      <c r="BX10" s="9402"/>
      <c r="BY10" s="9403"/>
      <c r="BZ10" s="9404"/>
      <c r="CA10" s="9405"/>
      <c r="CB10" s="9406"/>
      <c r="CC10" s="9407"/>
      <c r="CD10" s="9408"/>
      <c r="CE10" s="9409"/>
      <c r="CF10" s="9410"/>
      <c r="CG10" s="9411"/>
      <c r="CH10" s="9412"/>
      <c r="CI10" s="9413"/>
      <c r="CJ10" s="9414"/>
      <c r="CK10" s="9415"/>
      <c r="CL10" s="9416"/>
      <c r="CM10" s="9417"/>
      <c r="CN10" s="9418"/>
      <c r="CO10" s="9419"/>
      <c r="CP10" s="9420"/>
      <c r="CQ10" s="9421"/>
      <c r="CR10" s="9422"/>
      <c r="CS10" s="9423"/>
      <c r="CT10" s="9424"/>
      <c r="CU10" s="9425"/>
      <c r="CV10" s="9426"/>
      <c r="CW10" s="9427"/>
      <c r="CX10" s="9428"/>
      <c r="CY10" s="9429"/>
      <c r="CZ10" s="9430"/>
      <c r="DA10" s="9431"/>
      <c r="DB10" s="9432"/>
      <c r="DC10" s="9433"/>
      <c r="DD10" s="9434"/>
      <c r="DE10" s="9435"/>
      <c r="DF10" s="494"/>
      <c r="DG10" s="2425"/>
      <c r="DI10" s="670"/>
      <c r="DJ10" s="670" t="str">
        <f>IF(T10="","",T10)</f>
        <v>Добавить вид теплоносителя (параметры теплоносителя)</v>
      </c>
      <c r="DK10" s="670"/>
      <c r="DL10" s="670"/>
      <c r="DM10" s="1325">
        <v>0</v>
      </c>
    </row>
    <row customHeight="1" ht="15" hidden="1">
      <c r="A11" s="1533"/>
      <c r="B11" s="1533"/>
      <c r="C11" s="1533"/>
      <c r="D11" s="1533"/>
      <c r="E11" s="2429"/>
      <c r="F11" s="2429"/>
      <c r="G11" s="2429"/>
      <c r="H11" s="2429"/>
      <c r="I11" s="2426"/>
      <c r="J11" s="1533"/>
      <c r="K11" s="1533"/>
      <c r="L11" s="1534"/>
      <c r="M11" s="707"/>
      <c r="P11" s="2427"/>
      <c r="Q11" s="1501"/>
      <c r="R11" s="526"/>
      <c r="S11" s="1448"/>
      <c r="T11" s="457" t="s">
        <v>424</v>
      </c>
      <c r="U11" s="537"/>
      <c r="V11" s="537"/>
      <c r="W11" s="537"/>
      <c r="X11" s="537"/>
      <c r="Y11" s="537"/>
      <c r="Z11" s="537"/>
      <c r="AA11" s="537"/>
      <c r="AB11" s="537"/>
      <c r="AC11" s="536"/>
      <c r="AD11" s="537"/>
      <c r="AE11" s="537"/>
      <c r="AF11" s="537"/>
      <c r="AG11" s="537"/>
      <c r="AH11" s="537"/>
      <c r="AI11" s="537"/>
      <c r="AJ11" s="537"/>
      <c r="AK11" s="536"/>
      <c r="AL11" s="9436"/>
      <c r="AM11" s="9437"/>
      <c r="AN11" s="9438"/>
      <c r="AO11" s="9439"/>
      <c r="AP11" s="9440"/>
      <c r="AQ11" s="9441"/>
      <c r="AR11" s="9442"/>
      <c r="AS11" s="9443"/>
      <c r="AT11" s="9444"/>
      <c r="AU11" s="9445"/>
      <c r="AV11" s="9446"/>
      <c r="AW11" s="9447"/>
      <c r="AX11" s="9448"/>
      <c r="AY11" s="9449"/>
      <c r="AZ11" s="9450"/>
      <c r="BA11" s="9451"/>
      <c r="BB11" s="9452"/>
      <c r="BC11" s="9453"/>
      <c r="BD11" s="9454"/>
      <c r="BE11" s="9455"/>
      <c r="BF11" s="9456"/>
      <c r="BG11" s="9457"/>
      <c r="BH11" s="9458"/>
      <c r="BI11" s="9459"/>
      <c r="BJ11" s="9460"/>
      <c r="BK11" s="9461"/>
      <c r="BL11" s="9462"/>
      <c r="BM11" s="9463"/>
      <c r="BN11" s="9464"/>
      <c r="BO11" s="9465"/>
      <c r="BP11" s="9466"/>
      <c r="BQ11" s="9467"/>
      <c r="BR11" s="9468"/>
      <c r="BS11" s="9469"/>
      <c r="BT11" s="9470"/>
      <c r="BU11" s="9471"/>
      <c r="BV11" s="9472"/>
      <c r="BW11" s="9473"/>
      <c r="BX11" s="9474"/>
      <c r="BY11" s="9475"/>
      <c r="BZ11" s="9476"/>
      <c r="CA11" s="9477"/>
      <c r="CB11" s="9478"/>
      <c r="CC11" s="9479"/>
      <c r="CD11" s="9480"/>
      <c r="CE11" s="9481"/>
      <c r="CF11" s="9482"/>
      <c r="CG11" s="9483"/>
      <c r="CH11" s="9484"/>
      <c r="CI11" s="9485"/>
      <c r="CJ11" s="9486"/>
      <c r="CK11" s="9487"/>
      <c r="CL11" s="9488"/>
      <c r="CM11" s="9489"/>
      <c r="CN11" s="9490"/>
      <c r="CO11" s="9491"/>
      <c r="CP11" s="9492"/>
      <c r="CQ11" s="9493"/>
      <c r="CR11" s="9494"/>
      <c r="CS11" s="9495"/>
      <c r="CT11" s="9496"/>
      <c r="CU11" s="9497"/>
      <c r="CV11" s="9498"/>
      <c r="CW11" s="9499"/>
      <c r="CX11" s="9500"/>
      <c r="CY11" s="9501"/>
      <c r="CZ11" s="9502"/>
      <c r="DA11" s="9503"/>
      <c r="DB11" s="9504"/>
      <c r="DC11" s="9505"/>
      <c r="DD11" s="9506"/>
      <c r="DE11" s="9507"/>
      <c r="DF11" s="537"/>
      <c r="DG11" s="473"/>
      <c r="DI11" s="670"/>
      <c r="DJ11" s="670" t="str">
        <f>IF(T11="","",T11)</f>
        <v>Добавить группу потребителей</v>
      </c>
      <c r="DK11" s="670"/>
      <c r="DL11" s="670"/>
      <c r="DM11" s="1325">
        <v>0</v>
      </c>
    </row>
    <row customHeight="1" ht="14.25" hidden="1">
      <c r="A12" s="1533"/>
      <c r="B12" s="1533"/>
      <c r="C12" s="1533"/>
      <c r="D12" s="1533"/>
      <c r="E12" s="2429"/>
      <c r="F12" s="2429"/>
      <c r="G12" s="2429"/>
      <c r="H12" s="2428"/>
      <c r="I12" s="1533"/>
      <c r="J12" s="1533"/>
      <c r="K12" s="1533"/>
      <c r="L12" s="1534"/>
      <c r="M12" s="1535"/>
      <c r="N12" s="1535"/>
      <c r="O12" s="707"/>
      <c r="P12" s="530"/>
      <c r="Q12" s="545"/>
      <c r="R12" s="525"/>
      <c r="S12" s="1448"/>
      <c r="T12" s="535" t="s">
        <v>425</v>
      </c>
      <c r="U12" s="537"/>
      <c r="V12" s="537"/>
      <c r="W12" s="537"/>
      <c r="X12" s="537"/>
      <c r="Y12" s="537"/>
      <c r="Z12" s="537"/>
      <c r="AA12" s="537"/>
      <c r="AB12" s="537"/>
      <c r="AC12" s="536"/>
      <c r="AD12" s="537"/>
      <c r="AE12" s="537"/>
      <c r="AF12" s="537"/>
      <c r="AG12" s="537"/>
      <c r="AH12" s="537"/>
      <c r="AI12" s="537"/>
      <c r="AJ12" s="537"/>
      <c r="AK12" s="536"/>
      <c r="AL12" s="9508"/>
      <c r="AM12" s="9509"/>
      <c r="AN12" s="9510"/>
      <c r="AO12" s="9511"/>
      <c r="AP12" s="9512"/>
      <c r="AQ12" s="9513"/>
      <c r="AR12" s="9514"/>
      <c r="AS12" s="9515"/>
      <c r="AT12" s="9516"/>
      <c r="AU12" s="9517"/>
      <c r="AV12" s="9518"/>
      <c r="AW12" s="9519"/>
      <c r="AX12" s="9520"/>
      <c r="AY12" s="9521"/>
      <c r="AZ12" s="9522"/>
      <c r="BA12" s="9523"/>
      <c r="BB12" s="9524"/>
      <c r="BC12" s="9525"/>
      <c r="BD12" s="9526"/>
      <c r="BE12" s="9527"/>
      <c r="BF12" s="9528"/>
      <c r="BG12" s="9529"/>
      <c r="BH12" s="9530"/>
      <c r="BI12" s="9531"/>
      <c r="BJ12" s="9532"/>
      <c r="BK12" s="9533"/>
      <c r="BL12" s="9534"/>
      <c r="BM12" s="9535"/>
      <c r="BN12" s="9536"/>
      <c r="BO12" s="9537"/>
      <c r="BP12" s="9538"/>
      <c r="BQ12" s="9539"/>
      <c r="BR12" s="9540"/>
      <c r="BS12" s="9541"/>
      <c r="BT12" s="9542"/>
      <c r="BU12" s="9543"/>
      <c r="BV12" s="9544"/>
      <c r="BW12" s="9545"/>
      <c r="BX12" s="9546"/>
      <c r="BY12" s="9547"/>
      <c r="BZ12" s="9548"/>
      <c r="CA12" s="9549"/>
      <c r="CB12" s="9550"/>
      <c r="CC12" s="9551"/>
      <c r="CD12" s="9552"/>
      <c r="CE12" s="9553"/>
      <c r="CF12" s="9554"/>
      <c r="CG12" s="9555"/>
      <c r="CH12" s="9556"/>
      <c r="CI12" s="9557"/>
      <c r="CJ12" s="9558"/>
      <c r="CK12" s="9559"/>
      <c r="CL12" s="9560"/>
      <c r="CM12" s="9561"/>
      <c r="CN12" s="9562"/>
      <c r="CO12" s="9563"/>
      <c r="CP12" s="9564"/>
      <c r="CQ12" s="9565"/>
      <c r="CR12" s="9566"/>
      <c r="CS12" s="9567"/>
      <c r="CT12" s="9568"/>
      <c r="CU12" s="9569"/>
      <c r="CV12" s="9570"/>
      <c r="CW12" s="9571"/>
      <c r="CX12" s="9572"/>
      <c r="CY12" s="9573"/>
      <c r="CZ12" s="9574"/>
      <c r="DA12" s="9575"/>
      <c r="DB12" s="9576"/>
      <c r="DC12" s="9577"/>
      <c r="DD12" s="9578"/>
      <c r="DE12" s="9579"/>
      <c r="DF12" s="537"/>
      <c r="DG12" s="473"/>
      <c r="DI12" s="670"/>
      <c r="DJ12" s="670" t="str">
        <f>IF(T12="","",T12)</f>
        <v>Добавить схему подключения</v>
      </c>
      <c r="DK12" s="670"/>
      <c r="DL12" s="670"/>
      <c r="DM12" s="1325">
        <v>0</v>
      </c>
    </row>
    <row s="11993" customFormat="1" customHeight="1" ht="0.75" hidden="1">
      <c r="A13" s="1484"/>
      <c r="B13" s="1484"/>
      <c r="C13" s="1484"/>
      <c r="D13" s="1484"/>
      <c r="E13" s="2429"/>
      <c r="F13" s="2429"/>
      <c r="G13" s="2428"/>
      <c r="H13" s="1484"/>
      <c r="I13" s="1484"/>
      <c r="J13" s="1484"/>
      <c r="K13" s="1484"/>
      <c r="L13" s="1509"/>
      <c r="M13" s="1485"/>
      <c r="N13" s="1485"/>
      <c r="P13" s="1486"/>
      <c r="Q13" s="1487"/>
      <c r="R13" s="1486"/>
      <c r="S13" s="1488"/>
      <c r="T13" s="1489" t="s">
        <v>165</v>
      </c>
      <c r="U13" s="1490"/>
      <c r="V13" s="1490"/>
      <c r="W13" s="1490"/>
      <c r="X13" s="1490"/>
      <c r="Y13" s="1490"/>
      <c r="Z13" s="1490"/>
      <c r="AA13" s="1490"/>
      <c r="AB13" s="1490"/>
      <c r="AC13" s="1490"/>
      <c r="AD13" s="1490"/>
      <c r="AE13" s="1490"/>
      <c r="AF13" s="1490"/>
      <c r="AG13" s="1490"/>
      <c r="AH13" s="1490"/>
      <c r="AI13" s="1490"/>
      <c r="AJ13" s="1490"/>
      <c r="AK13" s="1490"/>
      <c r="AL13" s="9015"/>
      <c r="AM13" s="9015"/>
      <c r="AN13" s="9015"/>
      <c r="AO13" s="9015"/>
      <c r="AP13" s="9015"/>
      <c r="AQ13" s="9015"/>
      <c r="AR13" s="9015"/>
      <c r="AS13" s="9015"/>
      <c r="AT13" s="9015"/>
      <c r="AU13" s="9015"/>
      <c r="AV13" s="9015"/>
      <c r="AW13" s="9015"/>
      <c r="AX13" s="9015"/>
      <c r="AY13" s="9015"/>
      <c r="AZ13" s="9015"/>
      <c r="BA13" s="9015"/>
      <c r="BB13" s="9015"/>
      <c r="BC13" s="9015"/>
      <c r="BD13" s="9015"/>
      <c r="BE13" s="9015"/>
      <c r="BF13" s="9015"/>
      <c r="BG13" s="9015"/>
      <c r="BH13" s="9015"/>
      <c r="BI13" s="9015"/>
      <c r="BJ13" s="9015"/>
      <c r="BK13" s="9015"/>
      <c r="BL13" s="9015"/>
      <c r="BM13" s="9015"/>
      <c r="BN13" s="9015"/>
      <c r="BO13" s="9015"/>
      <c r="BP13" s="9015"/>
      <c r="BQ13" s="9015"/>
      <c r="BR13" s="9015"/>
      <c r="BS13" s="9015"/>
      <c r="BT13" s="9015"/>
      <c r="BU13" s="9015"/>
      <c r="BV13" s="9015"/>
      <c r="BW13" s="9015"/>
      <c r="BX13" s="9015"/>
      <c r="BY13" s="9015"/>
      <c r="BZ13" s="9015"/>
      <c r="CA13" s="9015"/>
      <c r="CB13" s="9015"/>
      <c r="CC13" s="9015"/>
      <c r="CD13" s="9015"/>
      <c r="CE13" s="9015"/>
      <c r="CF13" s="9015"/>
      <c r="CG13" s="9015"/>
      <c r="CH13" s="9015"/>
      <c r="CI13" s="9015"/>
      <c r="CJ13" s="9015"/>
      <c r="CK13" s="9015"/>
      <c r="CL13" s="9015"/>
      <c r="CM13" s="9015"/>
      <c r="CN13" s="9015"/>
      <c r="CO13" s="9015"/>
      <c r="CP13" s="9015"/>
      <c r="CQ13" s="9015"/>
      <c r="CR13" s="9015"/>
      <c r="CS13" s="9015"/>
      <c r="CT13" s="9015"/>
      <c r="CU13" s="9015"/>
      <c r="CV13" s="9015"/>
      <c r="CW13" s="9015"/>
      <c r="CX13" s="9015"/>
      <c r="CY13" s="9015"/>
      <c r="CZ13" s="9015"/>
      <c r="DA13" s="9015"/>
      <c r="DB13" s="9015"/>
      <c r="DC13" s="9015"/>
      <c r="DD13" s="9015"/>
      <c r="DE13" s="9015"/>
      <c r="DF13" s="1490"/>
      <c r="DG13" s="1490"/>
      <c r="DI13" s="959"/>
      <c r="DJ13" s="959" t="str">
        <f>IF(T13="","",T13)</f>
        <v>Добавить источник для дифференциации</v>
      </c>
      <c r="DK13" s="959"/>
      <c r="DL13" s="959"/>
      <c r="DM13" s="688">
        <v>0</v>
      </c>
    </row>
    <row s="11993" customFormat="1" customHeight="1" ht="0.75" hidden="1">
      <c r="A14" s="1484"/>
      <c r="B14" s="1484"/>
      <c r="C14" s="1484"/>
      <c r="D14" s="1484"/>
      <c r="E14" s="2429"/>
      <c r="F14" s="2428"/>
      <c r="G14" s="1484"/>
      <c r="H14" s="1484"/>
      <c r="I14" s="1484"/>
      <c r="J14" s="1484"/>
      <c r="K14" s="1484"/>
      <c r="L14" s="1509"/>
      <c r="M14" s="1491"/>
      <c r="N14" s="1491"/>
      <c r="P14" s="1486"/>
      <c r="Q14" s="1487"/>
      <c r="R14" s="1486"/>
      <c r="S14" s="1492"/>
      <c r="T14" s="1493" t="s">
        <v>166</v>
      </c>
      <c r="U14" s="1494"/>
      <c r="V14" s="1494"/>
      <c r="W14" s="1494"/>
      <c r="X14" s="1494"/>
      <c r="Y14" s="1494"/>
      <c r="Z14" s="1494"/>
      <c r="AA14" s="1494"/>
      <c r="AB14" s="1494"/>
      <c r="AC14" s="1494"/>
      <c r="AD14" s="1494"/>
      <c r="AE14" s="1494"/>
      <c r="AF14" s="1494"/>
      <c r="AG14" s="1494"/>
      <c r="AH14" s="1494"/>
      <c r="AI14" s="1494"/>
      <c r="AJ14" s="1494"/>
      <c r="AK14" s="1494"/>
      <c r="AL14" s="9021"/>
      <c r="AM14" s="9021"/>
      <c r="AN14" s="9021"/>
      <c r="AO14" s="9021"/>
      <c r="AP14" s="9021"/>
      <c r="AQ14" s="9021"/>
      <c r="AR14" s="9021"/>
      <c r="AS14" s="9021"/>
      <c r="AT14" s="9021"/>
      <c r="AU14" s="9021"/>
      <c r="AV14" s="9021"/>
      <c r="AW14" s="9021"/>
      <c r="AX14" s="9021"/>
      <c r="AY14" s="9021"/>
      <c r="AZ14" s="9021"/>
      <c r="BA14" s="9021"/>
      <c r="BB14" s="9021"/>
      <c r="BC14" s="9021"/>
      <c r="BD14" s="9021"/>
      <c r="BE14" s="9021"/>
      <c r="BF14" s="9021"/>
      <c r="BG14" s="9021"/>
      <c r="BH14" s="9021"/>
      <c r="BI14" s="9021"/>
      <c r="BJ14" s="9021"/>
      <c r="BK14" s="9021"/>
      <c r="BL14" s="9021"/>
      <c r="BM14" s="9021"/>
      <c r="BN14" s="9021"/>
      <c r="BO14" s="9021"/>
      <c r="BP14" s="9021"/>
      <c r="BQ14" s="9021"/>
      <c r="BR14" s="9021"/>
      <c r="BS14" s="9021"/>
      <c r="BT14" s="9021"/>
      <c r="BU14" s="9021"/>
      <c r="BV14" s="9021"/>
      <c r="BW14" s="9021"/>
      <c r="BX14" s="9021"/>
      <c r="BY14" s="9021"/>
      <c r="BZ14" s="9021"/>
      <c r="CA14" s="9021"/>
      <c r="CB14" s="9021"/>
      <c r="CC14" s="9021"/>
      <c r="CD14" s="9021"/>
      <c r="CE14" s="9021"/>
      <c r="CF14" s="9021"/>
      <c r="CG14" s="9021"/>
      <c r="CH14" s="9021"/>
      <c r="CI14" s="9021"/>
      <c r="CJ14" s="9021"/>
      <c r="CK14" s="9021"/>
      <c r="CL14" s="9021"/>
      <c r="CM14" s="9021"/>
      <c r="CN14" s="9021"/>
      <c r="CO14" s="9021"/>
      <c r="CP14" s="9021"/>
      <c r="CQ14" s="9021"/>
      <c r="CR14" s="9021"/>
      <c r="CS14" s="9021"/>
      <c r="CT14" s="9021"/>
      <c r="CU14" s="9021"/>
      <c r="CV14" s="9021"/>
      <c r="CW14" s="9021"/>
      <c r="CX14" s="9021"/>
      <c r="CY14" s="9021"/>
      <c r="CZ14" s="9021"/>
      <c r="DA14" s="9021"/>
      <c r="DB14" s="9021"/>
      <c r="DC14" s="9021"/>
      <c r="DD14" s="9021"/>
      <c r="DE14" s="9021"/>
      <c r="DF14" s="1494"/>
      <c r="DG14" s="1494"/>
      <c r="DI14" s="959"/>
      <c r="DJ14" s="959" t="str">
        <f>IF(T14="","",T14)</f>
        <v>Добавить централизованную систему для дифференциации</v>
      </c>
      <c r="DK14" s="959"/>
      <c r="DL14" s="959"/>
      <c r="DM14" s="688">
        <v>0</v>
      </c>
    </row>
    <row s="11993" customFormat="1" customHeight="1" ht="0.75" hidden="1">
      <c r="A15" s="1484"/>
      <c r="B15" s="1484"/>
      <c r="C15" s="1484"/>
      <c r="D15" s="1484"/>
      <c r="E15" s="2428"/>
      <c r="F15" s="1484"/>
      <c r="G15" s="1484"/>
      <c r="H15" s="1484"/>
      <c r="I15" s="1484"/>
      <c r="J15" s="1484"/>
      <c r="K15" s="1484"/>
      <c r="L15" s="1509"/>
      <c r="M15" s="1491"/>
      <c r="N15" s="1491"/>
      <c r="P15" s="1486"/>
      <c r="Q15" s="1487"/>
      <c r="R15" s="1486"/>
      <c r="S15" s="1492"/>
      <c r="T15" s="1495" t="s">
        <v>167</v>
      </c>
      <c r="U15" s="1494"/>
      <c r="V15" s="1494"/>
      <c r="W15" s="1494"/>
      <c r="X15" s="1494"/>
      <c r="Y15" s="1494"/>
      <c r="Z15" s="1494"/>
      <c r="AA15" s="1494"/>
      <c r="AB15" s="1494"/>
      <c r="AC15" s="1494"/>
      <c r="AD15" s="1494"/>
      <c r="AE15" s="1494"/>
      <c r="AF15" s="1494"/>
      <c r="AG15" s="1494"/>
      <c r="AH15" s="1494"/>
      <c r="AI15" s="1494"/>
      <c r="AJ15" s="1494"/>
      <c r="AK15" s="1494"/>
      <c r="AL15" s="9021"/>
      <c r="AM15" s="9021"/>
      <c r="AN15" s="9021"/>
      <c r="AO15" s="9021"/>
      <c r="AP15" s="9021"/>
      <c r="AQ15" s="9021"/>
      <c r="AR15" s="9021"/>
      <c r="AS15" s="9021"/>
      <c r="AT15" s="9021"/>
      <c r="AU15" s="9021"/>
      <c r="AV15" s="9021"/>
      <c r="AW15" s="9021"/>
      <c r="AX15" s="9021"/>
      <c r="AY15" s="9021"/>
      <c r="AZ15" s="9021"/>
      <c r="BA15" s="9021"/>
      <c r="BB15" s="9021"/>
      <c r="BC15" s="9021"/>
      <c r="BD15" s="9021"/>
      <c r="BE15" s="9021"/>
      <c r="BF15" s="9021"/>
      <c r="BG15" s="9021"/>
      <c r="BH15" s="9021"/>
      <c r="BI15" s="9021"/>
      <c r="BJ15" s="9021"/>
      <c r="BK15" s="9021"/>
      <c r="BL15" s="9021"/>
      <c r="BM15" s="9021"/>
      <c r="BN15" s="9021"/>
      <c r="BO15" s="9021"/>
      <c r="BP15" s="9021"/>
      <c r="BQ15" s="9021"/>
      <c r="BR15" s="9021"/>
      <c r="BS15" s="9021"/>
      <c r="BT15" s="9021"/>
      <c r="BU15" s="9021"/>
      <c r="BV15" s="9021"/>
      <c r="BW15" s="9021"/>
      <c r="BX15" s="9021"/>
      <c r="BY15" s="9021"/>
      <c r="BZ15" s="9021"/>
      <c r="CA15" s="9021"/>
      <c r="CB15" s="9021"/>
      <c r="CC15" s="9021"/>
      <c r="CD15" s="9021"/>
      <c r="CE15" s="9021"/>
      <c r="CF15" s="9021"/>
      <c r="CG15" s="9021"/>
      <c r="CH15" s="9021"/>
      <c r="CI15" s="9021"/>
      <c r="CJ15" s="9021"/>
      <c r="CK15" s="9021"/>
      <c r="CL15" s="9021"/>
      <c r="CM15" s="9021"/>
      <c r="CN15" s="9021"/>
      <c r="CO15" s="9021"/>
      <c r="CP15" s="9021"/>
      <c r="CQ15" s="9021"/>
      <c r="CR15" s="9021"/>
      <c r="CS15" s="9021"/>
      <c r="CT15" s="9021"/>
      <c r="CU15" s="9021"/>
      <c r="CV15" s="9021"/>
      <c r="CW15" s="9021"/>
      <c r="CX15" s="9021"/>
      <c r="CY15" s="9021"/>
      <c r="CZ15" s="9021"/>
      <c r="DA15" s="9021"/>
      <c r="DB15" s="9021"/>
      <c r="DC15" s="9021"/>
      <c r="DD15" s="9021"/>
      <c r="DE15" s="9021"/>
      <c r="DF15" s="1494"/>
      <c r="DG15" s="1494"/>
      <c r="DI15" s="959"/>
      <c r="DJ15" s="959" t="str">
        <f>IF(T15="","",T15)</f>
        <v>Добавить территорию для дифференциации</v>
      </c>
      <c r="DK15" s="959"/>
      <c r="DL15" s="959"/>
      <c r="DM15" s="688">
        <v>0</v>
      </c>
    </row>
    <row customHeight="1" ht="14.25" hidden="1">
      <c r="AC16" s="497"/>
      <c r="AK16" s="497"/>
      <c r="AL16" s="8724"/>
      <c r="AM16" s="8724"/>
      <c r="AN16" s="8724"/>
      <c r="AO16" s="8724"/>
      <c r="AP16" s="8724"/>
      <c r="AQ16" s="8724"/>
      <c r="AR16" s="8724"/>
      <c r="AS16" s="8724"/>
      <c r="AT16" s="8724"/>
      <c r="AU16" s="8724"/>
      <c r="AV16" s="8724"/>
      <c r="AW16" s="8724"/>
      <c r="AX16" s="8724"/>
      <c r="AY16" s="8724"/>
      <c r="AZ16" s="8724"/>
      <c r="BA16" s="8724"/>
      <c r="BB16" s="8724"/>
      <c r="BC16" s="8724"/>
      <c r="BD16" s="8724"/>
      <c r="BE16" s="8724"/>
      <c r="BF16" s="8724"/>
      <c r="BG16" s="8724"/>
      <c r="BH16" s="8724"/>
      <c r="BI16" s="8724"/>
      <c r="BJ16" s="8724"/>
      <c r="BK16" s="8724"/>
      <c r="BL16" s="8724"/>
      <c r="BM16" s="8724"/>
      <c r="BN16" s="8724"/>
      <c r="BO16" s="8724"/>
      <c r="BP16" s="8724"/>
      <c r="BQ16" s="8724"/>
      <c r="BR16" s="8724"/>
      <c r="BS16" s="8724"/>
      <c r="BT16" s="8724"/>
      <c r="BU16" s="8724"/>
      <c r="BV16" s="8724"/>
      <c r="BW16" s="8724"/>
      <c r="BX16" s="8724"/>
      <c r="BY16" s="8724"/>
      <c r="BZ16" s="8724"/>
      <c r="CA16" s="8724"/>
      <c r="CB16" s="8724"/>
      <c r="CC16" s="8724"/>
      <c r="CD16" s="8724"/>
      <c r="CE16" s="8724"/>
      <c r="CF16" s="8724"/>
      <c r="CG16" s="8724"/>
      <c r="CH16" s="8724"/>
      <c r="CI16" s="8724"/>
      <c r="CJ16" s="8724"/>
      <c r="CK16" s="8724"/>
      <c r="CL16" s="8724"/>
      <c r="CM16" s="8724"/>
      <c r="CN16" s="8724"/>
      <c r="CO16" s="8724"/>
      <c r="CP16" s="8724"/>
      <c r="CQ16" s="8724"/>
      <c r="CR16" s="8724"/>
      <c r="CS16" s="8724"/>
      <c r="CT16" s="8724"/>
      <c r="CU16" s="8724"/>
      <c r="CV16" s="8724"/>
      <c r="CW16" s="8724"/>
      <c r="CX16" s="8724"/>
      <c r="CY16" s="8724"/>
      <c r="CZ16" s="8724"/>
      <c r="DA16" s="8724"/>
      <c r="DB16" s="8724"/>
      <c r="DC16" s="8724"/>
      <c r="DD16" s="8724"/>
      <c r="DE16" s="8724"/>
      <c r="DM16" s="1325">
        <v>0</v>
      </c>
    </row>
    <row customHeight="1" ht="14.25" hidden="1">
      <c r="AD17" s="1530"/>
      <c r="AE17" s="1530"/>
      <c r="AF17" s="1530"/>
      <c r="AG17" s="1531"/>
      <c r="AH17" s="2437"/>
      <c r="AI17" s="2438" t="s">
        <v>64</v>
      </c>
      <c r="AJ17" s="2437"/>
      <c r="AK17" s="2438" t="s">
        <v>64</v>
      </c>
      <c r="AL17" s="8724"/>
      <c r="AM17" s="8724"/>
      <c r="AN17" s="8724"/>
      <c r="AO17" s="8724"/>
      <c r="AP17" s="8724"/>
      <c r="AQ17" s="8724"/>
      <c r="AR17" s="8724"/>
      <c r="AS17" s="8724"/>
      <c r="AT17" s="8724"/>
      <c r="AU17" s="8724"/>
      <c r="AV17" s="8724"/>
      <c r="AW17" s="8724"/>
      <c r="AX17" s="8724"/>
      <c r="AY17" s="8724"/>
      <c r="AZ17" s="8724"/>
      <c r="BA17" s="8724"/>
      <c r="BB17" s="8724"/>
      <c r="BC17" s="8724"/>
      <c r="BD17" s="8724"/>
      <c r="BE17" s="8724"/>
      <c r="BF17" s="8724"/>
      <c r="BG17" s="8724"/>
      <c r="BH17" s="8724"/>
      <c r="BI17" s="8724"/>
      <c r="BJ17" s="8724"/>
      <c r="BK17" s="8724"/>
      <c r="BL17" s="8724"/>
      <c r="BM17" s="8724"/>
      <c r="BN17" s="8724"/>
      <c r="BO17" s="8724"/>
      <c r="BP17" s="8724"/>
      <c r="BQ17" s="8724"/>
      <c r="BR17" s="8724"/>
      <c r="BS17" s="8724"/>
      <c r="BT17" s="8724"/>
      <c r="BU17" s="8724"/>
      <c r="BV17" s="8724"/>
      <c r="BW17" s="8724"/>
      <c r="BX17" s="8724"/>
      <c r="BY17" s="8724"/>
      <c r="BZ17" s="8724"/>
      <c r="CA17" s="8724"/>
      <c r="CB17" s="8724"/>
      <c r="CC17" s="8724"/>
      <c r="CD17" s="8724"/>
      <c r="CE17" s="8724"/>
      <c r="CF17" s="8724"/>
      <c r="CG17" s="8724"/>
      <c r="CH17" s="8724"/>
      <c r="CI17" s="8724"/>
      <c r="CJ17" s="8724"/>
      <c r="CK17" s="8724"/>
      <c r="CL17" s="8724"/>
      <c r="CM17" s="8724"/>
      <c r="CN17" s="8724"/>
      <c r="CO17" s="8724"/>
      <c r="CP17" s="8724"/>
      <c r="CQ17" s="8724"/>
      <c r="CR17" s="8724"/>
      <c r="CS17" s="8724"/>
      <c r="CT17" s="8724"/>
      <c r="CU17" s="8724"/>
      <c r="CV17" s="8724"/>
      <c r="CW17" s="8724"/>
      <c r="CX17" s="8724"/>
      <c r="CY17" s="8724"/>
      <c r="CZ17" s="8724"/>
      <c r="DA17" s="8724"/>
      <c r="DB17" s="8724"/>
      <c r="DC17" s="8724"/>
      <c r="DD17" s="8724"/>
      <c r="DE17" s="8724"/>
      <c r="DM17" s="1325">
        <v>0</v>
      </c>
    </row>
    <row customHeight="1" ht="14.25" hidden="1">
      <c r="AD18" s="1530"/>
      <c r="AE18" s="1530"/>
      <c r="AF18" s="1530"/>
      <c r="AG18" s="498" t="str">
        <f>AH17&amp;"-"&amp;AJ17</f>
        <v>-</v>
      </c>
      <c r="AH18" s="2438"/>
      <c r="AI18" s="2438"/>
      <c r="AJ18" s="2438"/>
      <c r="AK18" s="2438"/>
      <c r="AL18" s="8724"/>
      <c r="AM18" s="8724"/>
      <c r="AN18" s="8724"/>
      <c r="AO18" s="8724"/>
      <c r="AP18" s="8724"/>
      <c r="AQ18" s="8724"/>
      <c r="AR18" s="8724"/>
      <c r="AS18" s="8724"/>
      <c r="AT18" s="8724"/>
      <c r="AU18" s="8724"/>
      <c r="AV18" s="8724"/>
      <c r="AW18" s="8724"/>
      <c r="AX18" s="8724"/>
      <c r="AY18" s="8724"/>
      <c r="AZ18" s="8724"/>
      <c r="BA18" s="8724"/>
      <c r="BB18" s="8724"/>
      <c r="BC18" s="8724"/>
      <c r="BD18" s="8724"/>
      <c r="BE18" s="8724"/>
      <c r="BF18" s="8724"/>
      <c r="BG18" s="8724"/>
      <c r="BH18" s="8724"/>
      <c r="BI18" s="8724"/>
      <c r="BJ18" s="8724"/>
      <c r="BK18" s="8724"/>
      <c r="BL18" s="8724"/>
      <c r="BM18" s="8724"/>
      <c r="BN18" s="8724"/>
      <c r="BO18" s="8724"/>
      <c r="BP18" s="8724"/>
      <c r="BQ18" s="8724"/>
      <c r="BR18" s="8724"/>
      <c r="BS18" s="8724"/>
      <c r="BT18" s="8724"/>
      <c r="BU18" s="8724"/>
      <c r="BV18" s="8724"/>
      <c r="BW18" s="8724"/>
      <c r="BX18" s="8724"/>
      <c r="BY18" s="8724"/>
      <c r="BZ18" s="8724"/>
      <c r="CA18" s="8724"/>
      <c r="CB18" s="8724"/>
      <c r="CC18" s="8724"/>
      <c r="CD18" s="8724"/>
      <c r="CE18" s="8724"/>
      <c r="CF18" s="8724"/>
      <c r="CG18" s="8724"/>
      <c r="CH18" s="8724"/>
      <c r="CI18" s="8724"/>
      <c r="CJ18" s="8724"/>
      <c r="CK18" s="8724"/>
      <c r="CL18" s="8724"/>
      <c r="CM18" s="8724"/>
      <c r="CN18" s="8724"/>
      <c r="CO18" s="8724"/>
      <c r="CP18" s="8724"/>
      <c r="CQ18" s="8724"/>
      <c r="CR18" s="8724"/>
      <c r="CS18" s="8724"/>
      <c r="CT18" s="8724"/>
      <c r="CU18" s="8724"/>
      <c r="CV18" s="8724"/>
      <c r="CW18" s="8724"/>
      <c r="CX18" s="8724"/>
      <c r="CY18" s="8724"/>
      <c r="CZ18" s="8724"/>
      <c r="DA18" s="8724"/>
      <c r="DB18" s="8724"/>
      <c r="DC18" s="8724"/>
      <c r="DD18" s="8724"/>
      <c r="DE18" s="8724"/>
      <c r="DM18" s="1325">
        <v>0</v>
      </c>
    </row>
    <row customHeight="1" ht="14.25" hidden="1">
      <c r="AK19" s="497"/>
      <c r="AL19" s="8724"/>
      <c r="AM19" s="8724"/>
      <c r="AN19" s="8724"/>
      <c r="AO19" s="8724"/>
      <c r="AP19" s="8724"/>
      <c r="AQ19" s="8724"/>
      <c r="AR19" s="8724"/>
      <c r="AS19" s="8724"/>
      <c r="AT19" s="8724"/>
      <c r="AU19" s="8724"/>
      <c r="AV19" s="8724"/>
      <c r="AW19" s="8724"/>
      <c r="AX19" s="8724"/>
      <c r="AY19" s="8724"/>
      <c r="AZ19" s="8724"/>
      <c r="BA19" s="8724"/>
      <c r="BB19" s="8724"/>
      <c r="BC19" s="8724"/>
      <c r="BD19" s="8724"/>
      <c r="BE19" s="8724"/>
      <c r="BF19" s="8724"/>
      <c r="BG19" s="8724"/>
      <c r="BH19" s="8724"/>
      <c r="BI19" s="8724"/>
      <c r="BJ19" s="8724"/>
      <c r="BK19" s="8724"/>
      <c r="BL19" s="8724"/>
      <c r="BM19" s="8724"/>
      <c r="BN19" s="8724"/>
      <c r="BO19" s="8724"/>
      <c r="BP19" s="8724"/>
      <c r="BQ19" s="8724"/>
      <c r="BR19" s="8724"/>
      <c r="BS19" s="8724"/>
      <c r="BT19" s="8724"/>
      <c r="BU19" s="8724"/>
      <c r="BV19" s="8724"/>
      <c r="BW19" s="8724"/>
      <c r="BX19" s="8724"/>
      <c r="BY19" s="8724"/>
      <c r="BZ19" s="8724"/>
      <c r="CA19" s="8724"/>
      <c r="CB19" s="8724"/>
      <c r="CC19" s="8724"/>
      <c r="CD19" s="8724"/>
      <c r="CE19" s="8724"/>
      <c r="CF19" s="8724"/>
      <c r="CG19" s="8724"/>
      <c r="CH19" s="8724"/>
      <c r="CI19" s="8724"/>
      <c r="CJ19" s="8724"/>
      <c r="CK19" s="8724"/>
      <c r="CL19" s="8724"/>
      <c r="CM19" s="8724"/>
      <c r="CN19" s="8724"/>
      <c r="CO19" s="8724"/>
      <c r="CP19" s="8724"/>
      <c r="CQ19" s="8724"/>
      <c r="CR19" s="8724"/>
      <c r="CS19" s="8724"/>
      <c r="CT19" s="8724"/>
      <c r="CU19" s="8724"/>
      <c r="CV19" s="8724"/>
      <c r="CW19" s="8724"/>
      <c r="CX19" s="8724"/>
      <c r="CY19" s="8724"/>
      <c r="CZ19" s="8724"/>
      <c r="DA19" s="8724"/>
      <c r="DB19" s="8724"/>
      <c r="DC19" s="8724"/>
      <c r="DD19" s="8724"/>
      <c r="DE19" s="8724"/>
      <c r="DM19" s="1325">
        <v>0</v>
      </c>
    </row>
    <row s="11992" customFormat="1" customHeight="1" ht="22.5" hidden="1">
      <c r="L20" s="1499"/>
      <c r="M20" s="1532"/>
      <c r="N20" s="1532"/>
      <c r="O20" s="1537" t="s">
        <v>426</v>
      </c>
      <c r="P20" s="1532"/>
      <c r="Q20" s="1541"/>
      <c r="R20" s="1541"/>
      <c r="S20" s="899"/>
      <c r="Z20" s="1537"/>
      <c r="AB20" s="1537"/>
      <c r="AC20" s="1536"/>
      <c r="AH20" s="1537"/>
      <c r="AJ20" s="1537"/>
      <c r="AK20" s="1536"/>
      <c r="AL20" s="9033"/>
      <c r="AM20" s="9033"/>
      <c r="AN20" s="9033"/>
      <c r="AO20" s="9033"/>
      <c r="AP20" s="9034"/>
      <c r="AQ20" s="9033"/>
      <c r="AR20" s="9034"/>
      <c r="AS20" s="9033"/>
      <c r="AT20" s="9033"/>
      <c r="AU20" s="9033"/>
      <c r="AV20" s="9033"/>
      <c r="AW20" s="9033"/>
      <c r="AX20" s="9034"/>
      <c r="AY20" s="9033"/>
      <c r="AZ20" s="9034"/>
      <c r="BA20" s="9033"/>
      <c r="BB20" s="9033"/>
      <c r="BC20" s="9033"/>
      <c r="BD20" s="9033"/>
      <c r="BE20" s="9033"/>
      <c r="BF20" s="9034"/>
      <c r="BG20" s="9033"/>
      <c r="BH20" s="9034"/>
      <c r="BI20" s="9033"/>
      <c r="BJ20" s="9033"/>
      <c r="BK20" s="9033"/>
      <c r="BL20" s="9033"/>
      <c r="BM20" s="9033"/>
      <c r="BN20" s="9034"/>
      <c r="BO20" s="9033"/>
      <c r="BP20" s="9034"/>
      <c r="BQ20" s="9033"/>
      <c r="BR20" s="9033"/>
      <c r="BS20" s="9033"/>
      <c r="BT20" s="9033"/>
      <c r="BU20" s="9033"/>
      <c r="BV20" s="9034"/>
      <c r="BW20" s="9033"/>
      <c r="BX20" s="9034"/>
      <c r="BY20" s="9033"/>
      <c r="BZ20" s="9033"/>
      <c r="CA20" s="9033"/>
      <c r="CB20" s="9033"/>
      <c r="CC20" s="9033"/>
      <c r="CD20" s="9034"/>
      <c r="CE20" s="9033"/>
      <c r="CF20" s="9034"/>
      <c r="CG20" s="9033"/>
      <c r="CH20" s="9033"/>
      <c r="CI20" s="9033"/>
      <c r="CJ20" s="9033"/>
      <c r="CK20" s="9033"/>
      <c r="CL20" s="9034"/>
      <c r="CM20" s="9033"/>
      <c r="CN20" s="9034"/>
      <c r="CO20" s="9033"/>
      <c r="CP20" s="9033"/>
      <c r="CQ20" s="9033"/>
      <c r="CR20" s="9033"/>
      <c r="CS20" s="9033"/>
      <c r="CT20" s="9034"/>
      <c r="CU20" s="9033"/>
      <c r="CV20" s="9034"/>
      <c r="CW20" s="9033"/>
      <c r="CX20" s="9033"/>
      <c r="CY20" s="9033"/>
      <c r="CZ20" s="9033"/>
      <c r="DA20" s="9033"/>
      <c r="DB20" s="9034"/>
      <c r="DC20" s="9033"/>
      <c r="DD20" s="9034"/>
      <c r="DE20" s="9033"/>
      <c r="DH20" s="681"/>
      <c r="DI20" s="681"/>
      <c r="DJ20" s="681"/>
      <c r="DK20" s="681"/>
      <c r="DL20" s="681"/>
      <c r="DM20" s="1330">
        <v>0</v>
      </c>
    </row>
    <row s="11992" customFormat="1" customHeight="1" ht="14.25" hidden="1">
      <c r="L21" s="1499"/>
      <c r="M21" s="1532"/>
      <c r="N21" s="1532"/>
      <c r="O21" s="1532"/>
      <c r="P21" s="1532"/>
      <c r="Q21" s="1541"/>
      <c r="R21" s="1541"/>
      <c r="S21" s="899"/>
      <c r="AC21" s="1536"/>
      <c r="AK21" s="1536"/>
      <c r="AL21" s="9033"/>
      <c r="AM21" s="9033"/>
      <c r="AN21" s="9033"/>
      <c r="AO21" s="9033"/>
      <c r="AP21" s="9033"/>
      <c r="AQ21" s="9033"/>
      <c r="AR21" s="9033"/>
      <c r="AS21" s="9033"/>
      <c r="AT21" s="9033"/>
      <c r="AU21" s="9033"/>
      <c r="AV21" s="9033"/>
      <c r="AW21" s="9033"/>
      <c r="AX21" s="9033"/>
      <c r="AY21" s="9033"/>
      <c r="AZ21" s="9033"/>
      <c r="BA21" s="9033"/>
      <c r="BB21" s="9033"/>
      <c r="BC21" s="9033"/>
      <c r="BD21" s="9033"/>
      <c r="BE21" s="9033"/>
      <c r="BF21" s="9033"/>
      <c r="BG21" s="9033"/>
      <c r="BH21" s="9033"/>
      <c r="BI21" s="9033"/>
      <c r="BJ21" s="9033"/>
      <c r="BK21" s="9033"/>
      <c r="BL21" s="9033"/>
      <c r="BM21" s="9033"/>
      <c r="BN21" s="9033"/>
      <c r="BO21" s="9033"/>
      <c r="BP21" s="9033"/>
      <c r="BQ21" s="9033"/>
      <c r="BR21" s="9033"/>
      <c r="BS21" s="9033"/>
      <c r="BT21" s="9033"/>
      <c r="BU21" s="9033"/>
      <c r="BV21" s="9033"/>
      <c r="BW21" s="9033"/>
      <c r="BX21" s="9033"/>
      <c r="BY21" s="9033"/>
      <c r="BZ21" s="9033"/>
      <c r="CA21" s="9033"/>
      <c r="CB21" s="9033"/>
      <c r="CC21" s="9033"/>
      <c r="CD21" s="9033"/>
      <c r="CE21" s="9033"/>
      <c r="CF21" s="9033"/>
      <c r="CG21" s="9033"/>
      <c r="CH21" s="9033"/>
      <c r="CI21" s="9033"/>
      <c r="CJ21" s="9033"/>
      <c r="CK21" s="9033"/>
      <c r="CL21" s="9033"/>
      <c r="CM21" s="9033"/>
      <c r="CN21" s="9033"/>
      <c r="CO21" s="9033"/>
      <c r="CP21" s="9033"/>
      <c r="CQ21" s="9033"/>
      <c r="CR21" s="9033"/>
      <c r="CS21" s="9033"/>
      <c r="CT21" s="9033"/>
      <c r="CU21" s="9033"/>
      <c r="CV21" s="9033"/>
      <c r="CW21" s="9033"/>
      <c r="CX21" s="9033"/>
      <c r="CY21" s="9033"/>
      <c r="CZ21" s="9033"/>
      <c r="DA21" s="9033"/>
      <c r="DB21" s="9033"/>
      <c r="DC21" s="9033"/>
      <c r="DD21" s="9033"/>
      <c r="DE21" s="9033"/>
      <c r="DH21" s="681"/>
      <c r="DI21" s="681"/>
      <c r="DJ21" s="681"/>
      <c r="DK21" s="681"/>
      <c r="DL21" s="681"/>
      <c r="DM21" s="1330">
        <v>0</v>
      </c>
    </row>
    <row s="11992" customFormat="1" customHeight="1" ht="14.25" hidden="1">
      <c r="L22" s="1499"/>
      <c r="M22" s="1532"/>
      <c r="N22" s="1532"/>
      <c r="O22" s="1534" t="s">
        <v>427</v>
      </c>
      <c r="P22" s="1532"/>
      <c r="Q22" s="1541"/>
      <c r="R22" s="1541"/>
      <c r="S22" s="899"/>
      <c r="T22" s="1330" t="s">
        <v>428</v>
      </c>
      <c r="AA22" s="356" t="s">
        <v>429</v>
      </c>
      <c r="AC22" s="356" t="s">
        <v>430</v>
      </c>
      <c r="AD22" s="1330" t="s">
        <v>428</v>
      </c>
      <c r="AI22" s="356" t="s">
        <v>431</v>
      </c>
      <c r="AK22" s="356" t="s">
        <v>430</v>
      </c>
      <c r="AL22" s="9033"/>
      <c r="AM22" s="9033"/>
      <c r="AN22" s="9033"/>
      <c r="AO22" s="9033"/>
      <c r="AP22" s="9033"/>
      <c r="AQ22" s="9036" t="s">
        <v>429</v>
      </c>
      <c r="AR22" s="9033"/>
      <c r="AS22" s="9036" t="s">
        <v>430</v>
      </c>
      <c r="AT22" s="9033"/>
      <c r="AU22" s="9033"/>
      <c r="AV22" s="9033"/>
      <c r="AW22" s="9033"/>
      <c r="AX22" s="9033"/>
      <c r="AY22" s="9036" t="s">
        <v>429</v>
      </c>
      <c r="AZ22" s="9033"/>
      <c r="BA22" s="9036" t="s">
        <v>430</v>
      </c>
      <c r="BB22" s="9033"/>
      <c r="BC22" s="9033"/>
      <c r="BD22" s="9033"/>
      <c r="BE22" s="9033"/>
      <c r="BF22" s="9033"/>
      <c r="BG22" s="9036" t="s">
        <v>429</v>
      </c>
      <c r="BH22" s="9033"/>
      <c r="BI22" s="9036" t="s">
        <v>430</v>
      </c>
      <c r="BJ22" s="9033"/>
      <c r="BK22" s="9033"/>
      <c r="BL22" s="9033"/>
      <c r="BM22" s="9033"/>
      <c r="BN22" s="9033"/>
      <c r="BO22" s="9036" t="s">
        <v>429</v>
      </c>
      <c r="BP22" s="9033"/>
      <c r="BQ22" s="9036" t="s">
        <v>430</v>
      </c>
      <c r="BR22" s="9033"/>
      <c r="BS22" s="9033"/>
      <c r="BT22" s="9033"/>
      <c r="BU22" s="9033"/>
      <c r="BV22" s="9033"/>
      <c r="BW22" s="9036" t="s">
        <v>429</v>
      </c>
      <c r="BX22" s="9033"/>
      <c r="BY22" s="9036" t="s">
        <v>430</v>
      </c>
      <c r="BZ22" s="9033"/>
      <c r="CA22" s="9033"/>
      <c r="CB22" s="9033"/>
      <c r="CC22" s="9033"/>
      <c r="CD22" s="9033"/>
      <c r="CE22" s="9036" t="s">
        <v>429</v>
      </c>
      <c r="CF22" s="9033"/>
      <c r="CG22" s="9036" t="s">
        <v>430</v>
      </c>
      <c r="CH22" s="9033"/>
      <c r="CI22" s="9033"/>
      <c r="CJ22" s="9033"/>
      <c r="CK22" s="9033"/>
      <c r="CL22" s="9033"/>
      <c r="CM22" s="9036" t="s">
        <v>429</v>
      </c>
      <c r="CN22" s="9033"/>
      <c r="CO22" s="9036" t="s">
        <v>430</v>
      </c>
      <c r="CP22" s="9033"/>
      <c r="CQ22" s="9033"/>
      <c r="CR22" s="9033"/>
      <c r="CS22" s="9033"/>
      <c r="CT22" s="9033"/>
      <c r="CU22" s="9036" t="s">
        <v>429</v>
      </c>
      <c r="CV22" s="9033"/>
      <c r="CW22" s="9036" t="s">
        <v>430</v>
      </c>
      <c r="CX22" s="9033"/>
      <c r="CY22" s="9033"/>
      <c r="CZ22" s="9033"/>
      <c r="DA22" s="9033"/>
      <c r="DB22" s="9033"/>
      <c r="DC22" s="9036" t="s">
        <v>429</v>
      </c>
      <c r="DD22" s="9033"/>
      <c r="DE22" s="9036" t="s">
        <v>430</v>
      </c>
      <c r="DH22" s="681"/>
      <c r="DI22" s="681"/>
      <c r="DJ22" s="681"/>
      <c r="DK22" s="681"/>
      <c r="DL22" s="681"/>
      <c r="DM22" s="1330">
        <v>0</v>
      </c>
    </row>
    <row customHeight="1" ht="14.25" hidden="1">
      <c r="O23" s="1534"/>
      <c r="AL23" s="8724"/>
      <c r="AM23" s="8724"/>
      <c r="AN23" s="8724"/>
      <c r="AO23" s="8724"/>
      <c r="AP23" s="8724"/>
      <c r="AQ23" s="8724"/>
      <c r="AR23" s="8724"/>
      <c r="AS23" s="8724"/>
      <c r="AT23" s="8724"/>
      <c r="AU23" s="8724"/>
      <c r="AV23" s="8724"/>
      <c r="AW23" s="8724"/>
      <c r="AX23" s="8724"/>
      <c r="AY23" s="8724"/>
      <c r="AZ23" s="8724"/>
      <c r="BA23" s="8724"/>
      <c r="BB23" s="8724"/>
      <c r="BC23" s="8724"/>
      <c r="BD23" s="8724"/>
      <c r="BE23" s="8724"/>
      <c r="BF23" s="8724"/>
      <c r="BG23" s="8724"/>
      <c r="BH23" s="8724"/>
      <c r="BI23" s="8724"/>
      <c r="BJ23" s="8724"/>
      <c r="BK23" s="8724"/>
      <c r="BL23" s="8724"/>
      <c r="BM23" s="8724"/>
      <c r="BN23" s="8724"/>
      <c r="BO23" s="8724"/>
      <c r="BP23" s="8724"/>
      <c r="BQ23" s="8724"/>
      <c r="BR23" s="8724"/>
      <c r="BS23" s="8724"/>
      <c r="BT23" s="8724"/>
      <c r="BU23" s="8724"/>
      <c r="BV23" s="8724"/>
      <c r="BW23" s="8724"/>
      <c r="BX23" s="8724"/>
      <c r="BY23" s="8724"/>
      <c r="BZ23" s="8724"/>
      <c r="CA23" s="8724"/>
      <c r="CB23" s="8724"/>
      <c r="CC23" s="8724"/>
      <c r="CD23" s="8724"/>
      <c r="CE23" s="8724"/>
      <c r="CF23" s="8724"/>
      <c r="CG23" s="8724"/>
      <c r="CH23" s="8724"/>
      <c r="CI23" s="8724"/>
      <c r="CJ23" s="8724"/>
      <c r="CK23" s="8724"/>
      <c r="CL23" s="8724"/>
      <c r="CM23" s="8724"/>
      <c r="CN23" s="8724"/>
      <c r="CO23" s="8724"/>
      <c r="CP23" s="8724"/>
      <c r="CQ23" s="8724"/>
      <c r="CR23" s="8724"/>
      <c r="CS23" s="8724"/>
      <c r="CT23" s="8724"/>
      <c r="CU23" s="8724"/>
      <c r="CV23" s="8724"/>
      <c r="CW23" s="8724"/>
      <c r="CX23" s="8724"/>
      <c r="CY23" s="8724"/>
      <c r="CZ23" s="8724"/>
      <c r="DA23" s="8724"/>
      <c r="DB23" s="8724"/>
      <c r="DC23" s="8724"/>
      <c r="DD23" s="8724"/>
      <c r="DE23" s="8724"/>
      <c r="DM23" s="1325">
        <v>0</v>
      </c>
    </row>
    <row customHeight="1" ht="14.25" hidden="1">
      <c r="O24" s="1534"/>
      <c r="AL24" s="8724"/>
      <c r="AM24" s="8724"/>
      <c r="AN24" s="8724"/>
      <c r="AO24" s="8724"/>
      <c r="AP24" s="8724"/>
      <c r="AQ24" s="8724"/>
      <c r="AR24" s="8724"/>
      <c r="AS24" s="8724"/>
      <c r="AT24" s="8724"/>
      <c r="AU24" s="8724"/>
      <c r="AV24" s="8724"/>
      <c r="AW24" s="8724"/>
      <c r="AX24" s="8724"/>
      <c r="AY24" s="8724"/>
      <c r="AZ24" s="8724"/>
      <c r="BA24" s="8724"/>
      <c r="BB24" s="8724"/>
      <c r="BC24" s="8724"/>
      <c r="BD24" s="8724"/>
      <c r="BE24" s="8724"/>
      <c r="BF24" s="8724"/>
      <c r="BG24" s="8724"/>
      <c r="BH24" s="8724"/>
      <c r="BI24" s="8724"/>
      <c r="BJ24" s="8724"/>
      <c r="BK24" s="8724"/>
      <c r="BL24" s="8724"/>
      <c r="BM24" s="8724"/>
      <c r="BN24" s="8724"/>
      <c r="BO24" s="8724"/>
      <c r="BP24" s="8724"/>
      <c r="BQ24" s="8724"/>
      <c r="BR24" s="8724"/>
      <c r="BS24" s="8724"/>
      <c r="BT24" s="8724"/>
      <c r="BU24" s="8724"/>
      <c r="BV24" s="8724"/>
      <c r="BW24" s="8724"/>
      <c r="BX24" s="8724"/>
      <c r="BY24" s="8724"/>
      <c r="BZ24" s="8724"/>
      <c r="CA24" s="8724"/>
      <c r="CB24" s="8724"/>
      <c r="CC24" s="8724"/>
      <c r="CD24" s="8724"/>
      <c r="CE24" s="8724"/>
      <c r="CF24" s="8724"/>
      <c r="CG24" s="8724"/>
      <c r="CH24" s="8724"/>
      <c r="CI24" s="8724"/>
      <c r="CJ24" s="8724"/>
      <c r="CK24" s="8724"/>
      <c r="CL24" s="8724"/>
      <c r="CM24" s="8724"/>
      <c r="CN24" s="8724"/>
      <c r="CO24" s="8724"/>
      <c r="CP24" s="8724"/>
      <c r="CQ24" s="8724"/>
      <c r="CR24" s="8724"/>
      <c r="CS24" s="8724"/>
      <c r="CT24" s="8724"/>
      <c r="CU24" s="8724"/>
      <c r="CV24" s="8724"/>
      <c r="CW24" s="8724"/>
      <c r="CX24" s="8724"/>
      <c r="CY24" s="8724"/>
      <c r="CZ24" s="8724"/>
      <c r="DA24" s="8724"/>
      <c r="DB24" s="8724"/>
      <c r="DC24" s="8724"/>
      <c r="DD24" s="8724"/>
      <c r="DE24" s="8724"/>
      <c r="DM24" s="1325">
        <v>0</v>
      </c>
    </row>
    <row customHeight="1" ht="14.699999999999998">
      <c r="Q25" s="546"/>
      <c r="R25" s="546"/>
      <c r="S25" s="1445"/>
      <c r="T25" s="533"/>
      <c r="U25" s="533"/>
      <c r="V25" s="679"/>
      <c r="W25" s="679"/>
      <c r="X25" s="679"/>
      <c r="Y25" s="679"/>
      <c r="Z25" s="679"/>
      <c r="AA25" s="679"/>
      <c r="AB25" s="679"/>
      <c r="AC25" s="679"/>
      <c r="AD25" s="679"/>
      <c r="AE25" s="679"/>
      <c r="AF25" s="679"/>
      <c r="AG25" s="679"/>
      <c r="AH25" s="679"/>
      <c r="AI25" s="679"/>
      <c r="AJ25" s="679"/>
      <c r="AK25" s="679"/>
      <c r="AL25" s="8724"/>
      <c r="AM25" s="8724"/>
      <c r="AN25" s="8724"/>
      <c r="AO25" s="8724"/>
      <c r="AP25" s="8724"/>
      <c r="AQ25" s="8724"/>
      <c r="AR25" s="8724"/>
      <c r="AS25" s="8724"/>
      <c r="AT25" s="8724"/>
      <c r="AU25" s="8724"/>
      <c r="AV25" s="8724"/>
      <c r="AW25" s="8724"/>
      <c r="AX25" s="8724"/>
      <c r="AY25" s="8724"/>
      <c r="AZ25" s="8724"/>
      <c r="BA25" s="8724"/>
      <c r="BB25" s="8724"/>
      <c r="BC25" s="8724"/>
      <c r="BD25" s="8724"/>
      <c r="BE25" s="8724"/>
      <c r="BF25" s="8724"/>
      <c r="BG25" s="8724"/>
      <c r="BH25" s="8724"/>
      <c r="BI25" s="8724"/>
      <c r="BJ25" s="8724"/>
      <c r="BK25" s="8724"/>
      <c r="BL25" s="8724"/>
      <c r="BM25" s="8724"/>
      <c r="BN25" s="8724"/>
      <c r="BO25" s="8724"/>
      <c r="BP25" s="8724"/>
      <c r="BQ25" s="8724"/>
      <c r="BR25" s="8724"/>
      <c r="BS25" s="8724"/>
      <c r="BT25" s="8724"/>
      <c r="BU25" s="8724"/>
      <c r="BV25" s="8724"/>
      <c r="BW25" s="8724"/>
      <c r="BX25" s="8724"/>
      <c r="BY25" s="8724"/>
      <c r="BZ25" s="8724"/>
      <c r="CA25" s="8724"/>
      <c r="CB25" s="8724"/>
      <c r="CC25" s="8724"/>
      <c r="CD25" s="8724"/>
      <c r="CE25" s="8724"/>
      <c r="CF25" s="8724"/>
      <c r="CG25" s="8724"/>
      <c r="CH25" s="8724"/>
      <c r="CI25" s="8724"/>
      <c r="CJ25" s="8724"/>
      <c r="CK25" s="8724"/>
      <c r="CL25" s="8724"/>
      <c r="CM25" s="8724"/>
      <c r="CN25" s="8724"/>
      <c r="CO25" s="8724"/>
      <c r="CP25" s="8724"/>
      <c r="CQ25" s="8724"/>
      <c r="CR25" s="8724"/>
      <c r="CS25" s="8724"/>
      <c r="CT25" s="8724"/>
      <c r="CU25" s="8724"/>
      <c r="CV25" s="8724"/>
      <c r="CW25" s="8724"/>
      <c r="CX25" s="8724"/>
      <c r="CY25" s="8724"/>
      <c r="CZ25" s="8724"/>
      <c r="DA25" s="8724"/>
      <c r="DB25" s="8724"/>
      <c r="DC25" s="8724"/>
      <c r="DD25" s="8724"/>
      <c r="DE25" s="8724"/>
      <c r="DM25" s="1325">
        <v>14</v>
      </c>
    </row>
    <row customHeight="1" ht="14.699999999999998">
      <c r="Q26" s="546"/>
      <c r="R26" s="546"/>
      <c r="S26" s="241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418"/>
      <c r="U26" s="2418"/>
      <c r="V26" s="2418"/>
      <c r="W26" s="2418"/>
      <c r="X26" s="2418"/>
      <c r="Y26" s="2418"/>
      <c r="Z26" s="2418"/>
      <c r="AA26" s="2418"/>
      <c r="AB26" s="2418"/>
      <c r="AC26" s="2418"/>
      <c r="AD26" s="2418"/>
      <c r="AE26" s="2418"/>
      <c r="AF26" s="2418"/>
      <c r="AG26" s="2418"/>
      <c r="AH26" s="2418"/>
      <c r="AI26" s="2418"/>
      <c r="AJ26" s="2418"/>
      <c r="AK26" s="1413"/>
      <c r="AL26" s="9042"/>
      <c r="AM26" s="9042"/>
      <c r="AN26" s="9042"/>
      <c r="AO26" s="9042"/>
      <c r="AP26" s="9042"/>
      <c r="AQ26" s="9042"/>
      <c r="AR26" s="9042"/>
      <c r="AS26" s="9042"/>
      <c r="AT26" s="9042"/>
      <c r="AU26" s="9042"/>
      <c r="AV26" s="9042"/>
      <c r="AW26" s="9042"/>
      <c r="AX26" s="9042"/>
      <c r="AY26" s="9042"/>
      <c r="AZ26" s="9042"/>
      <c r="BA26" s="9042"/>
      <c r="BB26" s="9042"/>
      <c r="BC26" s="9042"/>
      <c r="BD26" s="9042"/>
      <c r="BE26" s="9042"/>
      <c r="BF26" s="9042"/>
      <c r="BG26" s="9042"/>
      <c r="BH26" s="9042"/>
      <c r="BI26" s="9042"/>
      <c r="BJ26" s="9042"/>
      <c r="BK26" s="9042"/>
      <c r="BL26" s="9042"/>
      <c r="BM26" s="9042"/>
      <c r="BN26" s="9042"/>
      <c r="BO26" s="9042"/>
      <c r="BP26" s="9042"/>
      <c r="BQ26" s="9042"/>
      <c r="BR26" s="9042"/>
      <c r="BS26" s="9042"/>
      <c r="BT26" s="9042"/>
      <c r="BU26" s="9042"/>
      <c r="BV26" s="9042"/>
      <c r="BW26" s="9042"/>
      <c r="BX26" s="9042"/>
      <c r="BY26" s="9042"/>
      <c r="BZ26" s="9042"/>
      <c r="CA26" s="9042"/>
      <c r="CB26" s="9042"/>
      <c r="CC26" s="9042"/>
      <c r="CD26" s="9042"/>
      <c r="CE26" s="9042"/>
      <c r="CF26" s="9042"/>
      <c r="CG26" s="9042"/>
      <c r="CH26" s="9042"/>
      <c r="CI26" s="9042"/>
      <c r="CJ26" s="9042"/>
      <c r="CK26" s="9042"/>
      <c r="CL26" s="9042"/>
      <c r="CM26" s="9042"/>
      <c r="CN26" s="9042"/>
      <c r="CO26" s="9042"/>
      <c r="CP26" s="9042"/>
      <c r="CQ26" s="9042"/>
      <c r="CR26" s="9042"/>
      <c r="CS26" s="9042"/>
      <c r="CT26" s="9042"/>
      <c r="CU26" s="9042"/>
      <c r="CV26" s="9042"/>
      <c r="CW26" s="9042"/>
      <c r="CX26" s="9042"/>
      <c r="CY26" s="9042"/>
      <c r="CZ26" s="9042"/>
      <c r="DA26" s="9042"/>
      <c r="DB26" s="9042"/>
      <c r="DC26" s="9042"/>
      <c r="DD26" s="9042"/>
      <c r="DE26" s="9042"/>
      <c r="DM26" s="1325">
        <v>14</v>
      </c>
    </row>
    <row customHeight="1" ht="14.699999999999998">
      <c r="Q27" s="546"/>
      <c r="R27" s="546"/>
      <c r="S27" s="2419" t="str">
        <f>IF(org=0,"Не определено",org)</f>
        <v>Филиал "Шатурская ГРЭС" ПАО "Юнипро"</v>
      </c>
      <c r="T27" s="2419"/>
      <c r="U27" s="2419"/>
      <c r="V27" s="2419"/>
      <c r="W27" s="2419"/>
      <c r="X27" s="2419"/>
      <c r="Y27" s="2419"/>
      <c r="Z27" s="2419"/>
      <c r="AA27" s="2419"/>
      <c r="AB27" s="2419"/>
      <c r="AC27" s="2419"/>
      <c r="AD27" s="2419"/>
      <c r="AE27" s="2419"/>
      <c r="AF27" s="2419"/>
      <c r="AG27" s="2419"/>
      <c r="AH27" s="2419"/>
      <c r="AI27" s="2419"/>
      <c r="AJ27" s="2419"/>
      <c r="AK27" s="1413"/>
      <c r="AL27" s="9044"/>
      <c r="AM27" s="9044"/>
      <c r="AN27" s="9044"/>
      <c r="AO27" s="9044"/>
      <c r="AP27" s="9044"/>
      <c r="AQ27" s="9044"/>
      <c r="AR27" s="9044"/>
      <c r="AS27" s="9044"/>
      <c r="AT27" s="9044"/>
      <c r="AU27" s="9044"/>
      <c r="AV27" s="9044"/>
      <c r="AW27" s="9044"/>
      <c r="AX27" s="9044"/>
      <c r="AY27" s="9044"/>
      <c r="AZ27" s="9044"/>
      <c r="BA27" s="9044"/>
      <c r="BB27" s="9044"/>
      <c r="BC27" s="9044"/>
      <c r="BD27" s="9044"/>
      <c r="BE27" s="9044"/>
      <c r="BF27" s="9044"/>
      <c r="BG27" s="9044"/>
      <c r="BH27" s="9044"/>
      <c r="BI27" s="9044"/>
      <c r="BJ27" s="9044"/>
      <c r="BK27" s="9044"/>
      <c r="BL27" s="9044"/>
      <c r="BM27" s="9044"/>
      <c r="BN27" s="9044"/>
      <c r="BO27" s="9044"/>
      <c r="BP27" s="9044"/>
      <c r="BQ27" s="9044"/>
      <c r="BR27" s="9044"/>
      <c r="BS27" s="9044"/>
      <c r="BT27" s="9044"/>
      <c r="BU27" s="9044"/>
      <c r="BV27" s="9044"/>
      <c r="BW27" s="9044"/>
      <c r="BX27" s="9044"/>
      <c r="BY27" s="9044"/>
      <c r="BZ27" s="9044"/>
      <c r="CA27" s="9044"/>
      <c r="CB27" s="9044"/>
      <c r="CC27" s="9044"/>
      <c r="CD27" s="9044"/>
      <c r="CE27" s="9044"/>
      <c r="CF27" s="9044"/>
      <c r="CG27" s="9044"/>
      <c r="CH27" s="9044"/>
      <c r="CI27" s="9044"/>
      <c r="CJ27" s="9044"/>
      <c r="CK27" s="9044"/>
      <c r="CL27" s="9044"/>
      <c r="CM27" s="9044"/>
      <c r="CN27" s="9044"/>
      <c r="CO27" s="9044"/>
      <c r="CP27" s="9044"/>
      <c r="CQ27" s="9044"/>
      <c r="CR27" s="9044"/>
      <c r="CS27" s="9044"/>
      <c r="CT27" s="9044"/>
      <c r="CU27" s="9044"/>
      <c r="CV27" s="9044"/>
      <c r="CW27" s="9044"/>
      <c r="CX27" s="9044"/>
      <c r="CY27" s="9044"/>
      <c r="CZ27" s="9044"/>
      <c r="DA27" s="9044"/>
      <c r="DB27" s="9044"/>
      <c r="DC27" s="9044"/>
      <c r="DD27" s="9044"/>
      <c r="DE27" s="9044"/>
      <c r="DM27" s="1325">
        <v>14</v>
      </c>
    </row>
    <row customHeight="1" ht="14.25">
      <c r="Q28" s="546"/>
      <c r="R28" s="546"/>
      <c r="S28" s="1445"/>
      <c r="T28" s="533"/>
      <c r="U28" s="533"/>
      <c r="V28" s="492"/>
      <c r="W28" s="492"/>
      <c r="X28" s="492"/>
      <c r="Y28" s="492"/>
      <c r="Z28" s="492"/>
      <c r="AA28" s="492"/>
      <c r="AB28" s="492"/>
      <c r="AC28" s="492"/>
      <c r="AD28" s="492"/>
      <c r="AE28" s="492"/>
      <c r="AF28" s="492"/>
      <c r="AG28" s="492"/>
      <c r="AH28" s="492"/>
      <c r="AI28" s="492"/>
      <c r="AJ28" s="492"/>
      <c r="AK28" s="492"/>
      <c r="AL28" s="9046"/>
      <c r="AM28" s="9046"/>
      <c r="AN28" s="9046"/>
      <c r="AO28" s="9046"/>
      <c r="AP28" s="9046"/>
      <c r="AQ28" s="9046"/>
      <c r="AR28" s="9046"/>
      <c r="AS28" s="9046"/>
      <c r="AT28" s="9046"/>
      <c r="AU28" s="9046"/>
      <c r="AV28" s="9046"/>
      <c r="AW28" s="9046"/>
      <c r="AX28" s="9046"/>
      <c r="AY28" s="9046"/>
      <c r="AZ28" s="9046"/>
      <c r="BA28" s="9046"/>
      <c r="BB28" s="9046"/>
      <c r="BC28" s="9046"/>
      <c r="BD28" s="9046"/>
      <c r="BE28" s="9046"/>
      <c r="BF28" s="9046"/>
      <c r="BG28" s="9046"/>
      <c r="BH28" s="9046"/>
      <c r="BI28" s="9046"/>
      <c r="BJ28" s="9046"/>
      <c r="BK28" s="9046"/>
      <c r="BL28" s="9046"/>
      <c r="BM28" s="9046"/>
      <c r="BN28" s="9046"/>
      <c r="BO28" s="9046"/>
      <c r="BP28" s="9046"/>
      <c r="BQ28" s="9046"/>
      <c r="BR28" s="9046"/>
      <c r="BS28" s="9046"/>
      <c r="BT28" s="9046"/>
      <c r="BU28" s="9046"/>
      <c r="BV28" s="9046"/>
      <c r="BW28" s="9046"/>
      <c r="BX28" s="9046"/>
      <c r="BY28" s="9046"/>
      <c r="BZ28" s="9046"/>
      <c r="CA28" s="9046"/>
      <c r="CB28" s="9046"/>
      <c r="CC28" s="9046"/>
      <c r="CD28" s="9046"/>
      <c r="CE28" s="9046"/>
      <c r="CF28" s="9046"/>
      <c r="CG28" s="9046"/>
      <c r="CH28" s="9046"/>
      <c r="CI28" s="9046"/>
      <c r="CJ28" s="9046"/>
      <c r="CK28" s="9046"/>
      <c r="CL28" s="9046"/>
      <c r="CM28" s="9046"/>
      <c r="CN28" s="9046"/>
      <c r="CO28" s="9046"/>
      <c r="CP28" s="9046"/>
      <c r="CQ28" s="9046"/>
      <c r="CR28" s="9046"/>
      <c r="CS28" s="9046"/>
      <c r="CT28" s="9046"/>
      <c r="CU28" s="9046"/>
      <c r="CV28" s="9046"/>
      <c r="CW28" s="9046"/>
      <c r="CX28" s="9046"/>
      <c r="CY28" s="9046"/>
      <c r="CZ28" s="9046"/>
      <c r="DA28" s="9046"/>
      <c r="DB28" s="9046"/>
      <c r="DC28" s="9046"/>
      <c r="DD28" s="9046"/>
      <c r="DE28" s="9046"/>
      <c r="DF28" s="679"/>
      <c r="DM28" s="1325">
        <v>0</v>
      </c>
    </row>
    <row s="12119" customFormat="1" customHeight="1" ht="25.5">
      <c r="A29" s="1538"/>
      <c r="B29" s="1538"/>
      <c r="C29" s="1538"/>
      <c r="D29" s="1538"/>
      <c r="E29" s="1538"/>
      <c r="F29" s="1538"/>
      <c r="G29" s="1538"/>
      <c r="H29" s="1538"/>
      <c r="I29" s="1538"/>
      <c r="J29" s="1538"/>
      <c r="K29" s="1538"/>
      <c r="L29" s="1539"/>
      <c r="M29" s="1538"/>
      <c r="N29" s="1538"/>
      <c r="O29" s="1538"/>
      <c r="S29" s="2420" t="s">
        <v>42</v>
      </c>
      <c r="T29" s="2420"/>
      <c r="U29" s="1542"/>
      <c r="V29" s="2421" t="str">
        <f>IF(TITLE_NAME_OR_PR_CHANGE="",IF(TITLE_NAME_OR_PR="","",TITLE_NAME_OR_PR),TITLE_NAME_OR_PR_CHANGE)</f>
        <v>Комитет по ценам и тарифам Московской области</v>
      </c>
      <c r="W29" s="2421"/>
      <c r="X29" s="2421"/>
      <c r="Y29" s="2421"/>
      <c r="Z29" s="2421"/>
      <c r="AA29" s="2421"/>
      <c r="AB29" s="2421"/>
      <c r="AC29" s="496"/>
      <c r="AD29" s="2421" t="str">
        <f>IF(TITLE_NAME_OR_PR_CHANGE="",IF(TITLE_NAME_OR_PR="","",TITLE_NAME_OR_PR),TITLE_NAME_OR_PR_CHANGE)</f>
        <v>Комитет по ценам и тарифам Московской области</v>
      </c>
      <c r="AE29" s="2421"/>
      <c r="AF29" s="2421"/>
      <c r="AG29" s="2421"/>
      <c r="AH29" s="2421"/>
      <c r="AI29" s="2421"/>
      <c r="AJ29" s="2421"/>
      <c r="AK29" s="496"/>
      <c r="AL29" s="9053" t="str">
        <f>IF(TITLE_NAME_OR_PR_CHANGE="",IF(TITLE_NAME_OR_PR="","",TITLE_NAME_OR_PR),TITLE_NAME_OR_PR_CHANGE)</f>
        <v>Комитет по ценам и тарифам Московской области</v>
      </c>
      <c r="AM29" s="9053"/>
      <c r="AN29" s="9053"/>
      <c r="AO29" s="9053"/>
      <c r="AP29" s="9053"/>
      <c r="AQ29" s="9053"/>
      <c r="AR29" s="9053"/>
      <c r="AS29" s="8724"/>
      <c r="AT29" s="9053" t="str">
        <f>IF(TITLE_NAME_OR_PR_CHANGE="",IF(TITLE_NAME_OR_PR="","",TITLE_NAME_OR_PR),TITLE_NAME_OR_PR_CHANGE)</f>
        <v>Комитет по ценам и тарифам Московской области</v>
      </c>
      <c r="AU29" s="9053"/>
      <c r="AV29" s="9053"/>
      <c r="AW29" s="9053"/>
      <c r="AX29" s="9053"/>
      <c r="AY29" s="9053"/>
      <c r="AZ29" s="9053"/>
      <c r="BA29" s="8724"/>
      <c r="BB29" s="9053" t="str">
        <f>IF(TITLE_NAME_OR_PR_CHANGE="",IF(TITLE_NAME_OR_PR="","",TITLE_NAME_OR_PR),TITLE_NAME_OR_PR_CHANGE)</f>
        <v>Комитет по ценам и тарифам Московской области</v>
      </c>
      <c r="BC29" s="9053"/>
      <c r="BD29" s="9053"/>
      <c r="BE29" s="9053"/>
      <c r="BF29" s="9053"/>
      <c r="BG29" s="9053"/>
      <c r="BH29" s="9053"/>
      <c r="BI29" s="8724"/>
      <c r="BJ29" s="9053" t="str">
        <f>IF(TITLE_NAME_OR_PR_CHANGE="",IF(TITLE_NAME_OR_PR="","",TITLE_NAME_OR_PR),TITLE_NAME_OR_PR_CHANGE)</f>
        <v>Комитет по ценам и тарифам Московской области</v>
      </c>
      <c r="BK29" s="9053"/>
      <c r="BL29" s="9053"/>
      <c r="BM29" s="9053"/>
      <c r="BN29" s="9053"/>
      <c r="BO29" s="9053"/>
      <c r="BP29" s="9053"/>
      <c r="BQ29" s="8724"/>
      <c r="BR29" s="9053" t="str">
        <f>IF(TITLE_NAME_OR_PR_CHANGE="",IF(TITLE_NAME_OR_PR="","",TITLE_NAME_OR_PR),TITLE_NAME_OR_PR_CHANGE)</f>
        <v>Комитет по ценам и тарифам Московской области</v>
      </c>
      <c r="BS29" s="9053"/>
      <c r="BT29" s="9053"/>
      <c r="BU29" s="9053"/>
      <c r="BV29" s="9053"/>
      <c r="BW29" s="9053"/>
      <c r="BX29" s="9053"/>
      <c r="BY29" s="8724"/>
      <c r="BZ29" s="9053" t="str">
        <f>IF(TITLE_NAME_OR_PR_CHANGE="",IF(TITLE_NAME_OR_PR="","",TITLE_NAME_OR_PR),TITLE_NAME_OR_PR_CHANGE)</f>
        <v>Комитет по ценам и тарифам Московской области</v>
      </c>
      <c r="CA29" s="9053"/>
      <c r="CB29" s="9053"/>
      <c r="CC29" s="9053"/>
      <c r="CD29" s="9053"/>
      <c r="CE29" s="9053"/>
      <c r="CF29" s="9053"/>
      <c r="CG29" s="8724"/>
      <c r="CH29" s="9053" t="str">
        <f>IF(TITLE_NAME_OR_PR_CHANGE="",IF(TITLE_NAME_OR_PR="","",TITLE_NAME_OR_PR),TITLE_NAME_OR_PR_CHANGE)</f>
        <v>Комитет по ценам и тарифам Московской области</v>
      </c>
      <c r="CI29" s="9053"/>
      <c r="CJ29" s="9053"/>
      <c r="CK29" s="9053"/>
      <c r="CL29" s="9053"/>
      <c r="CM29" s="9053"/>
      <c r="CN29" s="9053"/>
      <c r="CO29" s="8724"/>
      <c r="CP29" s="9053" t="str">
        <f>IF(TITLE_NAME_OR_PR_CHANGE="",IF(TITLE_NAME_OR_PR="","",TITLE_NAME_OR_PR),TITLE_NAME_OR_PR_CHANGE)</f>
        <v>Комитет по ценам и тарифам Московской области</v>
      </c>
      <c r="CQ29" s="9053"/>
      <c r="CR29" s="9053"/>
      <c r="CS29" s="9053"/>
      <c r="CT29" s="9053"/>
      <c r="CU29" s="9053"/>
      <c r="CV29" s="9053"/>
      <c r="CW29" s="8724"/>
      <c r="CX29" s="9053" t="str">
        <f>IF(TITLE_NAME_OR_PR_CHANGE="",IF(TITLE_NAME_OR_PR="","",TITLE_NAME_OR_PR),TITLE_NAME_OR_PR_CHANGE)</f>
        <v>Комитет по ценам и тарифам Московской области</v>
      </c>
      <c r="CY29" s="9053"/>
      <c r="CZ29" s="9053"/>
      <c r="DA29" s="9053"/>
      <c r="DB29" s="9053"/>
      <c r="DC29" s="9053"/>
      <c r="DD29" s="9053"/>
      <c r="DE29" s="8724"/>
      <c r="DF29" s="496"/>
      <c r="DG29" s="450"/>
      <c r="DH29" s="538"/>
      <c r="DI29" s="538"/>
      <c r="DJ29" s="538"/>
      <c r="DK29" s="538"/>
      <c r="DL29" s="538"/>
      <c r="DM29" s="588">
        <v>0</v>
      </c>
    </row>
    <row s="12119" customFormat="1" customHeight="1" ht="18.75">
      <c r="A30" s="1538"/>
      <c r="B30" s="1538"/>
      <c r="C30" s="1538"/>
      <c r="D30" s="1538"/>
      <c r="E30" s="1538"/>
      <c r="F30" s="1538"/>
      <c r="G30" s="1538"/>
      <c r="H30" s="1538"/>
      <c r="I30" s="1538"/>
      <c r="J30" s="1538"/>
      <c r="K30" s="1538"/>
      <c r="L30" s="1539"/>
      <c r="M30" s="1538"/>
      <c r="N30" s="1538"/>
      <c r="O30" s="1538"/>
      <c r="S30" s="2420" t="s">
        <v>432</v>
      </c>
      <c r="T30" s="2420"/>
      <c r="U30" s="1542"/>
      <c r="V30" s="2434" t="str">
        <f>IF(TITLE_DATE_PR_CHANGE="",IF(TITLE_DATE_PR="","",TITLE_DATE_PR),TITLE_DATE_PR_CHANGE)</f>
        <v>45646.459814814814</v>
      </c>
      <c r="W30" s="2434"/>
      <c r="X30" s="2434"/>
      <c r="Y30" s="2434"/>
      <c r="Z30" s="2434"/>
      <c r="AA30" s="2434"/>
      <c r="AB30" s="2434"/>
      <c r="AC30" s="496"/>
      <c r="AD30" s="2434" t="str">
        <f>IF(TITLE_DATE_PR_CHANGE="",IF(TITLE_DATE_PR="","",TITLE_DATE_PR),TITLE_DATE_PR_CHANGE)</f>
        <v>45646.459814814814</v>
      </c>
      <c r="AE30" s="2434"/>
      <c r="AF30" s="2434"/>
      <c r="AG30" s="2434"/>
      <c r="AH30" s="2434"/>
      <c r="AI30" s="2434"/>
      <c r="AJ30" s="2434"/>
      <c r="AK30" s="496"/>
      <c r="AL30" s="9058" t="str">
        <f>IF(TITLE_DATE_PR_CHANGE="",IF(TITLE_DATE_PR="","",TITLE_DATE_PR),TITLE_DATE_PR_CHANGE)</f>
        <v>45646.459814814814</v>
      </c>
      <c r="AM30" s="9058"/>
      <c r="AN30" s="9058"/>
      <c r="AO30" s="9058"/>
      <c r="AP30" s="9058"/>
      <c r="AQ30" s="9058"/>
      <c r="AR30" s="9058"/>
      <c r="AS30" s="8724"/>
      <c r="AT30" s="9058" t="str">
        <f>IF(TITLE_DATE_PR_CHANGE="",IF(TITLE_DATE_PR="","",TITLE_DATE_PR),TITLE_DATE_PR_CHANGE)</f>
        <v>45646.459814814814</v>
      </c>
      <c r="AU30" s="9058"/>
      <c r="AV30" s="9058"/>
      <c r="AW30" s="9058"/>
      <c r="AX30" s="9058"/>
      <c r="AY30" s="9058"/>
      <c r="AZ30" s="9058"/>
      <c r="BA30" s="8724"/>
      <c r="BB30" s="9058" t="str">
        <f>IF(TITLE_DATE_PR_CHANGE="",IF(TITLE_DATE_PR="","",TITLE_DATE_PR),TITLE_DATE_PR_CHANGE)</f>
        <v>45646.459814814814</v>
      </c>
      <c r="BC30" s="9058"/>
      <c r="BD30" s="9058"/>
      <c r="BE30" s="9058"/>
      <c r="BF30" s="9058"/>
      <c r="BG30" s="9058"/>
      <c r="BH30" s="9058"/>
      <c r="BI30" s="8724"/>
      <c r="BJ30" s="9058" t="str">
        <f>IF(TITLE_DATE_PR_CHANGE="",IF(TITLE_DATE_PR="","",TITLE_DATE_PR),TITLE_DATE_PR_CHANGE)</f>
        <v>45646.459814814814</v>
      </c>
      <c r="BK30" s="9058"/>
      <c r="BL30" s="9058"/>
      <c r="BM30" s="9058"/>
      <c r="BN30" s="9058"/>
      <c r="BO30" s="9058"/>
      <c r="BP30" s="9058"/>
      <c r="BQ30" s="8724"/>
      <c r="BR30" s="9058" t="str">
        <f>IF(TITLE_DATE_PR_CHANGE="",IF(TITLE_DATE_PR="","",TITLE_DATE_PR),TITLE_DATE_PR_CHANGE)</f>
        <v>45646.459814814814</v>
      </c>
      <c r="BS30" s="9058"/>
      <c r="BT30" s="9058"/>
      <c r="BU30" s="9058"/>
      <c r="BV30" s="9058"/>
      <c r="BW30" s="9058"/>
      <c r="BX30" s="9058"/>
      <c r="BY30" s="8724"/>
      <c r="BZ30" s="9058" t="str">
        <f>IF(TITLE_DATE_PR_CHANGE="",IF(TITLE_DATE_PR="","",TITLE_DATE_PR),TITLE_DATE_PR_CHANGE)</f>
        <v>45646.459814814814</v>
      </c>
      <c r="CA30" s="9058"/>
      <c r="CB30" s="9058"/>
      <c r="CC30" s="9058"/>
      <c r="CD30" s="9058"/>
      <c r="CE30" s="9058"/>
      <c r="CF30" s="9058"/>
      <c r="CG30" s="8724"/>
      <c r="CH30" s="9058" t="str">
        <f>IF(TITLE_DATE_PR_CHANGE="",IF(TITLE_DATE_PR="","",TITLE_DATE_PR),TITLE_DATE_PR_CHANGE)</f>
        <v>45646.459814814814</v>
      </c>
      <c r="CI30" s="9058"/>
      <c r="CJ30" s="9058"/>
      <c r="CK30" s="9058"/>
      <c r="CL30" s="9058"/>
      <c r="CM30" s="9058"/>
      <c r="CN30" s="9058"/>
      <c r="CO30" s="8724"/>
      <c r="CP30" s="9058" t="str">
        <f>IF(TITLE_DATE_PR_CHANGE="",IF(TITLE_DATE_PR="","",TITLE_DATE_PR),TITLE_DATE_PR_CHANGE)</f>
        <v>45646.459814814814</v>
      </c>
      <c r="CQ30" s="9058"/>
      <c r="CR30" s="9058"/>
      <c r="CS30" s="9058"/>
      <c r="CT30" s="9058"/>
      <c r="CU30" s="9058"/>
      <c r="CV30" s="9058"/>
      <c r="CW30" s="8724"/>
      <c r="CX30" s="9058" t="str">
        <f>IF(TITLE_DATE_PR_CHANGE="",IF(TITLE_DATE_PR="","",TITLE_DATE_PR),TITLE_DATE_PR_CHANGE)</f>
        <v>45646.459814814814</v>
      </c>
      <c r="CY30" s="9058"/>
      <c r="CZ30" s="9058"/>
      <c r="DA30" s="9058"/>
      <c r="DB30" s="9058"/>
      <c r="DC30" s="9058"/>
      <c r="DD30" s="9058"/>
      <c r="DE30" s="8724"/>
      <c r="DF30" s="496"/>
      <c r="DG30" s="450"/>
      <c r="DH30" s="538"/>
      <c r="DI30" s="538"/>
      <c r="DJ30" s="538"/>
      <c r="DK30" s="538"/>
      <c r="DL30" s="538"/>
      <c r="DM30" s="588">
        <v>0</v>
      </c>
    </row>
    <row s="12119" customFormat="1" customHeight="1" ht="18.75">
      <c r="A31" s="1538"/>
      <c r="B31" s="1538"/>
      <c r="C31" s="1538"/>
      <c r="D31" s="1538"/>
      <c r="E31" s="1538"/>
      <c r="F31" s="1538"/>
      <c r="G31" s="1538"/>
      <c r="H31" s="1538"/>
      <c r="I31" s="1538"/>
      <c r="J31" s="1538"/>
      <c r="K31" s="1538"/>
      <c r="L31" s="1539"/>
      <c r="M31" s="1538"/>
      <c r="N31" s="1538"/>
      <c r="O31" s="1538"/>
      <c r="S31" s="2420" t="s">
        <v>433</v>
      </c>
      <c r="T31" s="2420"/>
      <c r="U31" s="1542"/>
      <c r="V31" s="2421" t="str">
        <f>IF(TITLE_NUMBER_PR_CHANGE="",IF(TITLE_NUMBER_PR="","",TITLE_NUMBER_PR),TITLE_NUMBER_PR_CHANGE)</f>
        <v>329-Р</v>
      </c>
      <c r="W31" s="2421"/>
      <c r="X31" s="2421"/>
      <c r="Y31" s="2421"/>
      <c r="Z31" s="2421"/>
      <c r="AA31" s="2421"/>
      <c r="AB31" s="2421"/>
      <c r="AC31" s="496"/>
      <c r="AD31" s="2421" t="str">
        <f>IF(TITLE_NUMBER_PR_CHANGE="",IF(TITLE_NUMBER_PR="","",TITLE_NUMBER_PR),TITLE_NUMBER_PR_CHANGE)</f>
        <v>329-Р</v>
      </c>
      <c r="AE31" s="2421"/>
      <c r="AF31" s="2421"/>
      <c r="AG31" s="2421"/>
      <c r="AH31" s="2421"/>
      <c r="AI31" s="2421"/>
      <c r="AJ31" s="2421"/>
      <c r="AK31" s="496"/>
      <c r="AL31" s="9053" t="str">
        <f>IF(TITLE_NUMBER_PR_CHANGE="",IF(TITLE_NUMBER_PR="","",TITLE_NUMBER_PR),TITLE_NUMBER_PR_CHANGE)</f>
        <v>329-Р</v>
      </c>
      <c r="AM31" s="9053"/>
      <c r="AN31" s="9053"/>
      <c r="AO31" s="9053"/>
      <c r="AP31" s="9053"/>
      <c r="AQ31" s="9053"/>
      <c r="AR31" s="9053"/>
      <c r="AS31" s="8724"/>
      <c r="AT31" s="9053" t="str">
        <f>IF(TITLE_NUMBER_PR_CHANGE="",IF(TITLE_NUMBER_PR="","",TITLE_NUMBER_PR),TITLE_NUMBER_PR_CHANGE)</f>
        <v>329-Р</v>
      </c>
      <c r="AU31" s="9053"/>
      <c r="AV31" s="9053"/>
      <c r="AW31" s="9053"/>
      <c r="AX31" s="9053"/>
      <c r="AY31" s="9053"/>
      <c r="AZ31" s="9053"/>
      <c r="BA31" s="8724"/>
      <c r="BB31" s="9053" t="str">
        <f>IF(TITLE_NUMBER_PR_CHANGE="",IF(TITLE_NUMBER_PR="","",TITLE_NUMBER_PR),TITLE_NUMBER_PR_CHANGE)</f>
        <v>329-Р</v>
      </c>
      <c r="BC31" s="9053"/>
      <c r="BD31" s="9053"/>
      <c r="BE31" s="9053"/>
      <c r="BF31" s="9053"/>
      <c r="BG31" s="9053"/>
      <c r="BH31" s="9053"/>
      <c r="BI31" s="8724"/>
      <c r="BJ31" s="9053" t="str">
        <f>IF(TITLE_NUMBER_PR_CHANGE="",IF(TITLE_NUMBER_PR="","",TITLE_NUMBER_PR),TITLE_NUMBER_PR_CHANGE)</f>
        <v>329-Р</v>
      </c>
      <c r="BK31" s="9053"/>
      <c r="BL31" s="9053"/>
      <c r="BM31" s="9053"/>
      <c r="BN31" s="9053"/>
      <c r="BO31" s="9053"/>
      <c r="BP31" s="9053"/>
      <c r="BQ31" s="8724"/>
      <c r="BR31" s="9053" t="str">
        <f>IF(TITLE_NUMBER_PR_CHANGE="",IF(TITLE_NUMBER_PR="","",TITLE_NUMBER_PR),TITLE_NUMBER_PR_CHANGE)</f>
        <v>329-Р</v>
      </c>
      <c r="BS31" s="9053"/>
      <c r="BT31" s="9053"/>
      <c r="BU31" s="9053"/>
      <c r="BV31" s="9053"/>
      <c r="BW31" s="9053"/>
      <c r="BX31" s="9053"/>
      <c r="BY31" s="8724"/>
      <c r="BZ31" s="9053" t="str">
        <f>IF(TITLE_NUMBER_PR_CHANGE="",IF(TITLE_NUMBER_PR="","",TITLE_NUMBER_PR),TITLE_NUMBER_PR_CHANGE)</f>
        <v>329-Р</v>
      </c>
      <c r="CA31" s="9053"/>
      <c r="CB31" s="9053"/>
      <c r="CC31" s="9053"/>
      <c r="CD31" s="9053"/>
      <c r="CE31" s="9053"/>
      <c r="CF31" s="9053"/>
      <c r="CG31" s="8724"/>
      <c r="CH31" s="9053" t="str">
        <f>IF(TITLE_NUMBER_PR_CHANGE="",IF(TITLE_NUMBER_PR="","",TITLE_NUMBER_PR),TITLE_NUMBER_PR_CHANGE)</f>
        <v>329-Р</v>
      </c>
      <c r="CI31" s="9053"/>
      <c r="CJ31" s="9053"/>
      <c r="CK31" s="9053"/>
      <c r="CL31" s="9053"/>
      <c r="CM31" s="9053"/>
      <c r="CN31" s="9053"/>
      <c r="CO31" s="8724"/>
      <c r="CP31" s="9053" t="str">
        <f>IF(TITLE_NUMBER_PR_CHANGE="",IF(TITLE_NUMBER_PR="","",TITLE_NUMBER_PR),TITLE_NUMBER_PR_CHANGE)</f>
        <v>329-Р</v>
      </c>
      <c r="CQ31" s="9053"/>
      <c r="CR31" s="9053"/>
      <c r="CS31" s="9053"/>
      <c r="CT31" s="9053"/>
      <c r="CU31" s="9053"/>
      <c r="CV31" s="9053"/>
      <c r="CW31" s="8724"/>
      <c r="CX31" s="9053" t="str">
        <f>IF(TITLE_NUMBER_PR_CHANGE="",IF(TITLE_NUMBER_PR="","",TITLE_NUMBER_PR),TITLE_NUMBER_PR_CHANGE)</f>
        <v>329-Р</v>
      </c>
      <c r="CY31" s="9053"/>
      <c r="CZ31" s="9053"/>
      <c r="DA31" s="9053"/>
      <c r="DB31" s="9053"/>
      <c r="DC31" s="9053"/>
      <c r="DD31" s="9053"/>
      <c r="DE31" s="8724"/>
      <c r="DF31" s="496"/>
      <c r="DG31" s="450"/>
      <c r="DH31" s="538"/>
      <c r="DI31" s="538"/>
      <c r="DJ31" s="538"/>
      <c r="DK31" s="538"/>
      <c r="DL31" s="538"/>
      <c r="DM31" s="588">
        <v>0</v>
      </c>
    </row>
    <row s="12119" customFormat="1" customHeight="1" ht="18.75">
      <c r="A32" s="1538"/>
      <c r="B32" s="1538"/>
      <c r="C32" s="1538"/>
      <c r="D32" s="1538"/>
      <c r="E32" s="1538"/>
      <c r="F32" s="1538"/>
      <c r="G32" s="1538"/>
      <c r="H32" s="1538"/>
      <c r="I32" s="1538"/>
      <c r="J32" s="1538"/>
      <c r="K32" s="1538"/>
      <c r="L32" s="1539"/>
      <c r="M32" s="1538"/>
      <c r="N32" s="1538"/>
      <c r="O32" s="1538"/>
      <c r="S32" s="2420" t="s">
        <v>44</v>
      </c>
      <c r="T32" s="2420"/>
      <c r="U32" s="1542"/>
      <c r="V32"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421"/>
      <c r="X32" s="2421"/>
      <c r="Y32" s="2421"/>
      <c r="Z32" s="2421"/>
      <c r="AA32" s="2421"/>
      <c r="AB32" s="2421"/>
      <c r="AC32" s="496"/>
      <c r="AD32"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421"/>
      <c r="AF32" s="2421"/>
      <c r="AG32" s="2421"/>
      <c r="AH32" s="2421"/>
      <c r="AI32" s="2421"/>
      <c r="AJ32" s="2421"/>
      <c r="AK32" s="496"/>
      <c r="AL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M32" s="9053"/>
      <c r="AN32" s="9053"/>
      <c r="AO32" s="9053"/>
      <c r="AP32" s="9053"/>
      <c r="AQ32" s="9053"/>
      <c r="AR32" s="9053"/>
      <c r="AS32" s="8724"/>
      <c r="AT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U32" s="9053"/>
      <c r="AV32" s="9053"/>
      <c r="AW32" s="9053"/>
      <c r="AX32" s="9053"/>
      <c r="AY32" s="9053"/>
      <c r="AZ32" s="9053"/>
      <c r="BA32" s="8724"/>
      <c r="BB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C32" s="9053"/>
      <c r="BD32" s="9053"/>
      <c r="BE32" s="9053"/>
      <c r="BF32" s="9053"/>
      <c r="BG32" s="9053"/>
      <c r="BH32" s="9053"/>
      <c r="BI32" s="8724"/>
      <c r="BJ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K32" s="9053"/>
      <c r="BL32" s="9053"/>
      <c r="BM32" s="9053"/>
      <c r="BN32" s="9053"/>
      <c r="BO32" s="9053"/>
      <c r="BP32" s="9053"/>
      <c r="BQ32" s="8724"/>
      <c r="BR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S32" s="9053"/>
      <c r="BT32" s="9053"/>
      <c r="BU32" s="9053"/>
      <c r="BV32" s="9053"/>
      <c r="BW32" s="9053"/>
      <c r="BX32" s="9053"/>
      <c r="BY32" s="8724"/>
      <c r="BZ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A32" s="9053"/>
      <c r="CB32" s="9053"/>
      <c r="CC32" s="9053"/>
      <c r="CD32" s="9053"/>
      <c r="CE32" s="9053"/>
      <c r="CF32" s="9053"/>
      <c r="CG32" s="8724"/>
      <c r="CH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I32" s="9053"/>
      <c r="CJ32" s="9053"/>
      <c r="CK32" s="9053"/>
      <c r="CL32" s="9053"/>
      <c r="CM32" s="9053"/>
      <c r="CN32" s="9053"/>
      <c r="CO32" s="8724"/>
      <c r="CP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Q32" s="9053"/>
      <c r="CR32" s="9053"/>
      <c r="CS32" s="9053"/>
      <c r="CT32" s="9053"/>
      <c r="CU32" s="9053"/>
      <c r="CV32" s="9053"/>
      <c r="CW32" s="8724"/>
      <c r="CX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Y32" s="9053"/>
      <c r="CZ32" s="9053"/>
      <c r="DA32" s="9053"/>
      <c r="DB32" s="9053"/>
      <c r="DC32" s="9053"/>
      <c r="DD32" s="9053"/>
      <c r="DE32" s="8724"/>
      <c r="DF32" s="496"/>
      <c r="DG32" s="450"/>
      <c r="DH32" s="538"/>
      <c r="DI32" s="538"/>
      <c r="DJ32" s="538"/>
      <c r="DK32" s="538"/>
      <c r="DL32" s="538"/>
      <c r="DM32" s="588">
        <v>0</v>
      </c>
    </row>
    <row customHeight="1" ht="14.25" hidden="1">
      <c r="Q33" s="546"/>
      <c r="R33" s="546"/>
      <c r="S33" s="1445"/>
      <c r="T33" s="533"/>
      <c r="U33" s="533"/>
      <c r="V33" s="492"/>
      <c r="W33" s="492"/>
      <c r="X33" s="492"/>
      <c r="Y33" s="492"/>
      <c r="Z33" s="492"/>
      <c r="AA33" s="492"/>
      <c r="AB33" s="492"/>
      <c r="AC33" s="492"/>
      <c r="AD33" s="492"/>
      <c r="AE33" s="492"/>
      <c r="AF33" s="492"/>
      <c r="AG33" s="492"/>
      <c r="AH33" s="492"/>
      <c r="AI33" s="492"/>
      <c r="AJ33" s="492"/>
      <c r="AK33" s="492"/>
      <c r="AL33" s="9046"/>
      <c r="AM33" s="9046"/>
      <c r="AN33" s="9046"/>
      <c r="AO33" s="9046"/>
      <c r="AP33" s="9046"/>
      <c r="AQ33" s="9046"/>
      <c r="AR33" s="9046"/>
      <c r="AS33" s="9046"/>
      <c r="AT33" s="9046"/>
      <c r="AU33" s="9046"/>
      <c r="AV33" s="9046"/>
      <c r="AW33" s="9046"/>
      <c r="AX33" s="9046"/>
      <c r="AY33" s="9046"/>
      <c r="AZ33" s="9046"/>
      <c r="BA33" s="9046"/>
      <c r="BB33" s="9046"/>
      <c r="BC33" s="9046"/>
      <c r="BD33" s="9046"/>
      <c r="BE33" s="9046"/>
      <c r="BF33" s="9046"/>
      <c r="BG33" s="9046"/>
      <c r="BH33" s="9046"/>
      <c r="BI33" s="9046"/>
      <c r="BJ33" s="9046"/>
      <c r="BK33" s="9046"/>
      <c r="BL33" s="9046"/>
      <c r="BM33" s="9046"/>
      <c r="BN33" s="9046"/>
      <c r="BO33" s="9046"/>
      <c r="BP33" s="9046"/>
      <c r="BQ33" s="9046"/>
      <c r="BR33" s="9046"/>
      <c r="BS33" s="9046"/>
      <c r="BT33" s="9046"/>
      <c r="BU33" s="9046"/>
      <c r="BV33" s="9046"/>
      <c r="BW33" s="9046"/>
      <c r="BX33" s="9046"/>
      <c r="BY33" s="9046"/>
      <c r="BZ33" s="9046"/>
      <c r="CA33" s="9046"/>
      <c r="CB33" s="9046"/>
      <c r="CC33" s="9046"/>
      <c r="CD33" s="9046"/>
      <c r="CE33" s="9046"/>
      <c r="CF33" s="9046"/>
      <c r="CG33" s="9046"/>
      <c r="CH33" s="9046"/>
      <c r="CI33" s="9046"/>
      <c r="CJ33" s="9046"/>
      <c r="CK33" s="9046"/>
      <c r="CL33" s="9046"/>
      <c r="CM33" s="9046"/>
      <c r="CN33" s="9046"/>
      <c r="CO33" s="9046"/>
      <c r="CP33" s="9046"/>
      <c r="CQ33" s="9046"/>
      <c r="CR33" s="9046"/>
      <c r="CS33" s="9046"/>
      <c r="CT33" s="9046"/>
      <c r="CU33" s="9046"/>
      <c r="CV33" s="9046"/>
      <c r="CW33" s="9046"/>
      <c r="CX33" s="9046"/>
      <c r="CY33" s="9046"/>
      <c r="CZ33" s="9046"/>
      <c r="DA33" s="9046"/>
      <c r="DB33" s="9046"/>
      <c r="DC33" s="9046"/>
      <c r="DD33" s="9046"/>
      <c r="DE33" s="9046"/>
      <c r="DF33" s="679"/>
      <c r="DM33" s="1325">
        <v>0</v>
      </c>
    </row>
    <row s="12119" customFormat="1" customHeight="1" ht="18.75" hidden="1">
      <c r="A34" s="1538"/>
      <c r="B34" s="1538"/>
      <c r="C34" s="1538"/>
      <c r="D34" s="1538"/>
      <c r="E34" s="1538"/>
      <c r="F34" s="1538"/>
      <c r="G34" s="1538"/>
      <c r="H34" s="1538"/>
      <c r="I34" s="1538"/>
      <c r="J34" s="1538"/>
      <c r="K34" s="1538"/>
      <c r="L34" s="1539"/>
      <c r="M34" s="1538"/>
      <c r="N34" s="1538"/>
      <c r="O34" s="1538"/>
      <c r="S34" s="2420" t="s">
        <v>434</v>
      </c>
      <c r="T34" s="2420"/>
      <c r="U34" s="1542"/>
      <c r="V34" s="2434" t="str">
        <f>IF(TITLE_DATE_PR_CHANGE="",IF(TITLE_DATE_PR="","",TITLE_DATE_PR),TITLE_DATE_PR_CHANGE)</f>
        <v>45646.459814814814</v>
      </c>
      <c r="W34" s="2434"/>
      <c r="X34" s="2434"/>
      <c r="Y34" s="2434"/>
      <c r="Z34" s="2434"/>
      <c r="AA34" s="2434"/>
      <c r="AB34" s="2434"/>
      <c r="AC34" s="496"/>
      <c r="AD34" s="2434" t="str">
        <f>IF(TITLE_DATE_PR_CHANGE="",IF(TITLE_DATE_PR="","",TITLE_DATE_PR),TITLE_DATE_PR_CHANGE)</f>
        <v>45646.459814814814</v>
      </c>
      <c r="AE34" s="2434"/>
      <c r="AF34" s="2434"/>
      <c r="AG34" s="2434"/>
      <c r="AH34" s="2434"/>
      <c r="AI34" s="2434"/>
      <c r="AJ34" s="2434"/>
      <c r="AK34" s="496"/>
      <c r="AL34" s="9058" t="str">
        <f>IF(TITLE_DATE_PR_CHANGE="",IF(TITLE_DATE_PR="","",TITLE_DATE_PR),TITLE_DATE_PR_CHANGE)</f>
        <v>45646.459814814814</v>
      </c>
      <c r="AM34" s="9058"/>
      <c r="AN34" s="9058"/>
      <c r="AO34" s="9058"/>
      <c r="AP34" s="9058"/>
      <c r="AQ34" s="9058"/>
      <c r="AR34" s="9058"/>
      <c r="AS34" s="8724"/>
      <c r="AT34" s="9058" t="str">
        <f>IF(TITLE_DATE_PR_CHANGE="",IF(TITLE_DATE_PR="","",TITLE_DATE_PR),TITLE_DATE_PR_CHANGE)</f>
        <v>45646.459814814814</v>
      </c>
      <c r="AU34" s="9058"/>
      <c r="AV34" s="9058"/>
      <c r="AW34" s="9058"/>
      <c r="AX34" s="9058"/>
      <c r="AY34" s="9058"/>
      <c r="AZ34" s="9058"/>
      <c r="BA34" s="8724"/>
      <c r="BB34" s="9058" t="str">
        <f>IF(TITLE_DATE_PR_CHANGE="",IF(TITLE_DATE_PR="","",TITLE_DATE_PR),TITLE_DATE_PR_CHANGE)</f>
        <v>45646.459814814814</v>
      </c>
      <c r="BC34" s="9058"/>
      <c r="BD34" s="9058"/>
      <c r="BE34" s="9058"/>
      <c r="BF34" s="9058"/>
      <c r="BG34" s="9058"/>
      <c r="BH34" s="9058"/>
      <c r="BI34" s="8724"/>
      <c r="BJ34" s="9058" t="str">
        <f>IF(TITLE_DATE_PR_CHANGE="",IF(TITLE_DATE_PR="","",TITLE_DATE_PR),TITLE_DATE_PR_CHANGE)</f>
        <v>45646.459814814814</v>
      </c>
      <c r="BK34" s="9058"/>
      <c r="BL34" s="9058"/>
      <c r="BM34" s="9058"/>
      <c r="BN34" s="9058"/>
      <c r="BO34" s="9058"/>
      <c r="BP34" s="9058"/>
      <c r="BQ34" s="8724"/>
      <c r="BR34" s="9058" t="str">
        <f>IF(TITLE_DATE_PR_CHANGE="",IF(TITLE_DATE_PR="","",TITLE_DATE_PR),TITLE_DATE_PR_CHANGE)</f>
        <v>45646.459814814814</v>
      </c>
      <c r="BS34" s="9058"/>
      <c r="BT34" s="9058"/>
      <c r="BU34" s="9058"/>
      <c r="BV34" s="9058"/>
      <c r="BW34" s="9058"/>
      <c r="BX34" s="9058"/>
      <c r="BY34" s="8724"/>
      <c r="BZ34" s="9058" t="str">
        <f>IF(TITLE_DATE_PR_CHANGE="",IF(TITLE_DATE_PR="","",TITLE_DATE_PR),TITLE_DATE_PR_CHANGE)</f>
        <v>45646.459814814814</v>
      </c>
      <c r="CA34" s="9058"/>
      <c r="CB34" s="9058"/>
      <c r="CC34" s="9058"/>
      <c r="CD34" s="9058"/>
      <c r="CE34" s="9058"/>
      <c r="CF34" s="9058"/>
      <c r="CG34" s="8724"/>
      <c r="CH34" s="9058" t="str">
        <f>IF(TITLE_DATE_PR_CHANGE="",IF(TITLE_DATE_PR="","",TITLE_DATE_PR),TITLE_DATE_PR_CHANGE)</f>
        <v>45646.459814814814</v>
      </c>
      <c r="CI34" s="9058"/>
      <c r="CJ34" s="9058"/>
      <c r="CK34" s="9058"/>
      <c r="CL34" s="9058"/>
      <c r="CM34" s="9058"/>
      <c r="CN34" s="9058"/>
      <c r="CO34" s="8724"/>
      <c r="CP34" s="9058" t="str">
        <f>IF(TITLE_DATE_PR_CHANGE="",IF(TITLE_DATE_PR="","",TITLE_DATE_PR),TITLE_DATE_PR_CHANGE)</f>
        <v>45646.459814814814</v>
      </c>
      <c r="CQ34" s="9058"/>
      <c r="CR34" s="9058"/>
      <c r="CS34" s="9058"/>
      <c r="CT34" s="9058"/>
      <c r="CU34" s="9058"/>
      <c r="CV34" s="9058"/>
      <c r="CW34" s="8724"/>
      <c r="CX34" s="9058" t="str">
        <f>IF(TITLE_DATE_PR_CHANGE="",IF(TITLE_DATE_PR="","",TITLE_DATE_PR),TITLE_DATE_PR_CHANGE)</f>
        <v>45646.459814814814</v>
      </c>
      <c r="CY34" s="9058"/>
      <c r="CZ34" s="9058"/>
      <c r="DA34" s="9058"/>
      <c r="DB34" s="9058"/>
      <c r="DC34" s="9058"/>
      <c r="DD34" s="9058"/>
      <c r="DE34" s="8724"/>
      <c r="DF34" s="496"/>
      <c r="DG34" s="450"/>
      <c r="DH34" s="538"/>
      <c r="DI34" s="538"/>
      <c r="DJ34" s="538"/>
      <c r="DK34" s="538"/>
      <c r="DL34" s="538"/>
      <c r="DM34" s="588">
        <v>0</v>
      </c>
    </row>
    <row s="12119" customFormat="1" customHeight="1" ht="18.75" hidden="1">
      <c r="A35" s="1538"/>
      <c r="B35" s="1538"/>
      <c r="C35" s="1538"/>
      <c r="D35" s="1538"/>
      <c r="E35" s="1538"/>
      <c r="F35" s="1538"/>
      <c r="G35" s="1538"/>
      <c r="H35" s="1538"/>
      <c r="I35" s="1538"/>
      <c r="J35" s="1538"/>
      <c r="K35" s="1538"/>
      <c r="L35" s="1539"/>
      <c r="M35" s="1538"/>
      <c r="N35" s="1538"/>
      <c r="O35" s="1538"/>
      <c r="S35" s="2420" t="s">
        <v>435</v>
      </c>
      <c r="T35" s="2420"/>
      <c r="U35" s="1542"/>
      <c r="V35" s="2421" t="str">
        <f>IF(TITLE_NUMBER_PR_CHANGE="",IF(TITLE_NUMBER_PR="","",TITLE_NUMBER_PR),TITLE_NUMBER_PR_CHANGE)</f>
        <v>329-Р</v>
      </c>
      <c r="W35" s="2421"/>
      <c r="X35" s="2421"/>
      <c r="Y35" s="2421"/>
      <c r="Z35" s="2421"/>
      <c r="AA35" s="2421"/>
      <c r="AB35" s="2421"/>
      <c r="AC35" s="496"/>
      <c r="AD35" s="2421" t="str">
        <f>IF(TITLE_NUMBER_PR_CHANGE="",IF(TITLE_NUMBER_PR="","",TITLE_NUMBER_PR),TITLE_NUMBER_PR_CHANGE)</f>
        <v>329-Р</v>
      </c>
      <c r="AE35" s="2421"/>
      <c r="AF35" s="2421"/>
      <c r="AG35" s="2421"/>
      <c r="AH35" s="2421"/>
      <c r="AI35" s="2421"/>
      <c r="AJ35" s="2421"/>
      <c r="AK35" s="496"/>
      <c r="AL35" s="9053" t="str">
        <f>IF(TITLE_NUMBER_PR_CHANGE="",IF(TITLE_NUMBER_PR="","",TITLE_NUMBER_PR),TITLE_NUMBER_PR_CHANGE)</f>
        <v>329-Р</v>
      </c>
      <c r="AM35" s="9053"/>
      <c r="AN35" s="9053"/>
      <c r="AO35" s="9053"/>
      <c r="AP35" s="9053"/>
      <c r="AQ35" s="9053"/>
      <c r="AR35" s="9053"/>
      <c r="AS35" s="8724"/>
      <c r="AT35" s="9053" t="str">
        <f>IF(TITLE_NUMBER_PR_CHANGE="",IF(TITLE_NUMBER_PR="","",TITLE_NUMBER_PR),TITLE_NUMBER_PR_CHANGE)</f>
        <v>329-Р</v>
      </c>
      <c r="AU35" s="9053"/>
      <c r="AV35" s="9053"/>
      <c r="AW35" s="9053"/>
      <c r="AX35" s="9053"/>
      <c r="AY35" s="9053"/>
      <c r="AZ35" s="9053"/>
      <c r="BA35" s="8724"/>
      <c r="BB35" s="9053" t="str">
        <f>IF(TITLE_NUMBER_PR_CHANGE="",IF(TITLE_NUMBER_PR="","",TITLE_NUMBER_PR),TITLE_NUMBER_PR_CHANGE)</f>
        <v>329-Р</v>
      </c>
      <c r="BC35" s="9053"/>
      <c r="BD35" s="9053"/>
      <c r="BE35" s="9053"/>
      <c r="BF35" s="9053"/>
      <c r="BG35" s="9053"/>
      <c r="BH35" s="9053"/>
      <c r="BI35" s="8724"/>
      <c r="BJ35" s="9053" t="str">
        <f>IF(TITLE_NUMBER_PR_CHANGE="",IF(TITLE_NUMBER_PR="","",TITLE_NUMBER_PR),TITLE_NUMBER_PR_CHANGE)</f>
        <v>329-Р</v>
      </c>
      <c r="BK35" s="9053"/>
      <c r="BL35" s="9053"/>
      <c r="BM35" s="9053"/>
      <c r="BN35" s="9053"/>
      <c r="BO35" s="9053"/>
      <c r="BP35" s="9053"/>
      <c r="BQ35" s="8724"/>
      <c r="BR35" s="9053" t="str">
        <f>IF(TITLE_NUMBER_PR_CHANGE="",IF(TITLE_NUMBER_PR="","",TITLE_NUMBER_PR),TITLE_NUMBER_PR_CHANGE)</f>
        <v>329-Р</v>
      </c>
      <c r="BS35" s="9053"/>
      <c r="BT35" s="9053"/>
      <c r="BU35" s="9053"/>
      <c r="BV35" s="9053"/>
      <c r="BW35" s="9053"/>
      <c r="BX35" s="9053"/>
      <c r="BY35" s="8724"/>
      <c r="BZ35" s="9053" t="str">
        <f>IF(TITLE_NUMBER_PR_CHANGE="",IF(TITLE_NUMBER_PR="","",TITLE_NUMBER_PR),TITLE_NUMBER_PR_CHANGE)</f>
        <v>329-Р</v>
      </c>
      <c r="CA35" s="9053"/>
      <c r="CB35" s="9053"/>
      <c r="CC35" s="9053"/>
      <c r="CD35" s="9053"/>
      <c r="CE35" s="9053"/>
      <c r="CF35" s="9053"/>
      <c r="CG35" s="8724"/>
      <c r="CH35" s="9053" t="str">
        <f>IF(TITLE_NUMBER_PR_CHANGE="",IF(TITLE_NUMBER_PR="","",TITLE_NUMBER_PR),TITLE_NUMBER_PR_CHANGE)</f>
        <v>329-Р</v>
      </c>
      <c r="CI35" s="9053"/>
      <c r="CJ35" s="9053"/>
      <c r="CK35" s="9053"/>
      <c r="CL35" s="9053"/>
      <c r="CM35" s="9053"/>
      <c r="CN35" s="9053"/>
      <c r="CO35" s="8724"/>
      <c r="CP35" s="9053" t="str">
        <f>IF(TITLE_NUMBER_PR_CHANGE="",IF(TITLE_NUMBER_PR="","",TITLE_NUMBER_PR),TITLE_NUMBER_PR_CHANGE)</f>
        <v>329-Р</v>
      </c>
      <c r="CQ35" s="9053"/>
      <c r="CR35" s="9053"/>
      <c r="CS35" s="9053"/>
      <c r="CT35" s="9053"/>
      <c r="CU35" s="9053"/>
      <c r="CV35" s="9053"/>
      <c r="CW35" s="8724"/>
      <c r="CX35" s="9053" t="str">
        <f>IF(TITLE_NUMBER_PR_CHANGE="",IF(TITLE_NUMBER_PR="","",TITLE_NUMBER_PR),TITLE_NUMBER_PR_CHANGE)</f>
        <v>329-Р</v>
      </c>
      <c r="CY35" s="9053"/>
      <c r="CZ35" s="9053"/>
      <c r="DA35" s="9053"/>
      <c r="DB35" s="9053"/>
      <c r="DC35" s="9053"/>
      <c r="DD35" s="9053"/>
      <c r="DE35" s="8724"/>
      <c r="DF35" s="496"/>
      <c r="DG35" s="450"/>
      <c r="DH35" s="538"/>
      <c r="DI35" s="538"/>
      <c r="DJ35" s="538"/>
      <c r="DK35" s="538"/>
      <c r="DL35" s="538"/>
      <c r="DM35" s="588">
        <v>0</v>
      </c>
    </row>
    <row s="12119" customFormat="1" customHeight="1" ht="0">
      <c r="A36" s="1538"/>
      <c r="B36" s="1538"/>
      <c r="C36" s="1538"/>
      <c r="D36" s="1538"/>
      <c r="E36" s="1538"/>
      <c r="F36" s="1538"/>
      <c r="G36" s="1538"/>
      <c r="H36" s="1538"/>
      <c r="I36" s="1538"/>
      <c r="J36" s="1538"/>
      <c r="K36" s="1538"/>
      <c r="L36" s="1539"/>
      <c r="M36" s="1538"/>
      <c r="N36" s="1538"/>
      <c r="O36" s="1538"/>
      <c r="S36" s="493"/>
      <c r="T36" s="493"/>
      <c r="U36" s="1510"/>
      <c r="V36" s="496"/>
      <c r="W36" s="496"/>
      <c r="X36" s="496"/>
      <c r="Y36" s="496"/>
      <c r="Z36" s="496"/>
      <c r="AA36" s="496"/>
      <c r="AB36" s="496"/>
      <c r="AC36" s="448" t="s">
        <v>436</v>
      </c>
      <c r="AD36" s="496"/>
      <c r="AE36" s="496"/>
      <c r="AF36" s="496"/>
      <c r="AG36" s="496"/>
      <c r="AH36" s="496"/>
      <c r="AI36" s="496"/>
      <c r="AJ36" s="496"/>
      <c r="AK36" s="448" t="s">
        <v>436</v>
      </c>
      <c r="AL36" s="8724"/>
      <c r="AM36" s="8724"/>
      <c r="AN36" s="8724"/>
      <c r="AO36" s="8724"/>
      <c r="AP36" s="8724"/>
      <c r="AQ36" s="8724"/>
      <c r="AR36" s="8724"/>
      <c r="AS36" s="9062" t="s">
        <v>436</v>
      </c>
      <c r="AT36" s="8724"/>
      <c r="AU36" s="8724"/>
      <c r="AV36" s="8724"/>
      <c r="AW36" s="8724"/>
      <c r="AX36" s="8724"/>
      <c r="AY36" s="8724"/>
      <c r="AZ36" s="8724"/>
      <c r="BA36" s="9062" t="s">
        <v>436</v>
      </c>
      <c r="BB36" s="8724"/>
      <c r="BC36" s="8724"/>
      <c r="BD36" s="8724"/>
      <c r="BE36" s="8724"/>
      <c r="BF36" s="8724"/>
      <c r="BG36" s="8724"/>
      <c r="BH36" s="8724"/>
      <c r="BI36" s="9062" t="s">
        <v>436</v>
      </c>
      <c r="BJ36" s="8724"/>
      <c r="BK36" s="8724"/>
      <c r="BL36" s="8724"/>
      <c r="BM36" s="8724"/>
      <c r="BN36" s="8724"/>
      <c r="BO36" s="8724"/>
      <c r="BP36" s="8724"/>
      <c r="BQ36" s="9062" t="s">
        <v>436</v>
      </c>
      <c r="BR36" s="8724"/>
      <c r="BS36" s="8724"/>
      <c r="BT36" s="8724"/>
      <c r="BU36" s="8724"/>
      <c r="BV36" s="8724"/>
      <c r="BW36" s="8724"/>
      <c r="BX36" s="8724"/>
      <c r="BY36" s="9062" t="s">
        <v>436</v>
      </c>
      <c r="BZ36" s="8724"/>
      <c r="CA36" s="8724"/>
      <c r="CB36" s="8724"/>
      <c r="CC36" s="8724"/>
      <c r="CD36" s="8724"/>
      <c r="CE36" s="8724"/>
      <c r="CF36" s="8724"/>
      <c r="CG36" s="9062" t="s">
        <v>436</v>
      </c>
      <c r="CH36" s="8724"/>
      <c r="CI36" s="8724"/>
      <c r="CJ36" s="8724"/>
      <c r="CK36" s="8724"/>
      <c r="CL36" s="8724"/>
      <c r="CM36" s="8724"/>
      <c r="CN36" s="8724"/>
      <c r="CO36" s="9062" t="s">
        <v>436</v>
      </c>
      <c r="CP36" s="8724"/>
      <c r="CQ36" s="8724"/>
      <c r="CR36" s="8724"/>
      <c r="CS36" s="8724"/>
      <c r="CT36" s="8724"/>
      <c r="CU36" s="8724"/>
      <c r="CV36" s="8724"/>
      <c r="CW36" s="9062" t="s">
        <v>436</v>
      </c>
      <c r="CX36" s="8724"/>
      <c r="CY36" s="8724"/>
      <c r="CZ36" s="8724"/>
      <c r="DA36" s="8724"/>
      <c r="DB36" s="8724"/>
      <c r="DC36" s="8724"/>
      <c r="DD36" s="8724"/>
      <c r="DE36" s="9062" t="s">
        <v>436</v>
      </c>
      <c r="DH36" s="538"/>
      <c r="DI36" s="538"/>
      <c r="DJ36" s="538"/>
      <c r="DK36" s="538"/>
      <c r="DL36" s="538"/>
      <c r="DM36" s="588">
        <v>0</v>
      </c>
    </row>
    <row customHeight="1" ht="14.699999999999998">
      <c r="Q37" s="546"/>
      <c r="R37" s="546"/>
      <c r="S37" s="1445"/>
      <c r="T37" s="533"/>
      <c r="U37" s="1414"/>
      <c r="V37" s="2422"/>
      <c r="W37" s="2422"/>
      <c r="X37" s="2422"/>
      <c r="Y37" s="2422"/>
      <c r="Z37" s="2422"/>
      <c r="AA37" s="2422"/>
      <c r="AB37" s="2422"/>
      <c r="AC37" s="2422"/>
      <c r="AD37" s="2422"/>
      <c r="AE37" s="2422"/>
      <c r="AF37" s="2422"/>
      <c r="AG37" s="2422"/>
      <c r="AH37" s="2422"/>
      <c r="AI37" s="2422"/>
      <c r="AJ37" s="2422"/>
      <c r="AK37" s="2422"/>
      <c r="AL37" s="9065" t="s">
        <v>437</v>
      </c>
      <c r="AM37" s="9065"/>
      <c r="AN37" s="9065"/>
      <c r="AO37" s="9065"/>
      <c r="AP37" s="9065"/>
      <c r="AQ37" s="9065"/>
      <c r="AR37" s="9065"/>
      <c r="AS37" s="9065"/>
      <c r="AT37" s="9065" t="s">
        <v>437</v>
      </c>
      <c r="AU37" s="9065"/>
      <c r="AV37" s="9065"/>
      <c r="AW37" s="9065"/>
      <c r="AX37" s="9065"/>
      <c r="AY37" s="9065"/>
      <c r="AZ37" s="9065"/>
      <c r="BA37" s="9065"/>
      <c r="BB37" s="9065" t="s">
        <v>437</v>
      </c>
      <c r="BC37" s="9065"/>
      <c r="BD37" s="9065"/>
      <c r="BE37" s="9065"/>
      <c r="BF37" s="9065"/>
      <c r="BG37" s="9065"/>
      <c r="BH37" s="9065"/>
      <c r="BI37" s="9065"/>
      <c r="BJ37" s="9065" t="s">
        <v>437</v>
      </c>
      <c r="BK37" s="9065"/>
      <c r="BL37" s="9065"/>
      <c r="BM37" s="9065"/>
      <c r="BN37" s="9065"/>
      <c r="BO37" s="9065"/>
      <c r="BP37" s="9065"/>
      <c r="BQ37" s="9065"/>
      <c r="BR37" s="9065" t="s">
        <v>437</v>
      </c>
      <c r="BS37" s="9065"/>
      <c r="BT37" s="9065"/>
      <c r="BU37" s="9065"/>
      <c r="BV37" s="9065"/>
      <c r="BW37" s="9065"/>
      <c r="BX37" s="9065"/>
      <c r="BY37" s="9065"/>
      <c r="BZ37" s="9065" t="s">
        <v>437</v>
      </c>
      <c r="CA37" s="9065"/>
      <c r="CB37" s="9065"/>
      <c r="CC37" s="9065"/>
      <c r="CD37" s="9065"/>
      <c r="CE37" s="9065"/>
      <c r="CF37" s="9065"/>
      <c r="CG37" s="9065"/>
      <c r="CH37" s="9065" t="s">
        <v>437</v>
      </c>
      <c r="CI37" s="9065"/>
      <c r="CJ37" s="9065"/>
      <c r="CK37" s="9065"/>
      <c r="CL37" s="9065"/>
      <c r="CM37" s="9065"/>
      <c r="CN37" s="9065"/>
      <c r="CO37" s="9065"/>
      <c r="CP37" s="9065" t="s">
        <v>437</v>
      </c>
      <c r="CQ37" s="9065"/>
      <c r="CR37" s="9065"/>
      <c r="CS37" s="9065"/>
      <c r="CT37" s="9065"/>
      <c r="CU37" s="9065"/>
      <c r="CV37" s="9065"/>
      <c r="CW37" s="9065"/>
      <c r="CX37" s="9065" t="s">
        <v>437</v>
      </c>
      <c r="CY37" s="9065"/>
      <c r="CZ37" s="9065"/>
      <c r="DA37" s="9065"/>
      <c r="DB37" s="9065"/>
      <c r="DC37" s="9065"/>
      <c r="DD37" s="9065"/>
      <c r="DE37" s="9065"/>
      <c r="DM37" s="1325">
        <v>14</v>
      </c>
    </row>
    <row customHeight="1" ht="15">
      <c r="Q38" s="546"/>
      <c r="R38" s="546"/>
      <c r="S38" s="2297" t="s">
        <v>312</v>
      </c>
      <c r="T38" s="2297"/>
      <c r="U38" s="2297"/>
      <c r="V38" s="2297"/>
      <c r="W38" s="2297"/>
      <c r="X38" s="2297"/>
      <c r="Y38" s="2297"/>
      <c r="Z38" s="2297"/>
      <c r="AA38" s="2297"/>
      <c r="AB38" s="2297"/>
      <c r="AC38" s="2297"/>
      <c r="AD38" s="2297"/>
      <c r="AE38" s="2297"/>
      <c r="AF38" s="2297"/>
      <c r="AG38" s="2297"/>
      <c r="AH38" s="2297"/>
      <c r="AI38" s="2297"/>
      <c r="AJ38" s="2297"/>
      <c r="AK38" s="2297"/>
      <c r="AL38" s="9066" t="s">
        <v>312</v>
      </c>
      <c r="AM38" s="9066"/>
      <c r="AN38" s="9066"/>
      <c r="AO38" s="9066"/>
      <c r="AP38" s="9066"/>
      <c r="AQ38" s="9066"/>
      <c r="AR38" s="9066"/>
      <c r="AS38" s="9066"/>
      <c r="AT38" s="9066" t="s">
        <v>312</v>
      </c>
      <c r="AU38" s="9066"/>
      <c r="AV38" s="9066"/>
      <c r="AW38" s="9066"/>
      <c r="AX38" s="9066"/>
      <c r="AY38" s="9066"/>
      <c r="AZ38" s="9066"/>
      <c r="BA38" s="9066"/>
      <c r="BB38" s="9066" t="s">
        <v>312</v>
      </c>
      <c r="BC38" s="9066"/>
      <c r="BD38" s="9066"/>
      <c r="BE38" s="9066"/>
      <c r="BF38" s="9066"/>
      <c r="BG38" s="9066"/>
      <c r="BH38" s="9066"/>
      <c r="BI38" s="9066"/>
      <c r="BJ38" s="9066" t="s">
        <v>312</v>
      </c>
      <c r="BK38" s="9066"/>
      <c r="BL38" s="9066"/>
      <c r="BM38" s="9066"/>
      <c r="BN38" s="9066"/>
      <c r="BO38" s="9066"/>
      <c r="BP38" s="9066"/>
      <c r="BQ38" s="9066"/>
      <c r="BR38" s="9066" t="s">
        <v>312</v>
      </c>
      <c r="BS38" s="9066"/>
      <c r="BT38" s="9066"/>
      <c r="BU38" s="9066"/>
      <c r="BV38" s="9066"/>
      <c r="BW38" s="9066"/>
      <c r="BX38" s="9066"/>
      <c r="BY38" s="9066"/>
      <c r="BZ38" s="9066" t="s">
        <v>312</v>
      </c>
      <c r="CA38" s="9066"/>
      <c r="CB38" s="9066"/>
      <c r="CC38" s="9066"/>
      <c r="CD38" s="9066"/>
      <c r="CE38" s="9066"/>
      <c r="CF38" s="9066"/>
      <c r="CG38" s="9066"/>
      <c r="CH38" s="9066" t="s">
        <v>312</v>
      </c>
      <c r="CI38" s="9066"/>
      <c r="CJ38" s="9066"/>
      <c r="CK38" s="9066"/>
      <c r="CL38" s="9066"/>
      <c r="CM38" s="9066"/>
      <c r="CN38" s="9066"/>
      <c r="CO38" s="9066"/>
      <c r="CP38" s="9066" t="s">
        <v>312</v>
      </c>
      <c r="CQ38" s="9066"/>
      <c r="CR38" s="9066"/>
      <c r="CS38" s="9066"/>
      <c r="CT38" s="9066"/>
      <c r="CU38" s="9066"/>
      <c r="CV38" s="9066"/>
      <c r="CW38" s="9066"/>
      <c r="CX38" s="9066" t="s">
        <v>312</v>
      </c>
      <c r="CY38" s="9066"/>
      <c r="CZ38" s="9066"/>
      <c r="DA38" s="9066"/>
      <c r="DB38" s="9066"/>
      <c r="DC38" s="9066"/>
      <c r="DD38" s="9066"/>
      <c r="DE38" s="9066"/>
      <c r="DF38" s="2297"/>
      <c r="DG38" s="2297"/>
      <c r="DM38" s="1325"/>
    </row>
    <row customHeight="1" ht="14.699999999999998">
      <c r="Q39" s="546"/>
      <c r="R39" s="546"/>
      <c r="S39" s="2443" t="s">
        <v>91</v>
      </c>
      <c r="T39" s="2379" t="s">
        <v>438</v>
      </c>
      <c r="U39" s="471"/>
      <c r="V39" s="2444" t="s">
        <v>439</v>
      </c>
      <c r="W39" s="2445"/>
      <c r="X39" s="2445"/>
      <c r="Y39" s="2445"/>
      <c r="Z39" s="2445"/>
      <c r="AA39" s="2445"/>
      <c r="AB39" s="2446"/>
      <c r="AC39" s="2447" t="s">
        <v>440</v>
      </c>
      <c r="AD39" s="2444" t="s">
        <v>439</v>
      </c>
      <c r="AE39" s="2445"/>
      <c r="AF39" s="2445"/>
      <c r="AG39" s="2445"/>
      <c r="AH39" s="2445"/>
      <c r="AI39" s="2445"/>
      <c r="AJ39" s="2446"/>
      <c r="AK39" s="2447" t="s">
        <v>441</v>
      </c>
      <c r="AL39" s="9073" t="s">
        <v>439</v>
      </c>
      <c r="AM39" s="9074"/>
      <c r="AN39" s="9074"/>
      <c r="AO39" s="9074"/>
      <c r="AP39" s="9074"/>
      <c r="AQ39" s="9074"/>
      <c r="AR39" s="9075"/>
      <c r="AS39" s="9076" t="s">
        <v>440</v>
      </c>
      <c r="AT39" s="9073" t="s">
        <v>439</v>
      </c>
      <c r="AU39" s="9074"/>
      <c r="AV39" s="9074"/>
      <c r="AW39" s="9074"/>
      <c r="AX39" s="9074"/>
      <c r="AY39" s="9074"/>
      <c r="AZ39" s="9075"/>
      <c r="BA39" s="9076" t="s">
        <v>440</v>
      </c>
      <c r="BB39" s="9073" t="s">
        <v>439</v>
      </c>
      <c r="BC39" s="9074"/>
      <c r="BD39" s="9074"/>
      <c r="BE39" s="9074"/>
      <c r="BF39" s="9074"/>
      <c r="BG39" s="9074"/>
      <c r="BH39" s="9075"/>
      <c r="BI39" s="9076" t="s">
        <v>440</v>
      </c>
      <c r="BJ39" s="9073" t="s">
        <v>439</v>
      </c>
      <c r="BK39" s="9074"/>
      <c r="BL39" s="9074"/>
      <c r="BM39" s="9074"/>
      <c r="BN39" s="9074"/>
      <c r="BO39" s="9074"/>
      <c r="BP39" s="9075"/>
      <c r="BQ39" s="9076" t="s">
        <v>440</v>
      </c>
      <c r="BR39" s="9073" t="s">
        <v>439</v>
      </c>
      <c r="BS39" s="9074"/>
      <c r="BT39" s="9074"/>
      <c r="BU39" s="9074"/>
      <c r="BV39" s="9074"/>
      <c r="BW39" s="9074"/>
      <c r="BX39" s="9075"/>
      <c r="BY39" s="9076" t="s">
        <v>440</v>
      </c>
      <c r="BZ39" s="9073" t="s">
        <v>439</v>
      </c>
      <c r="CA39" s="9074"/>
      <c r="CB39" s="9074"/>
      <c r="CC39" s="9074"/>
      <c r="CD39" s="9074"/>
      <c r="CE39" s="9074"/>
      <c r="CF39" s="9075"/>
      <c r="CG39" s="9076" t="s">
        <v>440</v>
      </c>
      <c r="CH39" s="9073" t="s">
        <v>439</v>
      </c>
      <c r="CI39" s="9074"/>
      <c r="CJ39" s="9074"/>
      <c r="CK39" s="9074"/>
      <c r="CL39" s="9074"/>
      <c r="CM39" s="9074"/>
      <c r="CN39" s="9075"/>
      <c r="CO39" s="9076" t="s">
        <v>440</v>
      </c>
      <c r="CP39" s="9073" t="s">
        <v>439</v>
      </c>
      <c r="CQ39" s="9074"/>
      <c r="CR39" s="9074"/>
      <c r="CS39" s="9074"/>
      <c r="CT39" s="9074"/>
      <c r="CU39" s="9074"/>
      <c r="CV39" s="9075"/>
      <c r="CW39" s="9076" t="s">
        <v>440</v>
      </c>
      <c r="CX39" s="9073" t="s">
        <v>439</v>
      </c>
      <c r="CY39" s="9074"/>
      <c r="CZ39" s="9074"/>
      <c r="DA39" s="9074"/>
      <c r="DB39" s="9074"/>
      <c r="DC39" s="9074"/>
      <c r="DD39" s="9075"/>
      <c r="DE39" s="9076" t="s">
        <v>440</v>
      </c>
      <c r="DF39" s="2450" t="s">
        <v>442</v>
      </c>
      <c r="DG39" s="2297"/>
      <c r="DM39" s="1325">
        <v>14</v>
      </c>
    </row>
    <row customHeight="1" ht="35.699999999999996">
      <c r="Q40" s="546"/>
      <c r="R40" s="546"/>
      <c r="S40" s="2443"/>
      <c r="T40" s="2379"/>
      <c r="U40" s="1201"/>
      <c r="V40" s="2430" t="s">
        <v>443</v>
      </c>
      <c r="W40" s="2453" t="s">
        <v>444</v>
      </c>
      <c r="X40" s="2432" t="s">
        <v>445</v>
      </c>
      <c r="Y40" s="2433"/>
      <c r="Z40" s="2432" t="s">
        <v>461</v>
      </c>
      <c r="AA40" s="2439"/>
      <c r="AB40" s="2433"/>
      <c r="AC40" s="2448"/>
      <c r="AD40" s="2430" t="s">
        <v>443</v>
      </c>
      <c r="AE40" s="2453" t="s">
        <v>444</v>
      </c>
      <c r="AF40" s="2432" t="s">
        <v>445</v>
      </c>
      <c r="AG40" s="2433"/>
      <c r="AH40" s="2432" t="s">
        <v>446</v>
      </c>
      <c r="AI40" s="2439"/>
      <c r="AJ40" s="2433"/>
      <c r="AK40" s="2448"/>
      <c r="AL40" s="9086" t="s">
        <v>443</v>
      </c>
      <c r="AM40" s="9087" t="s">
        <v>444</v>
      </c>
      <c r="AN40" s="9088" t="s">
        <v>445</v>
      </c>
      <c r="AO40" s="9089"/>
      <c r="AP40" s="9088" t="s">
        <v>461</v>
      </c>
      <c r="AQ40" s="9090"/>
      <c r="AR40" s="9089"/>
      <c r="AS40" s="9091"/>
      <c r="AT40" s="9086" t="s">
        <v>443</v>
      </c>
      <c r="AU40" s="9087" t="s">
        <v>444</v>
      </c>
      <c r="AV40" s="9088" t="s">
        <v>445</v>
      </c>
      <c r="AW40" s="9089"/>
      <c r="AX40" s="9088" t="s">
        <v>461</v>
      </c>
      <c r="AY40" s="9090"/>
      <c r="AZ40" s="9089"/>
      <c r="BA40" s="9091"/>
      <c r="BB40" s="9086" t="s">
        <v>443</v>
      </c>
      <c r="BC40" s="9087" t="s">
        <v>444</v>
      </c>
      <c r="BD40" s="9088" t="s">
        <v>445</v>
      </c>
      <c r="BE40" s="9089"/>
      <c r="BF40" s="9088" t="s">
        <v>461</v>
      </c>
      <c r="BG40" s="9090"/>
      <c r="BH40" s="9089"/>
      <c r="BI40" s="9091"/>
      <c r="BJ40" s="9086" t="s">
        <v>443</v>
      </c>
      <c r="BK40" s="9087" t="s">
        <v>444</v>
      </c>
      <c r="BL40" s="9088" t="s">
        <v>445</v>
      </c>
      <c r="BM40" s="9089"/>
      <c r="BN40" s="9088" t="s">
        <v>461</v>
      </c>
      <c r="BO40" s="9090"/>
      <c r="BP40" s="9089"/>
      <c r="BQ40" s="9091"/>
      <c r="BR40" s="9086" t="s">
        <v>443</v>
      </c>
      <c r="BS40" s="9087" t="s">
        <v>444</v>
      </c>
      <c r="BT40" s="9088" t="s">
        <v>445</v>
      </c>
      <c r="BU40" s="9089"/>
      <c r="BV40" s="9088" t="s">
        <v>461</v>
      </c>
      <c r="BW40" s="9090"/>
      <c r="BX40" s="9089"/>
      <c r="BY40" s="9091"/>
      <c r="BZ40" s="9086" t="s">
        <v>443</v>
      </c>
      <c r="CA40" s="9087" t="s">
        <v>444</v>
      </c>
      <c r="CB40" s="9088" t="s">
        <v>445</v>
      </c>
      <c r="CC40" s="9089"/>
      <c r="CD40" s="9088" t="s">
        <v>461</v>
      </c>
      <c r="CE40" s="9090"/>
      <c r="CF40" s="9089"/>
      <c r="CG40" s="9091"/>
      <c r="CH40" s="9086" t="s">
        <v>443</v>
      </c>
      <c r="CI40" s="9087" t="s">
        <v>444</v>
      </c>
      <c r="CJ40" s="9088" t="s">
        <v>445</v>
      </c>
      <c r="CK40" s="9089"/>
      <c r="CL40" s="9088" t="s">
        <v>461</v>
      </c>
      <c r="CM40" s="9090"/>
      <c r="CN40" s="9089"/>
      <c r="CO40" s="9091"/>
      <c r="CP40" s="9086" t="s">
        <v>443</v>
      </c>
      <c r="CQ40" s="9087" t="s">
        <v>444</v>
      </c>
      <c r="CR40" s="9088" t="s">
        <v>445</v>
      </c>
      <c r="CS40" s="9089"/>
      <c r="CT40" s="9088" t="s">
        <v>461</v>
      </c>
      <c r="CU40" s="9090"/>
      <c r="CV40" s="9089"/>
      <c r="CW40" s="9091"/>
      <c r="CX40" s="9086" t="s">
        <v>443</v>
      </c>
      <c r="CY40" s="9087" t="s">
        <v>444</v>
      </c>
      <c r="CZ40" s="9088" t="s">
        <v>445</v>
      </c>
      <c r="DA40" s="9089"/>
      <c r="DB40" s="9088" t="s">
        <v>461</v>
      </c>
      <c r="DC40" s="9090"/>
      <c r="DD40" s="9089"/>
      <c r="DE40" s="9091"/>
      <c r="DF40" s="2451"/>
      <c r="DG40" s="2297"/>
      <c r="DM40" s="1325">
        <v>34</v>
      </c>
    </row>
    <row customHeight="1" ht="35.699999999999996">
      <c r="A41" s="1540"/>
      <c r="B41" s="1540" t="s">
        <v>138</v>
      </c>
      <c r="C41" s="1540" t="s">
        <v>139</v>
      </c>
      <c r="D41" s="1540" t="s">
        <v>140</v>
      </c>
      <c r="E41" s="1534" t="s">
        <v>447</v>
      </c>
      <c r="F41" s="1534" t="s">
        <v>448</v>
      </c>
      <c r="G41" s="1534" t="s">
        <v>449</v>
      </c>
      <c r="H41" s="1534" t="s">
        <v>450</v>
      </c>
      <c r="I41" s="1534" t="s">
        <v>451</v>
      </c>
      <c r="J41" s="1534" t="s">
        <v>452</v>
      </c>
      <c r="K41" s="1534" t="s">
        <v>453</v>
      </c>
      <c r="L41" s="1534" t="s">
        <v>427</v>
      </c>
      <c r="Q41" s="546"/>
      <c r="R41" s="546"/>
      <c r="S41" s="2443"/>
      <c r="T41" s="2379"/>
      <c r="U41" s="472"/>
      <c r="V41" s="2431"/>
      <c r="W41" s="2454"/>
      <c r="X41" s="1392" t="s">
        <v>454</v>
      </c>
      <c r="Y41" s="1392" t="s">
        <v>455</v>
      </c>
      <c r="Z41" s="1508" t="s">
        <v>456</v>
      </c>
      <c r="AA41" s="2440" t="s">
        <v>457</v>
      </c>
      <c r="AB41" s="2441"/>
      <c r="AC41" s="2449"/>
      <c r="AD41" s="2431"/>
      <c r="AE41" s="2454"/>
      <c r="AF41" s="1392" t="s">
        <v>454</v>
      </c>
      <c r="AG41" s="1392" t="s">
        <v>455</v>
      </c>
      <c r="AH41" s="1508" t="s">
        <v>456</v>
      </c>
      <c r="AI41" s="2440" t="s">
        <v>457</v>
      </c>
      <c r="AJ41" s="2441"/>
      <c r="AK41" s="2449"/>
      <c r="AL41" s="9103"/>
      <c r="AM41" s="9104"/>
      <c r="AN41" s="9105" t="s">
        <v>454</v>
      </c>
      <c r="AO41" s="9105" t="s">
        <v>455</v>
      </c>
      <c r="AP41" s="9105" t="s">
        <v>456</v>
      </c>
      <c r="AQ41" s="9106" t="s">
        <v>457</v>
      </c>
      <c r="AR41" s="9107"/>
      <c r="AS41" s="9108"/>
      <c r="AT41" s="9103"/>
      <c r="AU41" s="9104"/>
      <c r="AV41" s="9105" t="s">
        <v>454</v>
      </c>
      <c r="AW41" s="9105" t="s">
        <v>455</v>
      </c>
      <c r="AX41" s="9105" t="s">
        <v>456</v>
      </c>
      <c r="AY41" s="9106" t="s">
        <v>457</v>
      </c>
      <c r="AZ41" s="9107"/>
      <c r="BA41" s="9108"/>
      <c r="BB41" s="9103"/>
      <c r="BC41" s="9104"/>
      <c r="BD41" s="9105" t="s">
        <v>454</v>
      </c>
      <c r="BE41" s="9105" t="s">
        <v>455</v>
      </c>
      <c r="BF41" s="9105" t="s">
        <v>456</v>
      </c>
      <c r="BG41" s="9106" t="s">
        <v>457</v>
      </c>
      <c r="BH41" s="9107"/>
      <c r="BI41" s="9108"/>
      <c r="BJ41" s="9103"/>
      <c r="BK41" s="9104"/>
      <c r="BL41" s="9105" t="s">
        <v>454</v>
      </c>
      <c r="BM41" s="9105" t="s">
        <v>455</v>
      </c>
      <c r="BN41" s="9105" t="s">
        <v>456</v>
      </c>
      <c r="BO41" s="9106" t="s">
        <v>457</v>
      </c>
      <c r="BP41" s="9107"/>
      <c r="BQ41" s="9108"/>
      <c r="BR41" s="9103"/>
      <c r="BS41" s="9104"/>
      <c r="BT41" s="9105" t="s">
        <v>454</v>
      </c>
      <c r="BU41" s="9105" t="s">
        <v>455</v>
      </c>
      <c r="BV41" s="9105" t="s">
        <v>456</v>
      </c>
      <c r="BW41" s="9106" t="s">
        <v>457</v>
      </c>
      <c r="BX41" s="9107"/>
      <c r="BY41" s="9108"/>
      <c r="BZ41" s="9103"/>
      <c r="CA41" s="9104"/>
      <c r="CB41" s="9105" t="s">
        <v>454</v>
      </c>
      <c r="CC41" s="9105" t="s">
        <v>455</v>
      </c>
      <c r="CD41" s="9105" t="s">
        <v>456</v>
      </c>
      <c r="CE41" s="9106" t="s">
        <v>457</v>
      </c>
      <c r="CF41" s="9107"/>
      <c r="CG41" s="9108"/>
      <c r="CH41" s="9103"/>
      <c r="CI41" s="9104"/>
      <c r="CJ41" s="9105" t="s">
        <v>454</v>
      </c>
      <c r="CK41" s="9105" t="s">
        <v>455</v>
      </c>
      <c r="CL41" s="9105" t="s">
        <v>456</v>
      </c>
      <c r="CM41" s="9106" t="s">
        <v>457</v>
      </c>
      <c r="CN41" s="9107"/>
      <c r="CO41" s="9108"/>
      <c r="CP41" s="9103"/>
      <c r="CQ41" s="9104"/>
      <c r="CR41" s="9105" t="s">
        <v>454</v>
      </c>
      <c r="CS41" s="9105" t="s">
        <v>455</v>
      </c>
      <c r="CT41" s="9105" t="s">
        <v>456</v>
      </c>
      <c r="CU41" s="9106" t="s">
        <v>457</v>
      </c>
      <c r="CV41" s="9107"/>
      <c r="CW41" s="9108"/>
      <c r="CX41" s="9103"/>
      <c r="CY41" s="9104"/>
      <c r="CZ41" s="9105" t="s">
        <v>454</v>
      </c>
      <c r="DA41" s="9105" t="s">
        <v>455</v>
      </c>
      <c r="DB41" s="9105" t="s">
        <v>456</v>
      </c>
      <c r="DC41" s="9106" t="s">
        <v>457</v>
      </c>
      <c r="DD41" s="9107"/>
      <c r="DE41" s="9108"/>
      <c r="DF41" s="2452"/>
      <c r="DG41" s="2297"/>
      <c r="DM41" s="1325">
        <v>34</v>
      </c>
    </row>
    <row s="12668" customFormat="1" customHeight="1" ht="11.25" hidden="1">
      <c r="A42" s="1540"/>
      <c r="B42" s="1540"/>
      <c r="C42" s="1540"/>
      <c r="D42" s="1540"/>
      <c r="E42" s="1540"/>
      <c r="F42" s="1540"/>
      <c r="G42" s="1540"/>
      <c r="H42" s="1540"/>
      <c r="I42" s="1540"/>
      <c r="J42" s="1540"/>
      <c r="K42" s="1540"/>
      <c r="L42" s="1534"/>
      <c r="M42" s="1532"/>
      <c r="N42" s="1532"/>
      <c r="O42" s="1532"/>
      <c r="P42" s="1416"/>
      <c r="Q42" s="1417"/>
      <c r="R42" s="1424">
        <v>1</v>
      </c>
      <c r="S42" s="1447" t="s">
        <v>112</v>
      </c>
      <c r="T42" s="1425" t="s">
        <v>113</v>
      </c>
      <c r="U42" s="1415" t="str">
        <f>OFFSET(U42,0,-1)</f>
        <v>2</v>
      </c>
      <c r="V42" s="1505">
        <f>OFFSET(V42,0,-1)+1</f>
        <v>3</v>
      </c>
      <c r="W42" s="1505"/>
      <c r="X42" s="1505">
        <f>OFFSET(X42,0,-1)+1</f>
        <v>1</v>
      </c>
      <c r="Y42" s="1505">
        <f>OFFSET(Y42,0,-1)+1</f>
        <v>2</v>
      </c>
      <c r="Z42" s="1505">
        <f>OFFSET(Z42,0,-1)+1</f>
        <v>3</v>
      </c>
      <c r="AA42" s="2442">
        <f>OFFSET(AA42,0,-1)+1</f>
        <v>4</v>
      </c>
      <c r="AB42" s="2442"/>
      <c r="AC42" s="1505">
        <f>OFFSET(AC42,0,-2)+1</f>
        <v>5</v>
      </c>
      <c r="AD42" s="1505">
        <f>OFFSET(AD42,0,-1)+1</f>
        <v>6</v>
      </c>
      <c r="AE42" s="1505"/>
      <c r="AF42" s="1505">
        <f>OFFSET(AF42,0,-1)+1</f>
        <v>1</v>
      </c>
      <c r="AG42" s="1505">
        <f>OFFSET(AG42,0,-1)+1</f>
        <v>2</v>
      </c>
      <c r="AH42" s="1505">
        <f>OFFSET(AH42,0,-1)+1</f>
        <v>3</v>
      </c>
      <c r="AI42" s="2442">
        <f>OFFSET(AI42,0,-1)+1</f>
        <v>4</v>
      </c>
      <c r="AJ42" s="2442"/>
      <c r="AK42" s="1505">
        <f>OFFSET(AK42,0,-2)+1</f>
        <v>5</v>
      </c>
      <c r="AL42" s="9119">
        <f>OFFSET(AL42,0,-1)+1</f>
        <v>6</v>
      </c>
      <c r="AM42" s="9119"/>
      <c r="AN42" s="9119">
        <f>OFFSET(AN42,0,-1)+1</f>
        <v>1</v>
      </c>
      <c r="AO42" s="9119">
        <f>OFFSET(AO42,0,-1)+1</f>
        <v>2</v>
      </c>
      <c r="AP42" s="9119">
        <f>OFFSET(AP42,0,-1)+1</f>
        <v>3</v>
      </c>
      <c r="AQ42" s="9119">
        <f>OFFSET(AQ42,0,-1)+1</f>
        <v>4</v>
      </c>
      <c r="AR42" s="9119"/>
      <c r="AS42" s="9119">
        <f>OFFSET(AS42,0,-2)+1</f>
        <v>5</v>
      </c>
      <c r="AT42" s="9119">
        <f>OFFSET(AT42,0,-1)+1</f>
        <v>6</v>
      </c>
      <c r="AU42" s="9119"/>
      <c r="AV42" s="9119">
        <f>OFFSET(AV42,0,-1)+1</f>
        <v>1</v>
      </c>
      <c r="AW42" s="9119">
        <f>OFFSET(AW42,0,-1)+1</f>
        <v>2</v>
      </c>
      <c r="AX42" s="9119">
        <f>OFFSET(AX42,0,-1)+1</f>
        <v>3</v>
      </c>
      <c r="AY42" s="9119">
        <f>OFFSET(AY42,0,-1)+1</f>
        <v>4</v>
      </c>
      <c r="AZ42" s="9119"/>
      <c r="BA42" s="9119">
        <f>OFFSET(BA42,0,-2)+1</f>
        <v>5</v>
      </c>
      <c r="BB42" s="9119">
        <f>OFFSET(BB42,0,-1)+1</f>
        <v>6</v>
      </c>
      <c r="BC42" s="9119"/>
      <c r="BD42" s="9119">
        <f>OFFSET(BD42,0,-1)+1</f>
        <v>1</v>
      </c>
      <c r="BE42" s="9119">
        <f>OFFSET(BE42,0,-1)+1</f>
        <v>2</v>
      </c>
      <c r="BF42" s="9119">
        <f>OFFSET(BF42,0,-1)+1</f>
        <v>3</v>
      </c>
      <c r="BG42" s="9119">
        <f>OFFSET(BG42,0,-1)+1</f>
        <v>4</v>
      </c>
      <c r="BH42" s="9119"/>
      <c r="BI42" s="9119">
        <f>OFFSET(BI42,0,-2)+1</f>
        <v>5</v>
      </c>
      <c r="BJ42" s="9119">
        <f>OFFSET(BJ42,0,-1)+1</f>
        <v>6</v>
      </c>
      <c r="BK42" s="9119"/>
      <c r="BL42" s="9119">
        <f>OFFSET(BL42,0,-1)+1</f>
        <v>1</v>
      </c>
      <c r="BM42" s="9119">
        <f>OFFSET(BM42,0,-1)+1</f>
        <v>2</v>
      </c>
      <c r="BN42" s="9119">
        <f>OFFSET(BN42,0,-1)+1</f>
        <v>3</v>
      </c>
      <c r="BO42" s="9119">
        <f>OFFSET(BO42,0,-1)+1</f>
        <v>4</v>
      </c>
      <c r="BP42" s="9119"/>
      <c r="BQ42" s="9119">
        <f>OFFSET(BQ42,0,-2)+1</f>
        <v>5</v>
      </c>
      <c r="BR42" s="9119">
        <f>OFFSET(BR42,0,-1)+1</f>
        <v>6</v>
      </c>
      <c r="BS42" s="9119"/>
      <c r="BT42" s="9119">
        <f>OFFSET(BT42,0,-1)+1</f>
        <v>1</v>
      </c>
      <c r="BU42" s="9119">
        <f>OFFSET(BU42,0,-1)+1</f>
        <v>2</v>
      </c>
      <c r="BV42" s="9119">
        <f>OFFSET(BV42,0,-1)+1</f>
        <v>3</v>
      </c>
      <c r="BW42" s="9119">
        <f>OFFSET(BW42,0,-1)+1</f>
        <v>4</v>
      </c>
      <c r="BX42" s="9119"/>
      <c r="BY42" s="9119">
        <f>OFFSET(BY42,0,-2)+1</f>
        <v>5</v>
      </c>
      <c r="BZ42" s="9119">
        <f>OFFSET(BZ42,0,-1)+1</f>
        <v>6</v>
      </c>
      <c r="CA42" s="9119"/>
      <c r="CB42" s="9119">
        <f>OFFSET(CB42,0,-1)+1</f>
        <v>1</v>
      </c>
      <c r="CC42" s="9119">
        <f>OFFSET(CC42,0,-1)+1</f>
        <v>2</v>
      </c>
      <c r="CD42" s="9119">
        <f>OFFSET(CD42,0,-1)+1</f>
        <v>3</v>
      </c>
      <c r="CE42" s="9119">
        <f>OFFSET(CE42,0,-1)+1</f>
        <v>4</v>
      </c>
      <c r="CF42" s="9119"/>
      <c r="CG42" s="9119">
        <f>OFFSET(CG42,0,-2)+1</f>
        <v>5</v>
      </c>
      <c r="CH42" s="9119">
        <f>OFFSET(CH42,0,-1)+1</f>
        <v>6</v>
      </c>
      <c r="CI42" s="9119"/>
      <c r="CJ42" s="9119">
        <f>OFFSET(CJ42,0,-1)+1</f>
        <v>1</v>
      </c>
      <c r="CK42" s="9119">
        <f>OFFSET(CK42,0,-1)+1</f>
        <v>2</v>
      </c>
      <c r="CL42" s="9119">
        <f>OFFSET(CL42,0,-1)+1</f>
        <v>3</v>
      </c>
      <c r="CM42" s="9119">
        <f>OFFSET(CM42,0,-1)+1</f>
        <v>4</v>
      </c>
      <c r="CN42" s="9119"/>
      <c r="CO42" s="9119">
        <f>OFFSET(CO42,0,-2)+1</f>
        <v>5</v>
      </c>
      <c r="CP42" s="9119">
        <f>OFFSET(CP42,0,-1)+1</f>
        <v>6</v>
      </c>
      <c r="CQ42" s="9119"/>
      <c r="CR42" s="9119">
        <f>OFFSET(CR42,0,-1)+1</f>
        <v>1</v>
      </c>
      <c r="CS42" s="9119">
        <f>OFFSET(CS42,0,-1)+1</f>
        <v>2</v>
      </c>
      <c r="CT42" s="9119">
        <f>OFFSET(CT42,0,-1)+1</f>
        <v>3</v>
      </c>
      <c r="CU42" s="9119">
        <f>OFFSET(CU42,0,-1)+1</f>
        <v>4</v>
      </c>
      <c r="CV42" s="9119"/>
      <c r="CW42" s="9119">
        <f>OFFSET(CW42,0,-2)+1</f>
        <v>5</v>
      </c>
      <c r="CX42" s="9119">
        <f>OFFSET(CX42,0,-1)+1</f>
        <v>6</v>
      </c>
      <c r="CY42" s="9119"/>
      <c r="CZ42" s="9119">
        <f>OFFSET(CZ42,0,-1)+1</f>
        <v>1</v>
      </c>
      <c r="DA42" s="9119">
        <f>OFFSET(DA42,0,-1)+1</f>
        <v>2</v>
      </c>
      <c r="DB42" s="9119">
        <f>OFFSET(DB42,0,-1)+1</f>
        <v>3</v>
      </c>
      <c r="DC42" s="9119">
        <f>OFFSET(DC42,0,-1)+1</f>
        <v>4</v>
      </c>
      <c r="DD42" s="9119"/>
      <c r="DE42" s="9119">
        <f>OFFSET(DE42,0,-2)+1</f>
        <v>5</v>
      </c>
      <c r="DF42" s="1415">
        <f>OFFSET(DF42,0,-1)</f>
        <v>5</v>
      </c>
      <c r="DG42" s="1505">
        <f>OFFSET(DG42,0,-1)+1</f>
        <v>6</v>
      </c>
      <c r="DH42" s="681"/>
      <c r="DI42" s="681"/>
      <c r="DJ42" s="681"/>
      <c r="DK42" s="681"/>
      <c r="DL42" s="681"/>
      <c r="DM42" s="666">
        <v>0</v>
      </c>
    </row>
    <row customHeight="1" ht="22.049999999999997">
      <c r="A43" s="1533" t="s">
        <v>173</v>
      </c>
      <c r="B43" s="1533"/>
      <c r="C43" s="1533"/>
      <c r="D43" s="1533"/>
      <c r="E43" s="2428">
        <v>1</v>
      </c>
      <c r="F43" s="1533"/>
      <c r="G43" s="1533"/>
      <c r="H43" s="1533"/>
      <c r="I43" s="1533"/>
      <c r="J43" s="1533"/>
      <c r="K43" s="1533"/>
      <c r="L43" s="1534"/>
      <c r="M43" s="1535"/>
      <c r="N43" s="1535"/>
      <c r="O43" s="1535"/>
      <c r="P43" s="531"/>
      <c r="Q43" s="530"/>
      <c r="R43" s="525"/>
      <c r="S43" s="1506">
        <f>INDEX(PT_DIFFERENTIATION_NUM_NTAR,MATCH(A43,PT_DIFFERENTIATION_NTAR_ID,0))</f>
        <v>1</v>
      </c>
      <c r="T43" s="468" t="s">
        <v>126</v>
      </c>
      <c r="U43" s="470"/>
      <c r="V43" s="2412"/>
      <c r="W43" s="2413"/>
      <c r="X43" s="2413"/>
      <c r="Y43" s="2413"/>
      <c r="Z43" s="2413"/>
      <c r="AA43" s="2413"/>
      <c r="AB43" s="2413"/>
      <c r="AC43" s="2414"/>
      <c r="AD43" s="2412" t="str">
        <f>INDEX(PT_DIFFERENTIATION_NTAR,MATCH(A43,PT_DIFFERENTIATION_NTAR_ID,0))</f>
        <v>Тариф на тепловую энергию (мощность) поставляемую потребителям</v>
      </c>
      <c r="AE43" s="2413"/>
      <c r="AF43" s="2413"/>
      <c r="AG43" s="2413"/>
      <c r="AH43" s="2413"/>
      <c r="AI43" s="2413"/>
      <c r="AJ43" s="2413"/>
      <c r="AK43" s="2413"/>
      <c r="AL43" s="8738"/>
      <c r="AM43" s="8739"/>
      <c r="AN43" s="8739"/>
      <c r="AO43" s="8739"/>
      <c r="AP43" s="8739"/>
      <c r="AQ43" s="8739"/>
      <c r="AR43" s="8739"/>
      <c r="AS43" s="8740"/>
      <c r="AT43" s="8738"/>
      <c r="AU43" s="8739"/>
      <c r="AV43" s="8739"/>
      <c r="AW43" s="8739"/>
      <c r="AX43" s="8739"/>
      <c r="AY43" s="8739"/>
      <c r="AZ43" s="8739"/>
      <c r="BA43" s="8740"/>
      <c r="BB43" s="8738"/>
      <c r="BC43" s="8739"/>
      <c r="BD43" s="8739"/>
      <c r="BE43" s="8739"/>
      <c r="BF43" s="8739"/>
      <c r="BG43" s="8739"/>
      <c r="BH43" s="8739"/>
      <c r="BI43" s="8740"/>
      <c r="BJ43" s="8738"/>
      <c r="BK43" s="8739"/>
      <c r="BL43" s="8739"/>
      <c r="BM43" s="8739"/>
      <c r="BN43" s="8739"/>
      <c r="BO43" s="8739"/>
      <c r="BP43" s="8739"/>
      <c r="BQ43" s="8740"/>
      <c r="BR43" s="8738"/>
      <c r="BS43" s="8739"/>
      <c r="BT43" s="8739"/>
      <c r="BU43" s="8739"/>
      <c r="BV43" s="8739"/>
      <c r="BW43" s="8739"/>
      <c r="BX43" s="8739"/>
      <c r="BY43" s="8740"/>
      <c r="BZ43" s="8738"/>
      <c r="CA43" s="8739"/>
      <c r="CB43" s="8739"/>
      <c r="CC43" s="8739"/>
      <c r="CD43" s="8739"/>
      <c r="CE43" s="8739"/>
      <c r="CF43" s="8739"/>
      <c r="CG43" s="8740"/>
      <c r="CH43" s="8738"/>
      <c r="CI43" s="8739"/>
      <c r="CJ43" s="8739"/>
      <c r="CK43" s="8739"/>
      <c r="CL43" s="8739"/>
      <c r="CM43" s="8739"/>
      <c r="CN43" s="8739"/>
      <c r="CO43" s="8740"/>
      <c r="CP43" s="8738"/>
      <c r="CQ43" s="8739"/>
      <c r="CR43" s="8739"/>
      <c r="CS43" s="8739"/>
      <c r="CT43" s="8739"/>
      <c r="CU43" s="8739"/>
      <c r="CV43" s="8739"/>
      <c r="CW43" s="8740"/>
      <c r="CX43" s="8738"/>
      <c r="CY43" s="8739"/>
      <c r="CZ43" s="8739"/>
      <c r="DA43" s="8739"/>
      <c r="DB43" s="8739"/>
      <c r="DC43" s="8739"/>
      <c r="DD43" s="8739"/>
      <c r="DE43" s="8740"/>
      <c r="DF43" s="2414"/>
      <c r="DG43" s="142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670"/>
      <c r="DJ43" s="670" t="str">
        <f>IF(T43="","",T43)</f>
        <v>Наименование тарифа</v>
      </c>
      <c r="DK43" s="670"/>
      <c r="DL43" s="670"/>
      <c r="DM43" s="1325">
        <v>21</v>
      </c>
    </row>
    <row customHeight="1" ht="22.049999999999997">
      <c r="A44" s="1533" t="s">
        <v>173</v>
      </c>
      <c r="B44" s="1533" t="s">
        <v>174</v>
      </c>
      <c r="C44" s="1533"/>
      <c r="D44" s="1533"/>
      <c r="E44" s="2429"/>
      <c r="F44" s="2428">
        <v>1</v>
      </c>
      <c r="G44" s="1533"/>
      <c r="H44" s="1533"/>
      <c r="I44" s="1533"/>
      <c r="J44" s="1533"/>
      <c r="K44" s="1533"/>
      <c r="L44" s="1534"/>
      <c r="M44" s="1535"/>
      <c r="N44" s="1535"/>
      <c r="O44" s="1535"/>
      <c r="P44" s="1502"/>
      <c r="Q44" s="522"/>
      <c r="R44" s="523"/>
      <c r="S44" s="1506" t="str">
        <f>INDEX(PT_DIFFERENTIATION_NUM_TER,MATCH(B44,PT_DIFFERENTIATION_TER_ID,0))</f>
        <v>1.1</v>
      </c>
      <c r="T44" s="478" t="s">
        <v>409</v>
      </c>
      <c r="U44" s="470"/>
      <c r="V44" s="2412"/>
      <c r="W44" s="2413"/>
      <c r="X44" s="2413"/>
      <c r="Y44" s="2413"/>
      <c r="Z44" s="2413"/>
      <c r="AA44" s="2413"/>
      <c r="AB44" s="2413"/>
      <c r="AC44" s="2414"/>
      <c r="AD44" s="2412" t="str">
        <f>INDEX(PT_DIFFERENTIATION_TER,MATCH(B44,PT_DIFFERENTIATION_TER_ID,0))</f>
        <v>Территория 1</v>
      </c>
      <c r="AE44" s="2413"/>
      <c r="AF44" s="2413"/>
      <c r="AG44" s="2413"/>
      <c r="AH44" s="2413"/>
      <c r="AI44" s="2413"/>
      <c r="AJ44" s="2413"/>
      <c r="AK44" s="2413"/>
      <c r="AL44" s="8738"/>
      <c r="AM44" s="8739"/>
      <c r="AN44" s="8739"/>
      <c r="AO44" s="8739"/>
      <c r="AP44" s="8739"/>
      <c r="AQ44" s="8739"/>
      <c r="AR44" s="8739"/>
      <c r="AS44" s="8740"/>
      <c r="AT44" s="8738"/>
      <c r="AU44" s="8739"/>
      <c r="AV44" s="8739"/>
      <c r="AW44" s="8739"/>
      <c r="AX44" s="8739"/>
      <c r="AY44" s="8739"/>
      <c r="AZ44" s="8739"/>
      <c r="BA44" s="8740"/>
      <c r="BB44" s="8738"/>
      <c r="BC44" s="8739"/>
      <c r="BD44" s="8739"/>
      <c r="BE44" s="8739"/>
      <c r="BF44" s="8739"/>
      <c r="BG44" s="8739"/>
      <c r="BH44" s="8739"/>
      <c r="BI44" s="8740"/>
      <c r="BJ44" s="8738"/>
      <c r="BK44" s="8739"/>
      <c r="BL44" s="8739"/>
      <c r="BM44" s="8739"/>
      <c r="BN44" s="8739"/>
      <c r="BO44" s="8739"/>
      <c r="BP44" s="8739"/>
      <c r="BQ44" s="8740"/>
      <c r="BR44" s="8738"/>
      <c r="BS44" s="8739"/>
      <c r="BT44" s="8739"/>
      <c r="BU44" s="8739"/>
      <c r="BV44" s="8739"/>
      <c r="BW44" s="8739"/>
      <c r="BX44" s="8739"/>
      <c r="BY44" s="8740"/>
      <c r="BZ44" s="8738"/>
      <c r="CA44" s="8739"/>
      <c r="CB44" s="8739"/>
      <c r="CC44" s="8739"/>
      <c r="CD44" s="8739"/>
      <c r="CE44" s="8739"/>
      <c r="CF44" s="8739"/>
      <c r="CG44" s="8740"/>
      <c r="CH44" s="8738"/>
      <c r="CI44" s="8739"/>
      <c r="CJ44" s="8739"/>
      <c r="CK44" s="8739"/>
      <c r="CL44" s="8739"/>
      <c r="CM44" s="8739"/>
      <c r="CN44" s="8739"/>
      <c r="CO44" s="8740"/>
      <c r="CP44" s="8738"/>
      <c r="CQ44" s="8739"/>
      <c r="CR44" s="8739"/>
      <c r="CS44" s="8739"/>
      <c r="CT44" s="8739"/>
      <c r="CU44" s="8739"/>
      <c r="CV44" s="8739"/>
      <c r="CW44" s="8740"/>
      <c r="CX44" s="8738"/>
      <c r="CY44" s="8739"/>
      <c r="CZ44" s="8739"/>
      <c r="DA44" s="8739"/>
      <c r="DB44" s="8739"/>
      <c r="DC44" s="8739"/>
      <c r="DD44" s="8739"/>
      <c r="DE44" s="8740"/>
      <c r="DF44" s="2414"/>
      <c r="DG44" s="1428" t="s">
        <v>410</v>
      </c>
      <c r="DI44" s="670"/>
      <c r="DJ44" s="670" t="str">
        <f>IF(T44="","",T44)</f>
        <v>Территория действия тарифа</v>
      </c>
      <c r="DK44" s="670"/>
      <c r="DL44" s="670"/>
      <c r="DM44" s="1325">
        <v>21</v>
      </c>
    </row>
    <row customHeight="1" ht="24">
      <c r="A45" s="1533" t="s">
        <v>173</v>
      </c>
      <c r="B45" s="1533" t="s">
        <v>174</v>
      </c>
      <c r="C45" s="1533" t="s">
        <v>175</v>
      </c>
      <c r="D45" s="1533"/>
      <c r="E45" s="2429"/>
      <c r="F45" s="2429"/>
      <c r="G45" s="2428">
        <v>1</v>
      </c>
      <c r="H45" s="1533"/>
      <c r="I45" s="1533"/>
      <c r="J45" s="1533"/>
      <c r="K45" s="1533"/>
      <c r="L45" s="1534"/>
      <c r="M45" s="1535"/>
      <c r="N45" s="1535"/>
      <c r="O45" s="1535"/>
      <c r="P45" s="524"/>
      <c r="Q45" s="522"/>
      <c r="R45" s="523"/>
      <c r="S45" s="1506" t="str">
        <f>INDEX(PT_DIFFERENTIATION_NUM_CS,MATCH(C45,PT_DIFFERENTIATION_CS_ID,0))</f>
        <v>1.1.1</v>
      </c>
      <c r="T45" s="479" t="s">
        <v>411</v>
      </c>
      <c r="U45" s="470"/>
      <c r="V45" s="2412"/>
      <c r="W45" s="2413"/>
      <c r="X45" s="2413"/>
      <c r="Y45" s="2413"/>
      <c r="Z45" s="2413"/>
      <c r="AA45" s="2413"/>
      <c r="AB45" s="2413"/>
      <c r="AC45" s="2414"/>
      <c r="AD45" s="2412" t="str">
        <f>INDEX(PT_DIFFERENTIATION_CS,MATCH(C45,PT_DIFFERENTIATION_CS_ID,0))</f>
        <v>без дифференциации</v>
      </c>
      <c r="AE45" s="2413"/>
      <c r="AF45" s="2413"/>
      <c r="AG45" s="2413"/>
      <c r="AH45" s="2413"/>
      <c r="AI45" s="2413"/>
      <c r="AJ45" s="2413"/>
      <c r="AK45" s="2413"/>
      <c r="AL45" s="8738"/>
      <c r="AM45" s="8739"/>
      <c r="AN45" s="8739"/>
      <c r="AO45" s="8739"/>
      <c r="AP45" s="8739"/>
      <c r="AQ45" s="8739"/>
      <c r="AR45" s="8739"/>
      <c r="AS45" s="8740"/>
      <c r="AT45" s="8738"/>
      <c r="AU45" s="8739"/>
      <c r="AV45" s="8739"/>
      <c r="AW45" s="8739"/>
      <c r="AX45" s="8739"/>
      <c r="AY45" s="8739"/>
      <c r="AZ45" s="8739"/>
      <c r="BA45" s="8740"/>
      <c r="BB45" s="8738"/>
      <c r="BC45" s="8739"/>
      <c r="BD45" s="8739"/>
      <c r="BE45" s="8739"/>
      <c r="BF45" s="8739"/>
      <c r="BG45" s="8739"/>
      <c r="BH45" s="8739"/>
      <c r="BI45" s="8740"/>
      <c r="BJ45" s="8738"/>
      <c r="BK45" s="8739"/>
      <c r="BL45" s="8739"/>
      <c r="BM45" s="8739"/>
      <c r="BN45" s="8739"/>
      <c r="BO45" s="8739"/>
      <c r="BP45" s="8739"/>
      <c r="BQ45" s="8740"/>
      <c r="BR45" s="8738"/>
      <c r="BS45" s="8739"/>
      <c r="BT45" s="8739"/>
      <c r="BU45" s="8739"/>
      <c r="BV45" s="8739"/>
      <c r="BW45" s="8739"/>
      <c r="BX45" s="8739"/>
      <c r="BY45" s="8740"/>
      <c r="BZ45" s="8738"/>
      <c r="CA45" s="8739"/>
      <c r="CB45" s="8739"/>
      <c r="CC45" s="8739"/>
      <c r="CD45" s="8739"/>
      <c r="CE45" s="8739"/>
      <c r="CF45" s="8739"/>
      <c r="CG45" s="8740"/>
      <c r="CH45" s="8738"/>
      <c r="CI45" s="8739"/>
      <c r="CJ45" s="8739"/>
      <c r="CK45" s="8739"/>
      <c r="CL45" s="8739"/>
      <c r="CM45" s="8739"/>
      <c r="CN45" s="8739"/>
      <c r="CO45" s="8740"/>
      <c r="CP45" s="8738"/>
      <c r="CQ45" s="8739"/>
      <c r="CR45" s="8739"/>
      <c r="CS45" s="8739"/>
      <c r="CT45" s="8739"/>
      <c r="CU45" s="8739"/>
      <c r="CV45" s="8739"/>
      <c r="CW45" s="8740"/>
      <c r="CX45" s="8738"/>
      <c r="CY45" s="8739"/>
      <c r="CZ45" s="8739"/>
      <c r="DA45" s="8739"/>
      <c r="DB45" s="8739"/>
      <c r="DC45" s="8739"/>
      <c r="DD45" s="8739"/>
      <c r="DE45" s="8740"/>
      <c r="DF45" s="2414"/>
      <c r="DG45" s="1428" t="s">
        <v>412</v>
      </c>
      <c r="DI45" s="670"/>
      <c r="DJ45" s="670" t="str">
        <f>IF(T45="","",T45)</f>
        <v>Наименование системы теплоснабжения </v>
      </c>
      <c r="DK45" s="670"/>
      <c r="DL45" s="670"/>
      <c r="DM45" s="1325">
        <v>23</v>
      </c>
    </row>
    <row customHeight="1" ht="22.049999999999997">
      <c r="A46" s="1533" t="s">
        <v>173</v>
      </c>
      <c r="B46" s="1533" t="s">
        <v>174</v>
      </c>
      <c r="C46" s="1533" t="s">
        <v>175</v>
      </c>
      <c r="D46" s="1533" t="s">
        <v>176</v>
      </c>
      <c r="E46" s="2429"/>
      <c r="F46" s="2429"/>
      <c r="G46" s="2429"/>
      <c r="H46" s="2428">
        <v>1</v>
      </c>
      <c r="I46" s="1533"/>
      <c r="J46" s="1533"/>
      <c r="K46" s="1533"/>
      <c r="L46" s="1534"/>
      <c r="M46" s="1535"/>
      <c r="N46" s="1535"/>
      <c r="O46" s="1535"/>
      <c r="P46" s="524"/>
      <c r="Q46" s="522"/>
      <c r="R46" s="523"/>
      <c r="S46" s="1506" t="str">
        <f>INDEX(PT_DIFFERENTIATION_NUM_IST_TE,MATCH(D46,PT_DIFFERENTIATION_IST_TE_ID,0))</f>
        <v>1.1.1.1</v>
      </c>
      <c r="T46" s="480" t="s">
        <v>413</v>
      </c>
      <c r="U46" s="470"/>
      <c r="V46" s="2412"/>
      <c r="W46" s="2413"/>
      <c r="X46" s="2413"/>
      <c r="Y46" s="2413"/>
      <c r="Z46" s="2413"/>
      <c r="AA46" s="2413"/>
      <c r="AB46" s="2413"/>
      <c r="AC46" s="2414"/>
      <c r="AD46" s="2412" t="str">
        <f>INDEX(PT_DIFFERENTIATION_IST_TE,MATCH(D46,PT_DIFFERENTIATION_IST_TE_ID,0))</f>
        <v>без дифференциации</v>
      </c>
      <c r="AE46" s="2413"/>
      <c r="AF46" s="2413"/>
      <c r="AG46" s="2413"/>
      <c r="AH46" s="2413"/>
      <c r="AI46" s="2413"/>
      <c r="AJ46" s="2413"/>
      <c r="AK46" s="2413"/>
      <c r="AL46" s="8738"/>
      <c r="AM46" s="8739"/>
      <c r="AN46" s="8739"/>
      <c r="AO46" s="8739"/>
      <c r="AP46" s="8739"/>
      <c r="AQ46" s="8739"/>
      <c r="AR46" s="8739"/>
      <c r="AS46" s="8740"/>
      <c r="AT46" s="8738"/>
      <c r="AU46" s="8739"/>
      <c r="AV46" s="8739"/>
      <c r="AW46" s="8739"/>
      <c r="AX46" s="8739"/>
      <c r="AY46" s="8739"/>
      <c r="AZ46" s="8739"/>
      <c r="BA46" s="8740"/>
      <c r="BB46" s="8738"/>
      <c r="BC46" s="8739"/>
      <c r="BD46" s="8739"/>
      <c r="BE46" s="8739"/>
      <c r="BF46" s="8739"/>
      <c r="BG46" s="8739"/>
      <c r="BH46" s="8739"/>
      <c r="BI46" s="8740"/>
      <c r="BJ46" s="8738"/>
      <c r="BK46" s="8739"/>
      <c r="BL46" s="8739"/>
      <c r="BM46" s="8739"/>
      <c r="BN46" s="8739"/>
      <c r="BO46" s="8739"/>
      <c r="BP46" s="8739"/>
      <c r="BQ46" s="8740"/>
      <c r="BR46" s="8738"/>
      <c r="BS46" s="8739"/>
      <c r="BT46" s="8739"/>
      <c r="BU46" s="8739"/>
      <c r="BV46" s="8739"/>
      <c r="BW46" s="8739"/>
      <c r="BX46" s="8739"/>
      <c r="BY46" s="8740"/>
      <c r="BZ46" s="8738"/>
      <c r="CA46" s="8739"/>
      <c r="CB46" s="8739"/>
      <c r="CC46" s="8739"/>
      <c r="CD46" s="8739"/>
      <c r="CE46" s="8739"/>
      <c r="CF46" s="8739"/>
      <c r="CG46" s="8740"/>
      <c r="CH46" s="8738"/>
      <c r="CI46" s="8739"/>
      <c r="CJ46" s="8739"/>
      <c r="CK46" s="8739"/>
      <c r="CL46" s="8739"/>
      <c r="CM46" s="8739"/>
      <c r="CN46" s="8739"/>
      <c r="CO46" s="8740"/>
      <c r="CP46" s="8738"/>
      <c r="CQ46" s="8739"/>
      <c r="CR46" s="8739"/>
      <c r="CS46" s="8739"/>
      <c r="CT46" s="8739"/>
      <c r="CU46" s="8739"/>
      <c r="CV46" s="8739"/>
      <c r="CW46" s="8740"/>
      <c r="CX46" s="8738"/>
      <c r="CY46" s="8739"/>
      <c r="CZ46" s="8739"/>
      <c r="DA46" s="8739"/>
      <c r="DB46" s="8739"/>
      <c r="DC46" s="8739"/>
      <c r="DD46" s="8739"/>
      <c r="DE46" s="8740"/>
      <c r="DF46" s="2414"/>
      <c r="DG46" s="1428" t="s">
        <v>414</v>
      </c>
      <c r="DI46" s="670"/>
      <c r="DJ46" s="670" t="str">
        <f>IF(T46="","",T46)</f>
        <v>Источник тепловой энергии  </v>
      </c>
      <c r="DK46" s="670"/>
      <c r="DL46" s="670"/>
      <c r="DM46" s="1325">
        <v>21</v>
      </c>
    </row>
    <row customHeight="1" ht="49.5">
      <c r="A47" s="1533" t="s">
        <v>173</v>
      </c>
      <c r="B47" s="1533" t="s">
        <v>174</v>
      </c>
      <c r="C47" s="1533" t="s">
        <v>175</v>
      </c>
      <c r="D47" s="1533" t="s">
        <v>176</v>
      </c>
      <c r="E47" s="2429"/>
      <c r="F47" s="2429"/>
      <c r="G47" s="2429"/>
      <c r="H47" s="2429"/>
      <c r="I47" s="2426" t="str">
        <f>S46&amp;".1"</f>
        <v>1.1.1.1.1</v>
      </c>
      <c r="J47" s="1533"/>
      <c r="K47" s="1533"/>
      <c r="L47" s="1534" t="s">
        <v>415</v>
      </c>
      <c r="P47" s="2427">
        <v>1</v>
      </c>
      <c r="Q47" s="1501"/>
      <c r="R47" s="526"/>
      <c r="S47" s="1506" t="str">
        <f>$I47</f>
        <v>1.1.1.1.1</v>
      </c>
      <c r="T47" s="455" t="s">
        <v>416</v>
      </c>
      <c r="U47" s="470"/>
      <c r="V47" s="2415"/>
      <c r="W47" s="2416"/>
      <c r="X47" s="2416"/>
      <c r="Y47" s="2416"/>
      <c r="Z47" s="2416"/>
      <c r="AA47" s="2416"/>
      <c r="AB47" s="2416"/>
      <c r="AC47" s="2417"/>
      <c r="AD47" s="2415" t="s">
        <v>462</v>
      </c>
      <c r="AE47" s="2416"/>
      <c r="AF47" s="2416"/>
      <c r="AG47" s="2416"/>
      <c r="AH47" s="2416"/>
      <c r="AI47" s="2416"/>
      <c r="AJ47" s="2416"/>
      <c r="AK47" s="2416"/>
      <c r="AL47" s="8759"/>
      <c r="AM47" s="8760"/>
      <c r="AN47" s="8760"/>
      <c r="AO47" s="8760"/>
      <c r="AP47" s="8760"/>
      <c r="AQ47" s="8760"/>
      <c r="AR47" s="8760"/>
      <c r="AS47" s="8761"/>
      <c r="AT47" s="8759"/>
      <c r="AU47" s="8760"/>
      <c r="AV47" s="8760"/>
      <c r="AW47" s="8760"/>
      <c r="AX47" s="8760"/>
      <c r="AY47" s="8760"/>
      <c r="AZ47" s="8760"/>
      <c r="BA47" s="8761"/>
      <c r="BB47" s="8759"/>
      <c r="BC47" s="8760"/>
      <c r="BD47" s="8760"/>
      <c r="BE47" s="8760"/>
      <c r="BF47" s="8760"/>
      <c r="BG47" s="8760"/>
      <c r="BH47" s="8760"/>
      <c r="BI47" s="8761"/>
      <c r="BJ47" s="8759"/>
      <c r="BK47" s="8760"/>
      <c r="BL47" s="8760"/>
      <c r="BM47" s="8760"/>
      <c r="BN47" s="8760"/>
      <c r="BO47" s="8760"/>
      <c r="BP47" s="8760"/>
      <c r="BQ47" s="8761"/>
      <c r="BR47" s="8759"/>
      <c r="BS47" s="8760"/>
      <c r="BT47" s="8760"/>
      <c r="BU47" s="8760"/>
      <c r="BV47" s="8760"/>
      <c r="BW47" s="8760"/>
      <c r="BX47" s="8760"/>
      <c r="BY47" s="8761"/>
      <c r="BZ47" s="8759"/>
      <c r="CA47" s="8760"/>
      <c r="CB47" s="8760"/>
      <c r="CC47" s="8760"/>
      <c r="CD47" s="8760"/>
      <c r="CE47" s="8760"/>
      <c r="CF47" s="8760"/>
      <c r="CG47" s="8761"/>
      <c r="CH47" s="8759"/>
      <c r="CI47" s="8760"/>
      <c r="CJ47" s="8760"/>
      <c r="CK47" s="8760"/>
      <c r="CL47" s="8760"/>
      <c r="CM47" s="8760"/>
      <c r="CN47" s="8760"/>
      <c r="CO47" s="8761"/>
      <c r="CP47" s="8759"/>
      <c r="CQ47" s="8760"/>
      <c r="CR47" s="8760"/>
      <c r="CS47" s="8760"/>
      <c r="CT47" s="8760"/>
      <c r="CU47" s="8760"/>
      <c r="CV47" s="8760"/>
      <c r="CW47" s="8761"/>
      <c r="CX47" s="8759"/>
      <c r="CY47" s="8760"/>
      <c r="CZ47" s="8760"/>
      <c r="DA47" s="8760"/>
      <c r="DB47" s="8760"/>
      <c r="DC47" s="8760"/>
      <c r="DD47" s="8760"/>
      <c r="DE47" s="8761"/>
      <c r="DF47" s="2417"/>
      <c r="DG47" s="1428" t="s">
        <v>417</v>
      </c>
      <c r="DI47" s="670"/>
      <c r="DJ47" s="670" t="str">
        <f>IF(T47="","",T47)</f>
        <v>Схема подключения теплопотребляющей установки к коллектору источника тепловой энергии</v>
      </c>
      <c r="DK47" s="670"/>
      <c r="DL47" s="670"/>
      <c r="DM47" s="1325">
        <v>47</v>
      </c>
    </row>
    <row customHeight="1" ht="22.049999999999997">
      <c r="A48" s="1533" t="s">
        <v>173</v>
      </c>
      <c r="B48" s="1533" t="s">
        <v>174</v>
      </c>
      <c r="C48" s="1533" t="s">
        <v>175</v>
      </c>
      <c r="D48" s="1533" t="s">
        <v>176</v>
      </c>
      <c r="E48" s="2429"/>
      <c r="F48" s="2429"/>
      <c r="G48" s="2429"/>
      <c r="H48" s="2429"/>
      <c r="I48" s="2456"/>
      <c r="J48" s="2426" t="str">
        <f>I47&amp;".1"</f>
        <v>1.1.1.1.1.1</v>
      </c>
      <c r="K48" s="1533"/>
      <c r="L48" s="1534" t="s">
        <v>418</v>
      </c>
      <c r="P48" s="2427"/>
      <c r="Q48" s="2427">
        <v>1</v>
      </c>
      <c r="R48" s="527"/>
      <c r="S48" s="1506" t="str">
        <f>$J48</f>
        <v>1.1.1.1.1.1</v>
      </c>
      <c r="T48" s="456" t="s">
        <v>419</v>
      </c>
      <c r="U48" s="470"/>
      <c r="V48" s="2415"/>
      <c r="W48" s="2416"/>
      <c r="X48" s="2416"/>
      <c r="Y48" s="2416"/>
      <c r="Z48" s="2416"/>
      <c r="AA48" s="2416"/>
      <c r="AB48" s="2416"/>
      <c r="AC48" s="2417"/>
      <c r="AD48" s="2415" t="s">
        <v>459</v>
      </c>
      <c r="AE48" s="2416"/>
      <c r="AF48" s="2416"/>
      <c r="AG48" s="2416"/>
      <c r="AH48" s="2416"/>
      <c r="AI48" s="2416"/>
      <c r="AJ48" s="2416"/>
      <c r="AK48" s="2416"/>
      <c r="AL48" s="8759"/>
      <c r="AM48" s="8760"/>
      <c r="AN48" s="8760"/>
      <c r="AO48" s="8760"/>
      <c r="AP48" s="8760"/>
      <c r="AQ48" s="8760"/>
      <c r="AR48" s="8760"/>
      <c r="AS48" s="8761"/>
      <c r="AT48" s="8759"/>
      <c r="AU48" s="8760"/>
      <c r="AV48" s="8760"/>
      <c r="AW48" s="8760"/>
      <c r="AX48" s="8760"/>
      <c r="AY48" s="8760"/>
      <c r="AZ48" s="8760"/>
      <c r="BA48" s="8761"/>
      <c r="BB48" s="8759"/>
      <c r="BC48" s="8760"/>
      <c r="BD48" s="8760"/>
      <c r="BE48" s="8760"/>
      <c r="BF48" s="8760"/>
      <c r="BG48" s="8760"/>
      <c r="BH48" s="8760"/>
      <c r="BI48" s="8761"/>
      <c r="BJ48" s="8759"/>
      <c r="BK48" s="8760"/>
      <c r="BL48" s="8760"/>
      <c r="BM48" s="8760"/>
      <c r="BN48" s="8760"/>
      <c r="BO48" s="8760"/>
      <c r="BP48" s="8760"/>
      <c r="BQ48" s="8761"/>
      <c r="BR48" s="8759"/>
      <c r="BS48" s="8760"/>
      <c r="BT48" s="8760"/>
      <c r="BU48" s="8760"/>
      <c r="BV48" s="8760"/>
      <c r="BW48" s="8760"/>
      <c r="BX48" s="8760"/>
      <c r="BY48" s="8761"/>
      <c r="BZ48" s="8759"/>
      <c r="CA48" s="8760"/>
      <c r="CB48" s="8760"/>
      <c r="CC48" s="8760"/>
      <c r="CD48" s="8760"/>
      <c r="CE48" s="8760"/>
      <c r="CF48" s="8760"/>
      <c r="CG48" s="8761"/>
      <c r="CH48" s="8759"/>
      <c r="CI48" s="8760"/>
      <c r="CJ48" s="8760"/>
      <c r="CK48" s="8760"/>
      <c r="CL48" s="8760"/>
      <c r="CM48" s="8760"/>
      <c r="CN48" s="8760"/>
      <c r="CO48" s="8761"/>
      <c r="CP48" s="8759"/>
      <c r="CQ48" s="8760"/>
      <c r="CR48" s="8760"/>
      <c r="CS48" s="8760"/>
      <c r="CT48" s="8760"/>
      <c r="CU48" s="8760"/>
      <c r="CV48" s="8760"/>
      <c r="CW48" s="8761"/>
      <c r="CX48" s="8759"/>
      <c r="CY48" s="8760"/>
      <c r="CZ48" s="8760"/>
      <c r="DA48" s="8760"/>
      <c r="DB48" s="8760"/>
      <c r="DC48" s="8760"/>
      <c r="DD48" s="8760"/>
      <c r="DE48" s="8761"/>
      <c r="DF48" s="2417"/>
      <c r="DG48" s="1428" t="s">
        <v>420</v>
      </c>
      <c r="DI48" s="670"/>
      <c r="DJ48" s="670" t="str">
        <f>IF(T48="","",T48)</f>
        <v>Группа потребителей</v>
      </c>
      <c r="DK48" s="670"/>
      <c r="DL48" s="670"/>
      <c r="DM48" s="1325">
        <v>21</v>
      </c>
    </row>
    <row customHeight="1" ht="22.049999999999997">
      <c r="A49" s="1533" t="s">
        <v>173</v>
      </c>
      <c r="B49" s="1533" t="s">
        <v>174</v>
      </c>
      <c r="C49" s="1533" t="s">
        <v>175</v>
      </c>
      <c r="D49" s="1533" t="s">
        <v>176</v>
      </c>
      <c r="E49" s="2429"/>
      <c r="F49" s="2429"/>
      <c r="G49" s="2429"/>
      <c r="H49" s="2429"/>
      <c r="I49" s="2456"/>
      <c r="J49" s="2456"/>
      <c r="K49" s="2426" t="str">
        <f>J48&amp;".1"</f>
        <v>1.1.1.1.1.1.1</v>
      </c>
      <c r="L49" s="1534" t="s">
        <v>421</v>
      </c>
      <c r="P49" s="2427"/>
      <c r="Q49" s="2427"/>
      <c r="R49" s="527">
        <v>1</v>
      </c>
      <c r="S49" s="1506" t="str">
        <f>$K49</f>
        <v>1.1.1.1.1.1.1</v>
      </c>
      <c r="T49" s="1517" t="s">
        <v>460</v>
      </c>
      <c r="U49" s="470"/>
      <c r="V49" s="921"/>
      <c r="W49" s="495"/>
      <c r="X49" s="921"/>
      <c r="Y49" s="1427"/>
      <c r="Z49" s="2435"/>
      <c r="AA49" s="2277" t="s">
        <v>64</v>
      </c>
      <c r="AB49" s="2435"/>
      <c r="AC49" s="2277" t="s">
        <v>64</v>
      </c>
      <c r="AD49" s="921">
        <v>1781.74</v>
      </c>
      <c r="AE49" s="495"/>
      <c r="AF49" s="921"/>
      <c r="AG49" s="1427"/>
      <c r="AH49" s="8774">
        <v>45292.48861111111</v>
      </c>
      <c r="AI49" s="2277" t="s">
        <v>64</v>
      </c>
      <c r="AJ49" s="9123">
        <v>45473.48869212963</v>
      </c>
      <c r="AK49" s="2277" t="s">
        <v>64</v>
      </c>
      <c r="AL49" s="8771">
        <v>1938.99</v>
      </c>
      <c r="AM49" s="8772"/>
      <c r="AN49" s="8771"/>
      <c r="AO49" s="8773"/>
      <c r="AP49" s="8774">
        <v>45474</v>
      </c>
      <c r="AQ49" s="8192" t="s">
        <v>64</v>
      </c>
      <c r="AR49" s="8774">
        <v>45657</v>
      </c>
      <c r="AS49" s="8192" t="s">
        <v>64</v>
      </c>
      <c r="AT49" s="8771">
        <v>1938.99</v>
      </c>
      <c r="AU49" s="8772"/>
      <c r="AV49" s="8771"/>
      <c r="AW49" s="8773"/>
      <c r="AX49" s="8774">
        <v>45658.489270833335</v>
      </c>
      <c r="AY49" s="8192" t="s">
        <v>64</v>
      </c>
      <c r="AZ49" s="8774">
        <v>45838.48930555556</v>
      </c>
      <c r="BA49" s="8192" t="s">
        <v>64</v>
      </c>
      <c r="BB49" s="8771">
        <v>2290.22</v>
      </c>
      <c r="BC49" s="8772"/>
      <c r="BD49" s="8771"/>
      <c r="BE49" s="8773"/>
      <c r="BF49" s="8774">
        <v>45839.4897337963</v>
      </c>
      <c r="BG49" s="8192" t="s">
        <v>64</v>
      </c>
      <c r="BH49" s="8774">
        <v>46022.48982638889</v>
      </c>
      <c r="BI49" s="8192" t="s">
        <v>64</v>
      </c>
      <c r="BJ49" s="8771">
        <v>2078.17</v>
      </c>
      <c r="BK49" s="8772"/>
      <c r="BL49" s="8771"/>
      <c r="BM49" s="8773"/>
      <c r="BN49" s="8774">
        <v>46023</v>
      </c>
      <c r="BO49" s="8192" t="s">
        <v>64</v>
      </c>
      <c r="BP49" s="8774">
        <v>46203</v>
      </c>
      <c r="BQ49" s="8192" t="s">
        <v>64</v>
      </c>
      <c r="BR49" s="8771">
        <v>2078.18</v>
      </c>
      <c r="BS49" s="8772"/>
      <c r="BT49" s="8771"/>
      <c r="BU49" s="8773"/>
      <c r="BV49" s="8774">
        <v>46204</v>
      </c>
      <c r="BW49" s="8192" t="s">
        <v>64</v>
      </c>
      <c r="BX49" s="8774">
        <v>46387</v>
      </c>
      <c r="BY49" s="8192" t="s">
        <v>64</v>
      </c>
      <c r="BZ49" s="8771">
        <v>2078.18</v>
      </c>
      <c r="CA49" s="8772"/>
      <c r="CB49" s="8771"/>
      <c r="CC49" s="8773"/>
      <c r="CD49" s="8774">
        <v>46388</v>
      </c>
      <c r="CE49" s="8192" t="s">
        <v>64</v>
      </c>
      <c r="CF49" s="8774">
        <v>46568.57003472222</v>
      </c>
      <c r="CG49" s="8192" t="s">
        <v>64</v>
      </c>
      <c r="CH49" s="8771">
        <v>2257.12</v>
      </c>
      <c r="CI49" s="8772"/>
      <c r="CJ49" s="8771"/>
      <c r="CK49" s="8773"/>
      <c r="CL49" s="8774">
        <v>46569</v>
      </c>
      <c r="CM49" s="8192" t="s">
        <v>64</v>
      </c>
      <c r="CN49" s="8774">
        <v>46752</v>
      </c>
      <c r="CO49" s="8192" t="s">
        <v>64</v>
      </c>
      <c r="CP49" s="8771">
        <v>2233.77</v>
      </c>
      <c r="CQ49" s="8772"/>
      <c r="CR49" s="8771"/>
      <c r="CS49" s="8773"/>
      <c r="CT49" s="8774">
        <v>46753</v>
      </c>
      <c r="CU49" s="8192" t="s">
        <v>64</v>
      </c>
      <c r="CV49" s="8774">
        <v>46934</v>
      </c>
      <c r="CW49" s="8192" t="s">
        <v>64</v>
      </c>
      <c r="CX49" s="8771">
        <v>2233.76</v>
      </c>
      <c r="CY49" s="8772"/>
      <c r="CZ49" s="8771"/>
      <c r="DA49" s="8773"/>
      <c r="DB49" s="8774">
        <v>46935</v>
      </c>
      <c r="DC49" s="8192" t="s">
        <v>64</v>
      </c>
      <c r="DD49" s="8774">
        <v>47118</v>
      </c>
      <c r="DE49" s="8192" t="s">
        <v>64</v>
      </c>
      <c r="DF49" s="1518"/>
      <c r="DG49" s="2423" t="s">
        <v>422</v>
      </c>
      <c r="DH49" s="681">
        <f>STRCHECKDATE(V50:DF50)</f>
      </c>
      <c r="DI49" s="670"/>
      <c r="DJ49" s="670" t="str">
        <f>IF(T49="","",T49)</f>
        <v>вода</v>
      </c>
      <c r="DK49" s="670"/>
      <c r="DL49" s="670"/>
      <c r="DM49" s="1325">
        <v>21</v>
      </c>
    </row>
    <row customHeight="1" ht="1.05">
      <c r="A50" s="1533" t="s">
        <v>173</v>
      </c>
      <c r="B50" s="1533" t="s">
        <v>174</v>
      </c>
      <c r="C50" s="1533" t="s">
        <v>175</v>
      </c>
      <c r="D50" s="1533" t="s">
        <v>176</v>
      </c>
      <c r="E50" s="2429"/>
      <c r="F50" s="2429"/>
      <c r="G50" s="2429"/>
      <c r="H50" s="2429"/>
      <c r="I50" s="2456"/>
      <c r="J50" s="2456"/>
      <c r="K50" s="2426"/>
      <c r="L50" s="1534"/>
      <c r="P50" s="2427"/>
      <c r="Q50" s="2427"/>
      <c r="R50" s="527"/>
      <c r="S50" s="1512"/>
      <c r="T50" s="470"/>
      <c r="U50" s="470"/>
      <c r="V50" s="495"/>
      <c r="W50" s="495"/>
      <c r="X50" s="495"/>
      <c r="Y50" s="498" t="str">
        <f>Z49&amp;"-"&amp;AB49</f>
        <v>-</v>
      </c>
      <c r="Z50" s="2436"/>
      <c r="AA50" s="2277"/>
      <c r="AB50" s="2436"/>
      <c r="AC50" s="2277"/>
      <c r="AD50" s="495"/>
      <c r="AE50" s="495"/>
      <c r="AF50" s="495"/>
      <c r="AG50" s="498" t="str">
        <f>AH49&amp;"-"&amp;AJ49</f>
        <v>45292.48861111111-45473.48869212963</v>
      </c>
      <c r="AH50" s="2436"/>
      <c r="AI50" s="2277"/>
      <c r="AJ50" s="2458"/>
      <c r="AK50" s="2277"/>
      <c r="AL50" s="8772"/>
      <c r="AM50" s="8772"/>
      <c r="AN50" s="8772"/>
      <c r="AO50" s="8779" t="str">
        <f>AP49&amp;"-"&amp;AR49</f>
        <v>45474-45657</v>
      </c>
      <c r="AP50" s="8780"/>
      <c r="AQ50" s="8192"/>
      <c r="AR50" s="8780"/>
      <c r="AS50" s="8192"/>
      <c r="AT50" s="8772"/>
      <c r="AU50" s="8772"/>
      <c r="AV50" s="8772"/>
      <c r="AW50" s="8779" t="str">
        <f>AX49&amp;"-"&amp;AZ49</f>
        <v>45658.489270833335-45838.48930555556</v>
      </c>
      <c r="AX50" s="8780"/>
      <c r="AY50" s="8192"/>
      <c r="AZ50" s="8780"/>
      <c r="BA50" s="8192"/>
      <c r="BB50" s="8772"/>
      <c r="BC50" s="8772"/>
      <c r="BD50" s="8772"/>
      <c r="BE50" s="8779" t="str">
        <f>BF49&amp;"-"&amp;BH49</f>
        <v>45839.4897337963-46022.48982638889</v>
      </c>
      <c r="BF50" s="8780"/>
      <c r="BG50" s="8192"/>
      <c r="BH50" s="8780"/>
      <c r="BI50" s="8192"/>
      <c r="BJ50" s="8772"/>
      <c r="BK50" s="8772"/>
      <c r="BL50" s="8772"/>
      <c r="BM50" s="8779" t="str">
        <f>BN49&amp;"-"&amp;BP49</f>
        <v>46023-46203</v>
      </c>
      <c r="BN50" s="8780"/>
      <c r="BO50" s="8192"/>
      <c r="BP50" s="8780"/>
      <c r="BQ50" s="8192"/>
      <c r="BR50" s="8772"/>
      <c r="BS50" s="8772"/>
      <c r="BT50" s="8772"/>
      <c r="BU50" s="8779" t="str">
        <f>BV49&amp;"-"&amp;BX49</f>
        <v>46204-46387</v>
      </c>
      <c r="BV50" s="8780"/>
      <c r="BW50" s="8192"/>
      <c r="BX50" s="8780"/>
      <c r="BY50" s="8192"/>
      <c r="BZ50" s="8772"/>
      <c r="CA50" s="8772"/>
      <c r="CB50" s="8772"/>
      <c r="CC50" s="8779" t="str">
        <f>CD49&amp;"-"&amp;CF49</f>
        <v>46388-46568.57003472222</v>
      </c>
      <c r="CD50" s="8780"/>
      <c r="CE50" s="8192"/>
      <c r="CF50" s="8780"/>
      <c r="CG50" s="8192"/>
      <c r="CH50" s="8772"/>
      <c r="CI50" s="8772"/>
      <c r="CJ50" s="8772"/>
      <c r="CK50" s="8779" t="str">
        <f>CL49&amp;"-"&amp;CN49</f>
        <v>46569-46752</v>
      </c>
      <c r="CL50" s="8780"/>
      <c r="CM50" s="8192"/>
      <c r="CN50" s="8780"/>
      <c r="CO50" s="8192"/>
      <c r="CP50" s="8772"/>
      <c r="CQ50" s="8772"/>
      <c r="CR50" s="8772"/>
      <c r="CS50" s="8779" t="str">
        <f>CT49&amp;"-"&amp;CV49</f>
        <v>46753-46934</v>
      </c>
      <c r="CT50" s="8780"/>
      <c r="CU50" s="8192"/>
      <c r="CV50" s="8780"/>
      <c r="CW50" s="8192"/>
      <c r="CX50" s="8772"/>
      <c r="CY50" s="8772"/>
      <c r="CZ50" s="8772"/>
      <c r="DA50" s="8779" t="str">
        <f>DB49&amp;"-"&amp;DD49</f>
        <v>46935-47118</v>
      </c>
      <c r="DB50" s="8780"/>
      <c r="DC50" s="8192"/>
      <c r="DD50" s="8780"/>
      <c r="DE50" s="8192"/>
      <c r="DF50" s="1519"/>
      <c r="DG50" s="2424"/>
      <c r="DI50" s="670"/>
      <c r="DJ50" s="670" t="str">
        <f>IF(T50="","",T50)</f>
        <v/>
      </c>
      <c r="DK50" s="670"/>
      <c r="DL50" s="670"/>
      <c r="DM50" s="1325">
        <v>1</v>
      </c>
    </row>
    <row customHeight="1" ht="11.549999999999999">
      <c r="A51" s="1533" t="s">
        <v>173</v>
      </c>
      <c r="B51" s="1533" t="s">
        <v>174</v>
      </c>
      <c r="C51" s="1533" t="s">
        <v>175</v>
      </c>
      <c r="D51" s="1533" t="s">
        <v>176</v>
      </c>
      <c r="E51" s="2429"/>
      <c r="F51" s="2429"/>
      <c r="G51" s="2429"/>
      <c r="H51" s="2429"/>
      <c r="I51" s="2456"/>
      <c r="J51" s="2426"/>
      <c r="K51" s="1533"/>
      <c r="L51" s="1534"/>
      <c r="P51" s="2427"/>
      <c r="Q51" s="2427"/>
      <c r="R51" s="526"/>
      <c r="S51" s="1448"/>
      <c r="T51" s="458" t="s">
        <v>423</v>
      </c>
      <c r="U51" s="537"/>
      <c r="V51" s="537"/>
      <c r="W51" s="537"/>
      <c r="X51" s="537"/>
      <c r="Y51" s="537"/>
      <c r="Z51" s="537"/>
      <c r="AA51" s="537"/>
      <c r="AB51" s="537"/>
      <c r="AC51" s="537"/>
      <c r="AD51" s="537"/>
      <c r="AE51" s="537"/>
      <c r="AF51" s="537"/>
      <c r="AG51" s="537"/>
      <c r="AH51" s="537"/>
      <c r="AI51" s="537"/>
      <c r="AJ51" s="537"/>
      <c r="AK51" s="537"/>
      <c r="AL51" s="9583"/>
      <c r="AM51" s="9584"/>
      <c r="AN51" s="9585"/>
      <c r="AO51" s="9586"/>
      <c r="AP51" s="9587"/>
      <c r="AQ51" s="9588"/>
      <c r="AR51" s="9589"/>
      <c r="AS51" s="9590"/>
      <c r="AT51" s="9591"/>
      <c r="AU51" s="9592"/>
      <c r="AV51" s="9593"/>
      <c r="AW51" s="9594"/>
      <c r="AX51" s="9595"/>
      <c r="AY51" s="9596"/>
      <c r="AZ51" s="9597"/>
      <c r="BA51" s="9598"/>
      <c r="BB51" s="9599"/>
      <c r="BC51" s="9600"/>
      <c r="BD51" s="9601"/>
      <c r="BE51" s="9602"/>
      <c r="BF51" s="9603"/>
      <c r="BG51" s="9604"/>
      <c r="BH51" s="9605"/>
      <c r="BI51" s="9606"/>
      <c r="BJ51" s="9607"/>
      <c r="BK51" s="9608"/>
      <c r="BL51" s="9609"/>
      <c r="BM51" s="9610"/>
      <c r="BN51" s="9611"/>
      <c r="BO51" s="9612"/>
      <c r="BP51" s="9613"/>
      <c r="BQ51" s="9614"/>
      <c r="BR51" s="9615"/>
      <c r="BS51" s="9616"/>
      <c r="BT51" s="9617"/>
      <c r="BU51" s="9618"/>
      <c r="BV51" s="9619"/>
      <c r="BW51" s="9620"/>
      <c r="BX51" s="9621"/>
      <c r="BY51" s="9622"/>
      <c r="BZ51" s="9623"/>
      <c r="CA51" s="9624"/>
      <c r="CB51" s="9625"/>
      <c r="CC51" s="9626"/>
      <c r="CD51" s="9627"/>
      <c r="CE51" s="9628"/>
      <c r="CF51" s="9629"/>
      <c r="CG51" s="9630"/>
      <c r="CH51" s="9631"/>
      <c r="CI51" s="9632"/>
      <c r="CJ51" s="9633"/>
      <c r="CK51" s="9634"/>
      <c r="CL51" s="9635"/>
      <c r="CM51" s="9636"/>
      <c r="CN51" s="9637"/>
      <c r="CO51" s="9638"/>
      <c r="CP51" s="9639"/>
      <c r="CQ51" s="9640"/>
      <c r="CR51" s="9641"/>
      <c r="CS51" s="9642"/>
      <c r="CT51" s="9643"/>
      <c r="CU51" s="9644"/>
      <c r="CV51" s="9645"/>
      <c r="CW51" s="9646"/>
      <c r="CX51" s="9647"/>
      <c r="CY51" s="9648"/>
      <c r="CZ51" s="9649"/>
      <c r="DA51" s="9650"/>
      <c r="DB51" s="9651"/>
      <c r="DC51" s="9652"/>
      <c r="DD51" s="9653"/>
      <c r="DE51" s="9654"/>
      <c r="DF51" s="494"/>
      <c r="DG51" s="2425"/>
      <c r="DI51" s="670"/>
      <c r="DJ51" s="670" t="str">
        <f>IF(T51="","",T51)</f>
        <v>Добавить вид теплоносителя (параметры теплоносителя)</v>
      </c>
      <c r="DK51" s="670"/>
      <c r="DL51" s="670"/>
      <c r="DM51" s="1325">
        <v>11</v>
      </c>
    </row>
    <row customHeight="1" ht="11.549999999999999">
      <c r="A52" s="1533" t="s">
        <v>173</v>
      </c>
      <c r="B52" s="1533" t="s">
        <v>174</v>
      </c>
      <c r="C52" s="1533" t="s">
        <v>175</v>
      </c>
      <c r="D52" s="1533" t="s">
        <v>176</v>
      </c>
      <c r="E52" s="2429"/>
      <c r="F52" s="2429"/>
      <c r="G52" s="2429"/>
      <c r="H52" s="2429"/>
      <c r="I52" s="2426"/>
      <c r="J52" s="1533"/>
      <c r="K52" s="1533"/>
      <c r="L52" s="1534"/>
      <c r="P52" s="2427"/>
      <c r="Q52" s="1501"/>
      <c r="R52" s="526"/>
      <c r="S52" s="1448"/>
      <c r="T52" s="457" t="s">
        <v>424</v>
      </c>
      <c r="U52" s="537"/>
      <c r="V52" s="537"/>
      <c r="W52" s="537"/>
      <c r="X52" s="537"/>
      <c r="Y52" s="537"/>
      <c r="Z52" s="537"/>
      <c r="AA52" s="537"/>
      <c r="AB52" s="537"/>
      <c r="AC52" s="536"/>
      <c r="AD52" s="537"/>
      <c r="AE52" s="537"/>
      <c r="AF52" s="537"/>
      <c r="AG52" s="537"/>
      <c r="AH52" s="537"/>
      <c r="AI52" s="537"/>
      <c r="AJ52" s="537"/>
      <c r="AK52" s="536"/>
      <c r="AL52" s="9655"/>
      <c r="AM52" s="9656"/>
      <c r="AN52" s="9657"/>
      <c r="AO52" s="9658"/>
      <c r="AP52" s="9659"/>
      <c r="AQ52" s="9660"/>
      <c r="AR52" s="9661"/>
      <c r="AS52" s="9662"/>
      <c r="AT52" s="9663"/>
      <c r="AU52" s="9664"/>
      <c r="AV52" s="9665"/>
      <c r="AW52" s="9666"/>
      <c r="AX52" s="9667"/>
      <c r="AY52" s="9668"/>
      <c r="AZ52" s="9669"/>
      <c r="BA52" s="9670"/>
      <c r="BB52" s="9671"/>
      <c r="BC52" s="9672"/>
      <c r="BD52" s="9673"/>
      <c r="BE52" s="9674"/>
      <c r="BF52" s="9675"/>
      <c r="BG52" s="9676"/>
      <c r="BH52" s="9677"/>
      <c r="BI52" s="9678"/>
      <c r="BJ52" s="9679"/>
      <c r="BK52" s="9680"/>
      <c r="BL52" s="9681"/>
      <c r="BM52" s="9682"/>
      <c r="BN52" s="9683"/>
      <c r="BO52" s="9684"/>
      <c r="BP52" s="9685"/>
      <c r="BQ52" s="9686"/>
      <c r="BR52" s="9687"/>
      <c r="BS52" s="9688"/>
      <c r="BT52" s="9689"/>
      <c r="BU52" s="9690"/>
      <c r="BV52" s="9691"/>
      <c r="BW52" s="9692"/>
      <c r="BX52" s="9693"/>
      <c r="BY52" s="9694"/>
      <c r="BZ52" s="9695"/>
      <c r="CA52" s="9696"/>
      <c r="CB52" s="9697"/>
      <c r="CC52" s="9698"/>
      <c r="CD52" s="9699"/>
      <c r="CE52" s="9700"/>
      <c r="CF52" s="9701"/>
      <c r="CG52" s="9702"/>
      <c r="CH52" s="9703"/>
      <c r="CI52" s="9704"/>
      <c r="CJ52" s="9705"/>
      <c r="CK52" s="9706"/>
      <c r="CL52" s="9707"/>
      <c r="CM52" s="9708"/>
      <c r="CN52" s="9709"/>
      <c r="CO52" s="9710"/>
      <c r="CP52" s="9711"/>
      <c r="CQ52" s="9712"/>
      <c r="CR52" s="9713"/>
      <c r="CS52" s="9714"/>
      <c r="CT52" s="9715"/>
      <c r="CU52" s="9716"/>
      <c r="CV52" s="9717"/>
      <c r="CW52" s="9718"/>
      <c r="CX52" s="9719"/>
      <c r="CY52" s="9720"/>
      <c r="CZ52" s="9721"/>
      <c r="DA52" s="9722"/>
      <c r="DB52" s="9723"/>
      <c r="DC52" s="9724"/>
      <c r="DD52" s="9725"/>
      <c r="DE52" s="9726"/>
      <c r="DF52" s="537"/>
      <c r="DG52" s="473"/>
      <c r="DI52" s="670"/>
      <c r="DJ52" s="670" t="str">
        <f>IF(T52="","",T52)</f>
        <v>Добавить группу потребителей</v>
      </c>
      <c r="DK52" s="670"/>
      <c r="DL52" s="670"/>
      <c r="DM52" s="1325">
        <v>11</v>
      </c>
    </row>
    <row customHeight="1" ht="14.699999999999998">
      <c r="A53" s="1533" t="s">
        <v>173</v>
      </c>
      <c r="B53" s="1533" t="s">
        <v>174</v>
      </c>
      <c r="C53" s="1533" t="s">
        <v>175</v>
      </c>
      <c r="D53" s="1533" t="s">
        <v>176</v>
      </c>
      <c r="E53" s="2429"/>
      <c r="F53" s="2429"/>
      <c r="G53" s="2429"/>
      <c r="H53" s="2428"/>
      <c r="I53" s="1533"/>
      <c r="J53" s="1533"/>
      <c r="K53" s="1533"/>
      <c r="L53" s="1534"/>
      <c r="M53" s="1535"/>
      <c r="N53" s="1535"/>
      <c r="O53" s="707"/>
      <c r="P53" s="530"/>
      <c r="Q53" s="545"/>
      <c r="R53" s="525"/>
      <c r="S53" s="1448"/>
      <c r="T53" s="535" t="s">
        <v>425</v>
      </c>
      <c r="U53" s="537"/>
      <c r="V53" s="537"/>
      <c r="W53" s="537"/>
      <c r="X53" s="537"/>
      <c r="Y53" s="537"/>
      <c r="Z53" s="537"/>
      <c r="AA53" s="537"/>
      <c r="AB53" s="537"/>
      <c r="AC53" s="536"/>
      <c r="AD53" s="537"/>
      <c r="AE53" s="537"/>
      <c r="AF53" s="537"/>
      <c r="AG53" s="537"/>
      <c r="AH53" s="537"/>
      <c r="AI53" s="537"/>
      <c r="AJ53" s="537"/>
      <c r="AK53" s="536"/>
      <c r="AL53" s="9727"/>
      <c r="AM53" s="9728"/>
      <c r="AN53" s="9729"/>
      <c r="AO53" s="9730"/>
      <c r="AP53" s="9731"/>
      <c r="AQ53" s="9732"/>
      <c r="AR53" s="9733"/>
      <c r="AS53" s="9734"/>
      <c r="AT53" s="9735"/>
      <c r="AU53" s="9736"/>
      <c r="AV53" s="9737"/>
      <c r="AW53" s="9738"/>
      <c r="AX53" s="9739"/>
      <c r="AY53" s="9740"/>
      <c r="AZ53" s="9741"/>
      <c r="BA53" s="9742"/>
      <c r="BB53" s="9743"/>
      <c r="BC53" s="9744"/>
      <c r="BD53" s="9745"/>
      <c r="BE53" s="9746"/>
      <c r="BF53" s="9747"/>
      <c r="BG53" s="9748"/>
      <c r="BH53" s="9749"/>
      <c r="BI53" s="9750"/>
      <c r="BJ53" s="9751"/>
      <c r="BK53" s="9752"/>
      <c r="BL53" s="9753"/>
      <c r="BM53" s="9754"/>
      <c r="BN53" s="9755"/>
      <c r="BO53" s="9756"/>
      <c r="BP53" s="9757"/>
      <c r="BQ53" s="9758"/>
      <c r="BR53" s="9759"/>
      <c r="BS53" s="9760"/>
      <c r="BT53" s="9761"/>
      <c r="BU53" s="9762"/>
      <c r="BV53" s="9763"/>
      <c r="BW53" s="9764"/>
      <c r="BX53" s="9765"/>
      <c r="BY53" s="9766"/>
      <c r="BZ53" s="9767"/>
      <c r="CA53" s="9768"/>
      <c r="CB53" s="9769"/>
      <c r="CC53" s="9770"/>
      <c r="CD53" s="9771"/>
      <c r="CE53" s="9772"/>
      <c r="CF53" s="9773"/>
      <c r="CG53" s="9774"/>
      <c r="CH53" s="9775"/>
      <c r="CI53" s="9776"/>
      <c r="CJ53" s="9777"/>
      <c r="CK53" s="9778"/>
      <c r="CL53" s="9779"/>
      <c r="CM53" s="9780"/>
      <c r="CN53" s="9781"/>
      <c r="CO53" s="9782"/>
      <c r="CP53" s="9783"/>
      <c r="CQ53" s="9784"/>
      <c r="CR53" s="9785"/>
      <c r="CS53" s="9786"/>
      <c r="CT53" s="9787"/>
      <c r="CU53" s="9788"/>
      <c r="CV53" s="9789"/>
      <c r="CW53" s="9790"/>
      <c r="CX53" s="9791"/>
      <c r="CY53" s="9792"/>
      <c r="CZ53" s="9793"/>
      <c r="DA53" s="9794"/>
      <c r="DB53" s="9795"/>
      <c r="DC53" s="9796"/>
      <c r="DD53" s="9797"/>
      <c r="DE53" s="9798"/>
      <c r="DF53" s="537"/>
      <c r="DG53" s="473"/>
      <c r="DI53" s="670"/>
      <c r="DJ53" s="670" t="str">
        <f>IF(T53="","",T53)</f>
        <v>Добавить схему подключения</v>
      </c>
      <c r="DK53" s="670"/>
      <c r="DL53" s="670"/>
      <c r="DM53" s="1325">
        <v>14</v>
      </c>
    </row>
    <row s="11993" customFormat="1" customHeight="1" ht="1.05">
      <c r="A54" s="1513" t="s">
        <v>173</v>
      </c>
      <c r="B54" s="1513" t="s">
        <v>174</v>
      </c>
      <c r="C54" s="1513" t="s">
        <v>175</v>
      </c>
      <c r="D54" s="1484"/>
      <c r="E54" s="2429"/>
      <c r="F54" s="2429"/>
      <c r="G54" s="2428"/>
      <c r="H54" s="1484"/>
      <c r="I54" s="1484"/>
      <c r="J54" s="1484"/>
      <c r="K54" s="1484"/>
      <c r="L54" s="1509"/>
      <c r="M54" s="1485"/>
      <c r="N54" s="1485"/>
      <c r="P54" s="1486"/>
      <c r="Q54" s="1487"/>
      <c r="R54" s="1486"/>
      <c r="S54" s="1492"/>
      <c r="T54" s="1495" t="s">
        <v>165</v>
      </c>
      <c r="U54" s="1494"/>
      <c r="V54" s="1494"/>
      <c r="W54" s="1494"/>
      <c r="X54" s="1494"/>
      <c r="Y54" s="1494"/>
      <c r="Z54" s="1494"/>
      <c r="AA54" s="1494"/>
      <c r="AB54" s="1494"/>
      <c r="AC54" s="1494"/>
      <c r="AD54" s="1494"/>
      <c r="AE54" s="1494"/>
      <c r="AF54" s="1494"/>
      <c r="AG54" s="1494"/>
      <c r="AH54" s="1494"/>
      <c r="AI54" s="1494"/>
      <c r="AJ54" s="1494"/>
      <c r="AK54" s="1494"/>
      <c r="AL54" s="9021"/>
      <c r="AM54" s="9021"/>
      <c r="AN54" s="9021"/>
      <c r="AO54" s="9021"/>
      <c r="AP54" s="9021"/>
      <c r="AQ54" s="9021"/>
      <c r="AR54" s="9021"/>
      <c r="AS54" s="9021"/>
      <c r="AT54" s="9021"/>
      <c r="AU54" s="9021"/>
      <c r="AV54" s="9021"/>
      <c r="AW54" s="9021"/>
      <c r="AX54" s="9021"/>
      <c r="AY54" s="9021"/>
      <c r="AZ54" s="9021"/>
      <c r="BA54" s="9021"/>
      <c r="BB54" s="9021"/>
      <c r="BC54" s="9021"/>
      <c r="BD54" s="9021"/>
      <c r="BE54" s="9021"/>
      <c r="BF54" s="9021"/>
      <c r="BG54" s="9021"/>
      <c r="BH54" s="9021"/>
      <c r="BI54" s="9021"/>
      <c r="BJ54" s="9021"/>
      <c r="BK54" s="9021"/>
      <c r="BL54" s="9021"/>
      <c r="BM54" s="9021"/>
      <c r="BN54" s="9021"/>
      <c r="BO54" s="9021"/>
      <c r="BP54" s="9021"/>
      <c r="BQ54" s="9021"/>
      <c r="BR54" s="9021"/>
      <c r="BS54" s="9021"/>
      <c r="BT54" s="9021"/>
      <c r="BU54" s="9021"/>
      <c r="BV54" s="9021"/>
      <c r="BW54" s="9021"/>
      <c r="BX54" s="9021"/>
      <c r="BY54" s="9021"/>
      <c r="BZ54" s="9021"/>
      <c r="CA54" s="9021"/>
      <c r="CB54" s="9021"/>
      <c r="CC54" s="9021"/>
      <c r="CD54" s="9021"/>
      <c r="CE54" s="9021"/>
      <c r="CF54" s="9021"/>
      <c r="CG54" s="9021"/>
      <c r="CH54" s="9021"/>
      <c r="CI54" s="9021"/>
      <c r="CJ54" s="9021"/>
      <c r="CK54" s="9021"/>
      <c r="CL54" s="9021"/>
      <c r="CM54" s="9021"/>
      <c r="CN54" s="9021"/>
      <c r="CO54" s="9021"/>
      <c r="CP54" s="9021"/>
      <c r="CQ54" s="9021"/>
      <c r="CR54" s="9021"/>
      <c r="CS54" s="9021"/>
      <c r="CT54" s="9021"/>
      <c r="CU54" s="9021"/>
      <c r="CV54" s="9021"/>
      <c r="CW54" s="9021"/>
      <c r="CX54" s="9021"/>
      <c r="CY54" s="9021"/>
      <c r="CZ54" s="9021"/>
      <c r="DA54" s="9021"/>
      <c r="DB54" s="9021"/>
      <c r="DC54" s="9021"/>
      <c r="DD54" s="9021"/>
      <c r="DE54" s="9021"/>
      <c r="DF54" s="1494"/>
      <c r="DG54" s="1494"/>
      <c r="DI54" s="959"/>
      <c r="DJ54" s="959" t="str">
        <f>IF(T54="","",T54)</f>
        <v>Добавить источник для дифференциации</v>
      </c>
      <c r="DK54" s="959"/>
      <c r="DL54" s="959"/>
      <c r="DM54" s="688">
        <v>1</v>
      </c>
    </row>
    <row s="11993" customFormat="1" customHeight="1" ht="1.05">
      <c r="A55" s="1513" t="s">
        <v>173</v>
      </c>
      <c r="B55" s="1513" t="s">
        <v>174</v>
      </c>
      <c r="C55" s="1484"/>
      <c r="D55" s="1484"/>
      <c r="E55" s="2429"/>
      <c r="F55" s="2428"/>
      <c r="G55" s="1484"/>
      <c r="H55" s="1484"/>
      <c r="I55" s="1484"/>
      <c r="J55" s="1484"/>
      <c r="K55" s="1484"/>
      <c r="L55" s="1509"/>
      <c r="M55" s="1491"/>
      <c r="N55" s="1491"/>
      <c r="P55" s="1486"/>
      <c r="Q55" s="1487"/>
      <c r="R55" s="1486"/>
      <c r="S55" s="1492"/>
      <c r="T55" s="1495" t="s">
        <v>166</v>
      </c>
      <c r="U55" s="1494"/>
      <c r="V55" s="1494"/>
      <c r="W55" s="1494"/>
      <c r="X55" s="1494"/>
      <c r="Y55" s="1494"/>
      <c r="Z55" s="1494"/>
      <c r="AA55" s="1494"/>
      <c r="AB55" s="1494"/>
      <c r="AC55" s="1494"/>
      <c r="AD55" s="1494"/>
      <c r="AE55" s="1494"/>
      <c r="AF55" s="1494"/>
      <c r="AG55" s="1494"/>
      <c r="AH55" s="1494"/>
      <c r="AI55" s="1494"/>
      <c r="AJ55" s="1494"/>
      <c r="AK55" s="1494"/>
      <c r="AL55" s="9021"/>
      <c r="AM55" s="9021"/>
      <c r="AN55" s="9021"/>
      <c r="AO55" s="9021"/>
      <c r="AP55" s="9021"/>
      <c r="AQ55" s="9021"/>
      <c r="AR55" s="9021"/>
      <c r="AS55" s="9021"/>
      <c r="AT55" s="9021"/>
      <c r="AU55" s="9021"/>
      <c r="AV55" s="9021"/>
      <c r="AW55" s="9021"/>
      <c r="AX55" s="9021"/>
      <c r="AY55" s="9021"/>
      <c r="AZ55" s="9021"/>
      <c r="BA55" s="9021"/>
      <c r="BB55" s="9021"/>
      <c r="BC55" s="9021"/>
      <c r="BD55" s="9021"/>
      <c r="BE55" s="9021"/>
      <c r="BF55" s="9021"/>
      <c r="BG55" s="9021"/>
      <c r="BH55" s="9021"/>
      <c r="BI55" s="9021"/>
      <c r="BJ55" s="9021"/>
      <c r="BK55" s="9021"/>
      <c r="BL55" s="9021"/>
      <c r="BM55" s="9021"/>
      <c r="BN55" s="9021"/>
      <c r="BO55" s="9021"/>
      <c r="BP55" s="9021"/>
      <c r="BQ55" s="9021"/>
      <c r="BR55" s="9021"/>
      <c r="BS55" s="9021"/>
      <c r="BT55" s="9021"/>
      <c r="BU55" s="9021"/>
      <c r="BV55" s="9021"/>
      <c r="BW55" s="9021"/>
      <c r="BX55" s="9021"/>
      <c r="BY55" s="9021"/>
      <c r="BZ55" s="9021"/>
      <c r="CA55" s="9021"/>
      <c r="CB55" s="9021"/>
      <c r="CC55" s="9021"/>
      <c r="CD55" s="9021"/>
      <c r="CE55" s="9021"/>
      <c r="CF55" s="9021"/>
      <c r="CG55" s="9021"/>
      <c r="CH55" s="9021"/>
      <c r="CI55" s="9021"/>
      <c r="CJ55" s="9021"/>
      <c r="CK55" s="9021"/>
      <c r="CL55" s="9021"/>
      <c r="CM55" s="9021"/>
      <c r="CN55" s="9021"/>
      <c r="CO55" s="9021"/>
      <c r="CP55" s="9021"/>
      <c r="CQ55" s="9021"/>
      <c r="CR55" s="9021"/>
      <c r="CS55" s="9021"/>
      <c r="CT55" s="9021"/>
      <c r="CU55" s="9021"/>
      <c r="CV55" s="9021"/>
      <c r="CW55" s="9021"/>
      <c r="CX55" s="9021"/>
      <c r="CY55" s="9021"/>
      <c r="CZ55" s="9021"/>
      <c r="DA55" s="9021"/>
      <c r="DB55" s="9021"/>
      <c r="DC55" s="9021"/>
      <c r="DD55" s="9021"/>
      <c r="DE55" s="9021"/>
      <c r="DF55" s="1494"/>
      <c r="DG55" s="1494"/>
      <c r="DI55" s="959"/>
      <c r="DJ55" s="959" t="str">
        <f>IF(T55="","",T55)</f>
        <v>Добавить централизованную систему для дифференциации</v>
      </c>
      <c r="DK55" s="959"/>
      <c r="DL55" s="959"/>
      <c r="DM55" s="688">
        <v>1</v>
      </c>
    </row>
    <row s="11993" customFormat="1" customHeight="1" ht="1.05">
      <c r="A56" s="1513" t="s">
        <v>173</v>
      </c>
      <c r="B56" s="1513"/>
      <c r="C56" s="1513"/>
      <c r="D56" s="1513"/>
      <c r="E56" s="2428"/>
      <c r="F56" s="1513"/>
      <c r="G56" s="1513"/>
      <c r="H56" s="1513"/>
      <c r="I56" s="1513"/>
      <c r="J56" s="1513"/>
      <c r="K56" s="1513"/>
      <c r="L56" s="1516"/>
      <c r="M56" s="1491"/>
      <c r="N56" s="1491"/>
      <c r="O56" s="688"/>
      <c r="P56" s="550"/>
      <c r="Q56" s="1514"/>
      <c r="R56" s="550"/>
      <c r="S56" s="1492"/>
      <c r="T56" s="1495" t="s">
        <v>167</v>
      </c>
      <c r="U56" s="1494"/>
      <c r="V56" s="1494"/>
      <c r="W56" s="1494"/>
      <c r="X56" s="1494"/>
      <c r="Y56" s="1494"/>
      <c r="Z56" s="1494"/>
      <c r="AA56" s="1494"/>
      <c r="AB56" s="1494"/>
      <c r="AC56" s="1494"/>
      <c r="AD56" s="1494"/>
      <c r="AE56" s="1494"/>
      <c r="AF56" s="1494"/>
      <c r="AG56" s="1494"/>
      <c r="AH56" s="1494"/>
      <c r="AI56" s="1494"/>
      <c r="AJ56" s="1494"/>
      <c r="AK56" s="1494"/>
      <c r="AL56" s="9021"/>
      <c r="AM56" s="9021"/>
      <c r="AN56" s="9021"/>
      <c r="AO56" s="9021"/>
      <c r="AP56" s="9021"/>
      <c r="AQ56" s="9021"/>
      <c r="AR56" s="9021"/>
      <c r="AS56" s="9021"/>
      <c r="AT56" s="9021"/>
      <c r="AU56" s="9021"/>
      <c r="AV56" s="9021"/>
      <c r="AW56" s="9021"/>
      <c r="AX56" s="9021"/>
      <c r="AY56" s="9021"/>
      <c r="AZ56" s="9021"/>
      <c r="BA56" s="9021"/>
      <c r="BB56" s="9021"/>
      <c r="BC56" s="9021"/>
      <c r="BD56" s="9021"/>
      <c r="BE56" s="9021"/>
      <c r="BF56" s="9021"/>
      <c r="BG56" s="9021"/>
      <c r="BH56" s="9021"/>
      <c r="BI56" s="9021"/>
      <c r="BJ56" s="9021"/>
      <c r="BK56" s="9021"/>
      <c r="BL56" s="9021"/>
      <c r="BM56" s="9021"/>
      <c r="BN56" s="9021"/>
      <c r="BO56" s="9021"/>
      <c r="BP56" s="9021"/>
      <c r="BQ56" s="9021"/>
      <c r="BR56" s="9021"/>
      <c r="BS56" s="9021"/>
      <c r="BT56" s="9021"/>
      <c r="BU56" s="9021"/>
      <c r="BV56" s="9021"/>
      <c r="BW56" s="9021"/>
      <c r="BX56" s="9021"/>
      <c r="BY56" s="9021"/>
      <c r="BZ56" s="9021"/>
      <c r="CA56" s="9021"/>
      <c r="CB56" s="9021"/>
      <c r="CC56" s="9021"/>
      <c r="CD56" s="9021"/>
      <c r="CE56" s="9021"/>
      <c r="CF56" s="9021"/>
      <c r="CG56" s="9021"/>
      <c r="CH56" s="9021"/>
      <c r="CI56" s="9021"/>
      <c r="CJ56" s="9021"/>
      <c r="CK56" s="9021"/>
      <c r="CL56" s="9021"/>
      <c r="CM56" s="9021"/>
      <c r="CN56" s="9021"/>
      <c r="CO56" s="9021"/>
      <c r="CP56" s="9021"/>
      <c r="CQ56" s="9021"/>
      <c r="CR56" s="9021"/>
      <c r="CS56" s="9021"/>
      <c r="CT56" s="9021"/>
      <c r="CU56" s="9021"/>
      <c r="CV56" s="9021"/>
      <c r="CW56" s="9021"/>
      <c r="CX56" s="9021"/>
      <c r="CY56" s="9021"/>
      <c r="CZ56" s="9021"/>
      <c r="DA56" s="9021"/>
      <c r="DB56" s="9021"/>
      <c r="DC56" s="9021"/>
      <c r="DD56" s="9021"/>
      <c r="DE56" s="9021"/>
      <c r="DF56" s="1494"/>
      <c r="DG56" s="1494"/>
      <c r="DI56" s="670"/>
      <c r="DJ56" s="670" t="str">
        <f>IF(T56="","",T56)</f>
        <v>Добавить территорию для дифференциации</v>
      </c>
      <c r="DK56" s="670"/>
      <c r="DL56" s="670"/>
      <c r="DM56" s="681">
        <v>1</v>
      </c>
    </row>
    <row s="11993" customFormat="1" customHeight="1" ht="1.05">
      <c r="A57" s="1484"/>
      <c r="B57" s="1484"/>
      <c r="C57" s="1484"/>
      <c r="D57" s="1484"/>
      <c r="E57" s="1513"/>
      <c r="F57" s="1484"/>
      <c r="G57" s="1484"/>
      <c r="H57" s="1484"/>
      <c r="I57" s="1484"/>
      <c r="J57" s="1484"/>
      <c r="K57" s="1484"/>
      <c r="L57" s="1509"/>
      <c r="M57" s="1491"/>
      <c r="N57" s="1491"/>
      <c r="P57" s="1486"/>
      <c r="Q57" s="1487"/>
      <c r="R57" s="1486"/>
      <c r="S57" s="1492"/>
      <c r="T57" s="1495" t="s">
        <v>168</v>
      </c>
      <c r="U57" s="1494"/>
      <c r="V57" s="1494"/>
      <c r="W57" s="1494"/>
      <c r="X57" s="1494"/>
      <c r="Y57" s="1494"/>
      <c r="Z57" s="1494"/>
      <c r="AA57" s="1494"/>
      <c r="AB57" s="1494"/>
      <c r="AC57" s="1494"/>
      <c r="AD57" s="1494"/>
      <c r="AE57" s="1494"/>
      <c r="AF57" s="1494"/>
      <c r="AG57" s="1494"/>
      <c r="AH57" s="1494"/>
      <c r="AI57" s="1494"/>
      <c r="AJ57" s="1494"/>
      <c r="AK57" s="1494"/>
      <c r="AL57" s="9021"/>
      <c r="AM57" s="9021"/>
      <c r="AN57" s="9021"/>
      <c r="AO57" s="9021"/>
      <c r="AP57" s="9021"/>
      <c r="AQ57" s="9021"/>
      <c r="AR57" s="9021"/>
      <c r="AS57" s="9021"/>
      <c r="AT57" s="9021"/>
      <c r="AU57" s="9021"/>
      <c r="AV57" s="9021"/>
      <c r="AW57" s="9021"/>
      <c r="AX57" s="9021"/>
      <c r="AY57" s="9021"/>
      <c r="AZ57" s="9021"/>
      <c r="BA57" s="9021"/>
      <c r="BB57" s="9021"/>
      <c r="BC57" s="9021"/>
      <c r="BD57" s="9021"/>
      <c r="BE57" s="9021"/>
      <c r="BF57" s="9021"/>
      <c r="BG57" s="9021"/>
      <c r="BH57" s="9021"/>
      <c r="BI57" s="9021"/>
      <c r="BJ57" s="9021"/>
      <c r="BK57" s="9021"/>
      <c r="BL57" s="9021"/>
      <c r="BM57" s="9021"/>
      <c r="BN57" s="9021"/>
      <c r="BO57" s="9021"/>
      <c r="BP57" s="9021"/>
      <c r="BQ57" s="9021"/>
      <c r="BR57" s="9021"/>
      <c r="BS57" s="9021"/>
      <c r="BT57" s="9021"/>
      <c r="BU57" s="9021"/>
      <c r="BV57" s="9021"/>
      <c r="BW57" s="9021"/>
      <c r="BX57" s="9021"/>
      <c r="BY57" s="9021"/>
      <c r="BZ57" s="9021"/>
      <c r="CA57" s="9021"/>
      <c r="CB57" s="9021"/>
      <c r="CC57" s="9021"/>
      <c r="CD57" s="9021"/>
      <c r="CE57" s="9021"/>
      <c r="CF57" s="9021"/>
      <c r="CG57" s="9021"/>
      <c r="CH57" s="9021"/>
      <c r="CI57" s="9021"/>
      <c r="CJ57" s="9021"/>
      <c r="CK57" s="9021"/>
      <c r="CL57" s="9021"/>
      <c r="CM57" s="9021"/>
      <c r="CN57" s="9021"/>
      <c r="CO57" s="9021"/>
      <c r="CP57" s="9021"/>
      <c r="CQ57" s="9021"/>
      <c r="CR57" s="9021"/>
      <c r="CS57" s="9021"/>
      <c r="CT57" s="9021"/>
      <c r="CU57" s="9021"/>
      <c r="CV57" s="9021"/>
      <c r="CW57" s="9021"/>
      <c r="CX57" s="9021"/>
      <c r="CY57" s="9021"/>
      <c r="CZ57" s="9021"/>
      <c r="DA57" s="9021"/>
      <c r="DB57" s="9021"/>
      <c r="DC57" s="9021"/>
      <c r="DD57" s="9021"/>
      <c r="DE57" s="9021"/>
      <c r="DF57" s="1494"/>
      <c r="DG57" s="1494"/>
      <c r="DI57" s="959"/>
      <c r="DJ57" s="959" t="str">
        <f>IF(T57="","",T57)</f>
        <v>Добавить наименование тарифа</v>
      </c>
      <c r="DK57" s="959"/>
      <c r="DL57" s="959"/>
      <c r="DM57" s="688">
        <v>1</v>
      </c>
    </row>
    <row customHeight="1" ht="11.549999999999999">
      <c r="M58" s="1330"/>
      <c r="N58" s="1330"/>
      <c r="O58" s="707"/>
      <c r="P58" s="1325"/>
      <c r="Q58" s="1325"/>
      <c r="R58" s="1325"/>
      <c r="S58" s="1325"/>
      <c r="AL58" s="8724"/>
      <c r="AM58" s="8724"/>
      <c r="AN58" s="8724"/>
      <c r="AO58" s="8724"/>
      <c r="AP58" s="8724"/>
      <c r="AQ58" s="8724"/>
      <c r="AR58" s="8724"/>
      <c r="AS58" s="8724"/>
      <c r="AT58" s="8724"/>
      <c r="AU58" s="8724"/>
      <c r="AV58" s="8724"/>
      <c r="AW58" s="8724"/>
      <c r="AX58" s="8724"/>
      <c r="AY58" s="8724"/>
      <c r="AZ58" s="8724"/>
      <c r="BA58" s="8724"/>
      <c r="BB58" s="8724"/>
      <c r="BC58" s="8724"/>
      <c r="BD58" s="8724"/>
      <c r="BE58" s="8724"/>
      <c r="BF58" s="8724"/>
      <c r="BG58" s="8724"/>
      <c r="BH58" s="8724"/>
      <c r="BI58" s="8724"/>
      <c r="BJ58" s="8724"/>
      <c r="BK58" s="8724"/>
      <c r="BL58" s="8724"/>
      <c r="BM58" s="8724"/>
      <c r="BN58" s="8724"/>
      <c r="BO58" s="8724"/>
      <c r="BP58" s="8724"/>
      <c r="BQ58" s="8724"/>
      <c r="BR58" s="8724"/>
      <c r="BS58" s="8724"/>
      <c r="BT58" s="8724"/>
      <c r="BU58" s="8724"/>
      <c r="BV58" s="8724"/>
      <c r="BW58" s="8724"/>
      <c r="BX58" s="8724"/>
      <c r="BY58" s="8724"/>
      <c r="BZ58" s="8724"/>
      <c r="CA58" s="8724"/>
      <c r="CB58" s="8724"/>
      <c r="CC58" s="8724"/>
      <c r="CD58" s="8724"/>
      <c r="CE58" s="8724"/>
      <c r="CF58" s="8724"/>
      <c r="CG58" s="8724"/>
      <c r="CH58" s="8724"/>
      <c r="CI58" s="8724"/>
      <c r="CJ58" s="8724"/>
      <c r="CK58" s="8724"/>
      <c r="CL58" s="8724"/>
      <c r="CM58" s="8724"/>
      <c r="CN58" s="8724"/>
      <c r="CO58" s="8724"/>
      <c r="CP58" s="8724"/>
      <c r="CQ58" s="8724"/>
      <c r="CR58" s="8724"/>
      <c r="CS58" s="8724"/>
      <c r="CT58" s="8724"/>
      <c r="CU58" s="8724"/>
      <c r="CV58" s="8724"/>
      <c r="CW58" s="8724"/>
      <c r="CX58" s="8724"/>
      <c r="CY58" s="8724"/>
      <c r="CZ58" s="8724"/>
      <c r="DA58" s="8724"/>
      <c r="DB58" s="8724"/>
      <c r="DC58" s="8724"/>
      <c r="DD58" s="8724"/>
      <c r="DE58" s="8724"/>
      <c r="DH58" s="1325"/>
      <c r="DI58" s="1325"/>
      <c r="DJ58" s="1325"/>
      <c r="DK58" s="1325"/>
      <c r="DL58" s="1325"/>
      <c r="DM58" s="1325">
        <v>11</v>
      </c>
    </row>
    <row customHeight="1" ht="28.5">
      <c r="O59" s="707"/>
      <c r="S59" s="1423"/>
      <c r="T59" s="2455"/>
      <c r="U59" s="2455"/>
      <c r="V59" s="2455"/>
      <c r="W59" s="2455"/>
      <c r="X59" s="2455"/>
      <c r="Y59" s="2455"/>
      <c r="Z59" s="2455"/>
      <c r="AA59" s="2455"/>
      <c r="AB59" s="2455"/>
      <c r="AC59" s="2455"/>
      <c r="AD59" s="2455"/>
      <c r="AE59" s="2455"/>
      <c r="AF59" s="2455"/>
      <c r="AG59" s="2455"/>
      <c r="AH59" s="2455"/>
      <c r="AI59" s="2455"/>
      <c r="AJ59" s="2455"/>
      <c r="AK59" s="2455"/>
      <c r="AL59" s="9350"/>
      <c r="AM59" s="9350"/>
      <c r="AN59" s="9350"/>
      <c r="AO59" s="9350"/>
      <c r="AP59" s="9350"/>
      <c r="AQ59" s="9350"/>
      <c r="AR59" s="9350"/>
      <c r="AS59" s="9350"/>
      <c r="AT59" s="9350"/>
      <c r="AU59" s="9350"/>
      <c r="AV59" s="9350"/>
      <c r="AW59" s="9350"/>
      <c r="AX59" s="9350"/>
      <c r="AY59" s="9350"/>
      <c r="AZ59" s="9350"/>
      <c r="BA59" s="9350"/>
      <c r="BB59" s="9350"/>
      <c r="BC59" s="9350"/>
      <c r="BD59" s="9350"/>
      <c r="BE59" s="9350"/>
      <c r="BF59" s="9350"/>
      <c r="BG59" s="9350"/>
      <c r="BH59" s="9350"/>
      <c r="BI59" s="9350"/>
      <c r="BJ59" s="9350"/>
      <c r="BK59" s="9350"/>
      <c r="BL59" s="9350"/>
      <c r="BM59" s="9350"/>
      <c r="BN59" s="9350"/>
      <c r="BO59" s="9350"/>
      <c r="BP59" s="9350"/>
      <c r="BQ59" s="9350"/>
      <c r="BR59" s="9350"/>
      <c r="BS59" s="9350"/>
      <c r="BT59" s="9350"/>
      <c r="BU59" s="9350"/>
      <c r="BV59" s="9350"/>
      <c r="BW59" s="9350"/>
      <c r="BX59" s="9350"/>
      <c r="BY59" s="9350"/>
      <c r="BZ59" s="9350"/>
      <c r="CA59" s="9350"/>
      <c r="CB59" s="9350"/>
      <c r="CC59" s="9350"/>
      <c r="CD59" s="9350"/>
      <c r="CE59" s="9350"/>
      <c r="CF59" s="9350"/>
      <c r="CG59" s="9350"/>
      <c r="CH59" s="9350"/>
      <c r="CI59" s="9350"/>
      <c r="CJ59" s="9350"/>
      <c r="CK59" s="9350"/>
      <c r="CL59" s="9350"/>
      <c r="CM59" s="9350"/>
      <c r="CN59" s="9350"/>
      <c r="CO59" s="9350"/>
      <c r="CP59" s="9350"/>
      <c r="CQ59" s="9350"/>
      <c r="CR59" s="9350"/>
      <c r="CS59" s="9350"/>
      <c r="CT59" s="9350"/>
      <c r="CU59" s="9350"/>
      <c r="CV59" s="9350"/>
      <c r="CW59" s="9350"/>
      <c r="CX59" s="9350"/>
      <c r="CY59" s="9350"/>
      <c r="CZ59" s="9350"/>
      <c r="DA59" s="9350"/>
      <c r="DB59" s="9350"/>
      <c r="DC59" s="9350"/>
      <c r="DD59" s="9350"/>
      <c r="DE59" s="9350"/>
      <c r="DF59" s="2455"/>
      <c r="DG59" s="2455"/>
      <c r="DM59" s="1325">
        <v>27</v>
      </c>
    </row>
    <row customHeight="1" ht="65.25">
      <c r="O60" s="707"/>
      <c r="T60" s="2455"/>
      <c r="U60" s="2455"/>
      <c r="V60" s="2455"/>
      <c r="W60" s="2455"/>
      <c r="X60" s="2455"/>
      <c r="Y60" s="2455"/>
      <c r="Z60" s="2455"/>
      <c r="AA60" s="2455"/>
      <c r="AB60" s="2455"/>
      <c r="AC60" s="2455"/>
      <c r="AD60" s="2455"/>
      <c r="AE60" s="2455"/>
      <c r="AF60" s="2455"/>
      <c r="AG60" s="2455"/>
      <c r="AH60" s="2455"/>
      <c r="AI60" s="2455"/>
      <c r="AJ60" s="2455"/>
      <c r="AK60" s="2455"/>
      <c r="AL60" s="9350"/>
      <c r="AM60" s="9350"/>
      <c r="AN60" s="9350"/>
      <c r="AO60" s="9350"/>
      <c r="AP60" s="9350"/>
      <c r="AQ60" s="9350"/>
      <c r="AR60" s="9350"/>
      <c r="AS60" s="9350"/>
      <c r="AT60" s="9350"/>
      <c r="AU60" s="9350"/>
      <c r="AV60" s="9350"/>
      <c r="AW60" s="9350"/>
      <c r="AX60" s="9350"/>
      <c r="AY60" s="9350"/>
      <c r="AZ60" s="9350"/>
      <c r="BA60" s="9350"/>
      <c r="BB60" s="9350"/>
      <c r="BC60" s="9350"/>
      <c r="BD60" s="9350"/>
      <c r="BE60" s="9350"/>
      <c r="BF60" s="9350"/>
      <c r="BG60" s="9350"/>
      <c r="BH60" s="9350"/>
      <c r="BI60" s="9350"/>
      <c r="BJ60" s="9350"/>
      <c r="BK60" s="9350"/>
      <c r="BL60" s="9350"/>
      <c r="BM60" s="9350"/>
      <c r="BN60" s="9350"/>
      <c r="BO60" s="9350"/>
      <c r="BP60" s="9350"/>
      <c r="BQ60" s="9350"/>
      <c r="BR60" s="9350"/>
      <c r="BS60" s="9350"/>
      <c r="BT60" s="9350"/>
      <c r="BU60" s="9350"/>
      <c r="BV60" s="9350"/>
      <c r="BW60" s="9350"/>
      <c r="BX60" s="9350"/>
      <c r="BY60" s="9350"/>
      <c r="BZ60" s="9350"/>
      <c r="CA60" s="9350"/>
      <c r="CB60" s="9350"/>
      <c r="CC60" s="9350"/>
      <c r="CD60" s="9350"/>
      <c r="CE60" s="9350"/>
      <c r="CF60" s="9350"/>
      <c r="CG60" s="9350"/>
      <c r="CH60" s="9350"/>
      <c r="CI60" s="9350"/>
      <c r="CJ60" s="9350"/>
      <c r="CK60" s="9350"/>
      <c r="CL60" s="9350"/>
      <c r="CM60" s="9350"/>
      <c r="CN60" s="9350"/>
      <c r="CO60" s="9350"/>
      <c r="CP60" s="9350"/>
      <c r="CQ60" s="9350"/>
      <c r="CR60" s="9350"/>
      <c r="CS60" s="9350"/>
      <c r="CT60" s="9350"/>
      <c r="CU60" s="9350"/>
      <c r="CV60" s="9350"/>
      <c r="CW60" s="9350"/>
      <c r="CX60" s="9350"/>
      <c r="CY60" s="9350"/>
      <c r="CZ60" s="9350"/>
      <c r="DA60" s="9350"/>
      <c r="DB60" s="9350"/>
      <c r="DC60" s="9350"/>
      <c r="DD60" s="9350"/>
      <c r="DE60" s="9350"/>
      <c r="DF60" s="2455"/>
      <c r="DG60" s="2455"/>
      <c r="DM60" s="1325">
        <v>62</v>
      </c>
    </row>
    <row customHeight="1" ht="14.699999999999998">
      <c r="O61" s="707"/>
      <c r="AL61" s="8724"/>
      <c r="AM61" s="8724"/>
      <c r="AN61" s="8724"/>
      <c r="AO61" s="8724"/>
      <c r="AP61" s="8724"/>
      <c r="AQ61" s="8724"/>
      <c r="AR61" s="8724"/>
      <c r="AS61" s="8724"/>
      <c r="AT61" s="8724"/>
      <c r="AU61" s="8724"/>
      <c r="AV61" s="8724"/>
      <c r="AW61" s="8724"/>
      <c r="AX61" s="8724"/>
      <c r="AY61" s="8724"/>
      <c r="AZ61" s="8724"/>
      <c r="BA61" s="8724"/>
      <c r="BB61" s="8724"/>
      <c r="BC61" s="8724"/>
      <c r="BD61" s="8724"/>
      <c r="BE61" s="8724"/>
      <c r="BF61" s="8724"/>
      <c r="BG61" s="8724"/>
      <c r="BH61" s="8724"/>
      <c r="BI61" s="8724"/>
      <c r="BJ61" s="8724"/>
      <c r="BK61" s="8724"/>
      <c r="BL61" s="8724"/>
      <c r="BM61" s="8724"/>
      <c r="BN61" s="8724"/>
      <c r="BO61" s="8724"/>
      <c r="BP61" s="8724"/>
      <c r="BQ61" s="8724"/>
      <c r="BR61" s="8724"/>
      <c r="BS61" s="8724"/>
      <c r="BT61" s="8724"/>
      <c r="BU61" s="8724"/>
      <c r="BV61" s="8724"/>
      <c r="BW61" s="8724"/>
      <c r="BX61" s="8724"/>
      <c r="BY61" s="8724"/>
      <c r="BZ61" s="8724"/>
      <c r="CA61" s="8724"/>
      <c r="CB61" s="8724"/>
      <c r="CC61" s="8724"/>
      <c r="CD61" s="8724"/>
      <c r="CE61" s="8724"/>
      <c r="CF61" s="8724"/>
      <c r="CG61" s="8724"/>
      <c r="CH61" s="8724"/>
      <c r="CI61" s="8724"/>
      <c r="CJ61" s="8724"/>
      <c r="CK61" s="8724"/>
      <c r="CL61" s="8724"/>
      <c r="CM61" s="8724"/>
      <c r="CN61" s="8724"/>
      <c r="CO61" s="8724"/>
      <c r="CP61" s="8724"/>
      <c r="CQ61" s="8724"/>
      <c r="CR61" s="8724"/>
      <c r="CS61" s="8724"/>
      <c r="CT61" s="8724"/>
      <c r="CU61" s="8724"/>
      <c r="CV61" s="8724"/>
      <c r="CW61" s="8724"/>
      <c r="CX61" s="8724"/>
      <c r="CY61" s="8724"/>
      <c r="CZ61" s="8724"/>
      <c r="DA61" s="8724"/>
      <c r="DB61" s="8724"/>
      <c r="DC61" s="8724"/>
      <c r="DD61" s="8724"/>
      <c r="DE61" s="8724"/>
      <c r="DM61" s="1325">
        <v>14</v>
      </c>
    </row>
    <row customHeight="1" ht="18.75">
      <c r="O62" s="707"/>
      <c r="S62" s="1423"/>
      <c r="T62" s="2455"/>
      <c r="U62" s="2455"/>
      <c r="V62" s="2455"/>
      <c r="W62" s="2455"/>
      <c r="X62" s="2455"/>
      <c r="Y62" s="2455"/>
      <c r="Z62" s="2455"/>
      <c r="AA62" s="2455"/>
      <c r="AB62" s="2455"/>
      <c r="AC62" s="2455"/>
      <c r="AD62" s="2455"/>
      <c r="AE62" s="2455"/>
      <c r="AF62" s="2455"/>
      <c r="AG62" s="2455"/>
      <c r="AH62" s="2455"/>
      <c r="AI62" s="2455"/>
      <c r="AJ62" s="2455"/>
      <c r="AK62" s="2455"/>
      <c r="AL62" s="9350"/>
      <c r="AM62" s="9350"/>
      <c r="AN62" s="9350"/>
      <c r="AO62" s="9350"/>
      <c r="AP62" s="9350"/>
      <c r="AQ62" s="9350"/>
      <c r="AR62" s="9350"/>
      <c r="AS62" s="9350"/>
      <c r="AT62" s="9350"/>
      <c r="AU62" s="9350"/>
      <c r="AV62" s="9350"/>
      <c r="AW62" s="9350"/>
      <c r="AX62" s="9350"/>
      <c r="AY62" s="9350"/>
      <c r="AZ62" s="9350"/>
      <c r="BA62" s="9350"/>
      <c r="BB62" s="9350"/>
      <c r="BC62" s="9350"/>
      <c r="BD62" s="9350"/>
      <c r="BE62" s="9350"/>
      <c r="BF62" s="9350"/>
      <c r="BG62" s="9350"/>
      <c r="BH62" s="9350"/>
      <c r="BI62" s="9350"/>
      <c r="BJ62" s="9350"/>
      <c r="BK62" s="9350"/>
      <c r="BL62" s="9350"/>
      <c r="BM62" s="9350"/>
      <c r="BN62" s="9350"/>
      <c r="BO62" s="9350"/>
      <c r="BP62" s="9350"/>
      <c r="BQ62" s="9350"/>
      <c r="BR62" s="9350"/>
      <c r="BS62" s="9350"/>
      <c r="BT62" s="9350"/>
      <c r="BU62" s="9350"/>
      <c r="BV62" s="9350"/>
      <c r="BW62" s="9350"/>
      <c r="BX62" s="9350"/>
      <c r="BY62" s="9350"/>
      <c r="BZ62" s="9350"/>
      <c r="CA62" s="9350"/>
      <c r="CB62" s="9350"/>
      <c r="CC62" s="9350"/>
      <c r="CD62" s="9350"/>
      <c r="CE62" s="9350"/>
      <c r="CF62" s="9350"/>
      <c r="CG62" s="9350"/>
      <c r="CH62" s="9350"/>
      <c r="CI62" s="9350"/>
      <c r="CJ62" s="9350"/>
      <c r="CK62" s="9350"/>
      <c r="CL62" s="9350"/>
      <c r="CM62" s="9350"/>
      <c r="CN62" s="9350"/>
      <c r="CO62" s="9350"/>
      <c r="CP62" s="9350"/>
      <c r="CQ62" s="9350"/>
      <c r="CR62" s="9350"/>
      <c r="CS62" s="9350"/>
      <c r="CT62" s="9350"/>
      <c r="CU62" s="9350"/>
      <c r="CV62" s="9350"/>
      <c r="CW62" s="9350"/>
      <c r="CX62" s="9350"/>
      <c r="CY62" s="9350"/>
      <c r="CZ62" s="9350"/>
      <c r="DA62" s="9350"/>
      <c r="DB62" s="9350"/>
      <c r="DC62" s="9350"/>
      <c r="DD62" s="9350"/>
      <c r="DE62" s="9350"/>
      <c r="DF62" s="2455"/>
      <c r="DG62" s="2455"/>
      <c r="DM62" s="1325">
        <v>18</v>
      </c>
    </row>
    <row customHeight="1" ht="18.75">
      <c r="O63" s="707"/>
      <c r="T63" s="2455"/>
      <c r="U63" s="2455"/>
      <c r="V63" s="2455"/>
      <c r="W63" s="2455"/>
      <c r="X63" s="2455"/>
      <c r="Y63" s="2455"/>
      <c r="Z63" s="2455"/>
      <c r="AA63" s="2455"/>
      <c r="AB63" s="2455"/>
      <c r="AC63" s="2455"/>
      <c r="AD63" s="2455"/>
      <c r="AE63" s="2455"/>
      <c r="AF63" s="2455"/>
      <c r="AG63" s="2455"/>
      <c r="AH63" s="2455"/>
      <c r="AI63" s="2455"/>
      <c r="AJ63" s="2455"/>
      <c r="AK63" s="2455"/>
      <c r="AL63" s="9350"/>
      <c r="AM63" s="9350"/>
      <c r="AN63" s="9350"/>
      <c r="AO63" s="9350"/>
      <c r="AP63" s="9350"/>
      <c r="AQ63" s="9350"/>
      <c r="AR63" s="9350"/>
      <c r="AS63" s="9350"/>
      <c r="AT63" s="9350"/>
      <c r="AU63" s="9350"/>
      <c r="AV63" s="9350"/>
      <c r="AW63" s="9350"/>
      <c r="AX63" s="9350"/>
      <c r="AY63" s="9350"/>
      <c r="AZ63" s="9350"/>
      <c r="BA63" s="9350"/>
      <c r="BB63" s="9350"/>
      <c r="BC63" s="9350"/>
      <c r="BD63" s="9350"/>
      <c r="BE63" s="9350"/>
      <c r="BF63" s="9350"/>
      <c r="BG63" s="9350"/>
      <c r="BH63" s="9350"/>
      <c r="BI63" s="9350"/>
      <c r="BJ63" s="9350"/>
      <c r="BK63" s="9350"/>
      <c r="BL63" s="9350"/>
      <c r="BM63" s="9350"/>
      <c r="BN63" s="9350"/>
      <c r="BO63" s="9350"/>
      <c r="BP63" s="9350"/>
      <c r="BQ63" s="9350"/>
      <c r="BR63" s="9350"/>
      <c r="BS63" s="9350"/>
      <c r="BT63" s="9350"/>
      <c r="BU63" s="9350"/>
      <c r="BV63" s="9350"/>
      <c r="BW63" s="9350"/>
      <c r="BX63" s="9350"/>
      <c r="BY63" s="9350"/>
      <c r="BZ63" s="9350"/>
      <c r="CA63" s="9350"/>
      <c r="CB63" s="9350"/>
      <c r="CC63" s="9350"/>
      <c r="CD63" s="9350"/>
      <c r="CE63" s="9350"/>
      <c r="CF63" s="9350"/>
      <c r="CG63" s="9350"/>
      <c r="CH63" s="9350"/>
      <c r="CI63" s="9350"/>
      <c r="CJ63" s="9350"/>
      <c r="CK63" s="9350"/>
      <c r="CL63" s="9350"/>
      <c r="CM63" s="9350"/>
      <c r="CN63" s="9350"/>
      <c r="CO63" s="9350"/>
      <c r="CP63" s="9350"/>
      <c r="CQ63" s="9350"/>
      <c r="CR63" s="9350"/>
      <c r="CS63" s="9350"/>
      <c r="CT63" s="9350"/>
      <c r="CU63" s="9350"/>
      <c r="CV63" s="9350"/>
      <c r="CW63" s="9350"/>
      <c r="CX63" s="9350"/>
      <c r="CY63" s="9350"/>
      <c r="CZ63" s="9350"/>
      <c r="DA63" s="9350"/>
      <c r="DB63" s="9350"/>
      <c r="DC63" s="9350"/>
      <c r="DD63" s="9350"/>
      <c r="DE63" s="9350"/>
      <c r="DF63" s="2455"/>
      <c r="DG63" s="2455"/>
      <c r="DM63" s="1325">
        <v>18</v>
      </c>
    </row>
    <row customHeight="1" ht="29.25">
      <c r="O64" s="707"/>
      <c r="S64" s="1423"/>
      <c r="T64" s="2455"/>
      <c r="U64" s="2455"/>
      <c r="V64" s="2455"/>
      <c r="W64" s="2455"/>
      <c r="X64" s="2455"/>
      <c r="Y64" s="2455"/>
      <c r="Z64" s="2455"/>
      <c r="AA64" s="2455"/>
      <c r="AB64" s="2455"/>
      <c r="AC64" s="2455"/>
      <c r="AD64" s="2455"/>
      <c r="AE64" s="2455"/>
      <c r="AF64" s="2455"/>
      <c r="AG64" s="2455"/>
      <c r="AH64" s="2455"/>
      <c r="AI64" s="2455"/>
      <c r="AJ64" s="2455"/>
      <c r="AK64" s="2455"/>
      <c r="AL64" s="9350"/>
      <c r="AM64" s="9350"/>
      <c r="AN64" s="9350"/>
      <c r="AO64" s="9350"/>
      <c r="AP64" s="9350"/>
      <c r="AQ64" s="9350"/>
      <c r="AR64" s="9350"/>
      <c r="AS64" s="9350"/>
      <c r="AT64" s="9350"/>
      <c r="AU64" s="9350"/>
      <c r="AV64" s="9350"/>
      <c r="AW64" s="9350"/>
      <c r="AX64" s="9350"/>
      <c r="AY64" s="9350"/>
      <c r="AZ64" s="9350"/>
      <c r="BA64" s="9350"/>
      <c r="BB64" s="9350"/>
      <c r="BC64" s="9350"/>
      <c r="BD64" s="9350"/>
      <c r="BE64" s="9350"/>
      <c r="BF64" s="9350"/>
      <c r="BG64" s="9350"/>
      <c r="BH64" s="9350"/>
      <c r="BI64" s="9350"/>
      <c r="BJ64" s="9350"/>
      <c r="BK64" s="9350"/>
      <c r="BL64" s="9350"/>
      <c r="BM64" s="9350"/>
      <c r="BN64" s="9350"/>
      <c r="BO64" s="9350"/>
      <c r="BP64" s="9350"/>
      <c r="BQ64" s="9350"/>
      <c r="BR64" s="9350"/>
      <c r="BS64" s="9350"/>
      <c r="BT64" s="9350"/>
      <c r="BU64" s="9350"/>
      <c r="BV64" s="9350"/>
      <c r="BW64" s="9350"/>
      <c r="BX64" s="9350"/>
      <c r="BY64" s="9350"/>
      <c r="BZ64" s="9350"/>
      <c r="CA64" s="9350"/>
      <c r="CB64" s="9350"/>
      <c r="CC64" s="9350"/>
      <c r="CD64" s="9350"/>
      <c r="CE64" s="9350"/>
      <c r="CF64" s="9350"/>
      <c r="CG64" s="9350"/>
      <c r="CH64" s="9350"/>
      <c r="CI64" s="9350"/>
      <c r="CJ64" s="9350"/>
      <c r="CK64" s="9350"/>
      <c r="CL64" s="9350"/>
      <c r="CM64" s="9350"/>
      <c r="CN64" s="9350"/>
      <c r="CO64" s="9350"/>
      <c r="CP64" s="9350"/>
      <c r="CQ64" s="9350"/>
      <c r="CR64" s="9350"/>
      <c r="CS64" s="9350"/>
      <c r="CT64" s="9350"/>
      <c r="CU64" s="9350"/>
      <c r="CV64" s="9350"/>
      <c r="CW64" s="9350"/>
      <c r="CX64" s="9350"/>
      <c r="CY64" s="9350"/>
      <c r="CZ64" s="9350"/>
      <c r="DA64" s="9350"/>
      <c r="DB64" s="9350"/>
      <c r="DC64" s="9350"/>
      <c r="DD64" s="9350"/>
      <c r="DE64" s="9350"/>
      <c r="DF64" s="2455"/>
      <c r="DG64" s="2455"/>
      <c r="DM64" s="1325">
        <v>28</v>
      </c>
    </row>
    <row customHeight="1" ht="22.5" hidden="1">
      <c r="A65" s="1330" t="s">
        <v>85</v>
      </c>
      <c r="B65" s="1330">
        <v>0</v>
      </c>
      <c r="C65" s="1330">
        <v>0</v>
      </c>
      <c r="D65" s="1330">
        <v>0</v>
      </c>
      <c r="E65" s="1330">
        <v>0</v>
      </c>
      <c r="F65" s="1330">
        <v>0</v>
      </c>
      <c r="G65" s="1330">
        <v>0</v>
      </c>
      <c r="H65" s="1330">
        <v>0</v>
      </c>
      <c r="I65" s="1330">
        <v>0</v>
      </c>
      <c r="J65" s="1330">
        <v>0</v>
      </c>
      <c r="K65" s="1330">
        <v>0</v>
      </c>
      <c r="L65" s="1499">
        <v>0</v>
      </c>
      <c r="M65" s="1532">
        <v>0</v>
      </c>
      <c r="N65" s="1532">
        <v>0</v>
      </c>
      <c r="O65" s="1532">
        <v>0</v>
      </c>
      <c r="P65" s="1498">
        <v>3</v>
      </c>
      <c r="Q65" s="514">
        <v>3</v>
      </c>
      <c r="R65" s="514">
        <v>3</v>
      </c>
      <c r="S65" s="751">
        <v>12</v>
      </c>
      <c r="T65" s="1325">
        <v>31</v>
      </c>
      <c r="U65" s="1325">
        <v>0</v>
      </c>
      <c r="V65" s="1325">
        <v>0</v>
      </c>
      <c r="W65" s="1325">
        <v>0</v>
      </c>
      <c r="X65" s="1325">
        <v>0</v>
      </c>
      <c r="Y65" s="1325">
        <v>0</v>
      </c>
      <c r="Z65" s="1325">
        <v>0</v>
      </c>
      <c r="AA65" s="1325">
        <v>0</v>
      </c>
      <c r="AB65" s="1325">
        <v>0</v>
      </c>
      <c r="AC65" s="1325">
        <v>0</v>
      </c>
      <c r="AD65" s="1325">
        <v>24</v>
      </c>
      <c r="AE65" s="1325">
        <v>0</v>
      </c>
      <c r="AF65" s="1325">
        <v>24</v>
      </c>
      <c r="AG65" s="1325">
        <v>24</v>
      </c>
      <c r="AH65" s="1325">
        <v>11</v>
      </c>
      <c r="AI65" s="1325">
        <v>3</v>
      </c>
      <c r="AJ65" s="1325">
        <v>11</v>
      </c>
      <c r="AK65" s="1325">
        <v>0</v>
      </c>
      <c r="AL65" s="8724">
        <v>0</v>
      </c>
      <c r="AM65" s="8724">
        <v>0</v>
      </c>
      <c r="AN65" s="8724">
        <v>0</v>
      </c>
      <c r="AO65" s="8724">
        <v>0</v>
      </c>
      <c r="AP65" s="8724">
        <v>0</v>
      </c>
      <c r="AQ65" s="8724">
        <v>0</v>
      </c>
      <c r="AR65" s="8724">
        <v>0</v>
      </c>
      <c r="AS65" s="8724">
        <v>0</v>
      </c>
      <c r="AT65" s="8724">
        <v>0</v>
      </c>
      <c r="AU65" s="8724">
        <v>0</v>
      </c>
      <c r="AV65" s="8724">
        <v>0</v>
      </c>
      <c r="AW65" s="8724">
        <v>0</v>
      </c>
      <c r="AX65" s="8724">
        <v>0</v>
      </c>
      <c r="AY65" s="8724">
        <v>0</v>
      </c>
      <c r="AZ65" s="8724">
        <v>0</v>
      </c>
      <c r="BA65" s="8724">
        <v>0</v>
      </c>
      <c r="BB65" s="8724">
        <v>0</v>
      </c>
      <c r="BC65" s="8724">
        <v>0</v>
      </c>
      <c r="BD65" s="8724">
        <v>0</v>
      </c>
      <c r="BE65" s="8724">
        <v>0</v>
      </c>
      <c r="BF65" s="8724">
        <v>0</v>
      </c>
      <c r="BG65" s="8724">
        <v>0</v>
      </c>
      <c r="BH65" s="8724">
        <v>0</v>
      </c>
      <c r="BI65" s="8724">
        <v>0</v>
      </c>
      <c r="BJ65" s="8724">
        <v>0</v>
      </c>
      <c r="BK65" s="8724">
        <v>0</v>
      </c>
      <c r="BL65" s="8724">
        <v>0</v>
      </c>
      <c r="BM65" s="8724">
        <v>0</v>
      </c>
      <c r="BN65" s="8724">
        <v>0</v>
      </c>
      <c r="BO65" s="8724">
        <v>0</v>
      </c>
      <c r="BP65" s="8724">
        <v>0</v>
      </c>
      <c r="BQ65" s="8724">
        <v>0</v>
      </c>
      <c r="BR65" s="8724">
        <v>0</v>
      </c>
      <c r="BS65" s="8724">
        <v>0</v>
      </c>
      <c r="BT65" s="8724">
        <v>0</v>
      </c>
      <c r="BU65" s="8724">
        <v>0</v>
      </c>
      <c r="BV65" s="8724">
        <v>0</v>
      </c>
      <c r="BW65" s="8724">
        <v>0</v>
      </c>
      <c r="BX65" s="8724">
        <v>0</v>
      </c>
      <c r="BY65" s="8724">
        <v>0</v>
      </c>
      <c r="BZ65" s="8724">
        <v>0</v>
      </c>
      <c r="CA65" s="8724">
        <v>0</v>
      </c>
      <c r="CB65" s="8724">
        <v>0</v>
      </c>
      <c r="CC65" s="8724">
        <v>0</v>
      </c>
      <c r="CD65" s="8724">
        <v>0</v>
      </c>
      <c r="CE65" s="8724">
        <v>0</v>
      </c>
      <c r="CF65" s="8724">
        <v>0</v>
      </c>
      <c r="CG65" s="8724">
        <v>0</v>
      </c>
      <c r="CH65" s="8724">
        <v>0</v>
      </c>
      <c r="CI65" s="8724">
        <v>0</v>
      </c>
      <c r="CJ65" s="8724">
        <v>0</v>
      </c>
      <c r="CK65" s="8724">
        <v>0</v>
      </c>
      <c r="CL65" s="8724">
        <v>0</v>
      </c>
      <c r="CM65" s="8724">
        <v>0</v>
      </c>
      <c r="CN65" s="8724">
        <v>0</v>
      </c>
      <c r="CO65" s="8724">
        <v>0</v>
      </c>
      <c r="CP65" s="8724">
        <v>0</v>
      </c>
      <c r="CQ65" s="8724">
        <v>0</v>
      </c>
      <c r="CR65" s="8724">
        <v>0</v>
      </c>
      <c r="CS65" s="8724">
        <v>0</v>
      </c>
      <c r="CT65" s="8724">
        <v>0</v>
      </c>
      <c r="CU65" s="8724">
        <v>0</v>
      </c>
      <c r="CV65" s="8724">
        <v>0</v>
      </c>
      <c r="CW65" s="8724">
        <v>0</v>
      </c>
      <c r="CX65" s="8724">
        <v>0</v>
      </c>
      <c r="CY65" s="8724">
        <v>0</v>
      </c>
      <c r="CZ65" s="8724">
        <v>0</v>
      </c>
      <c r="DA65" s="8724">
        <v>0</v>
      </c>
      <c r="DB65" s="8724">
        <v>0</v>
      </c>
      <c r="DC65" s="8724">
        <v>0</v>
      </c>
      <c r="DD65" s="8724">
        <v>0</v>
      </c>
      <c r="DE65" s="8724">
        <v>0</v>
      </c>
      <c r="DF65" s="1325">
        <v>4</v>
      </c>
      <c r="DG65" s="1325">
        <v>115</v>
      </c>
      <c r="DH65" s="681">
        <v>10</v>
      </c>
      <c r="DI65" s="681">
        <v>10</v>
      </c>
      <c r="DJ65" s="681">
        <v>10</v>
      </c>
      <c r="DK65" s="681">
        <v>10</v>
      </c>
      <c r="DL65" s="681">
        <v>10</v>
      </c>
      <c r="DM65" s="1325">
        <v>23</v>
      </c>
    </row>
  </sheetData>
  <sheetProtection formatColumns="0" formatRows="0" autoFilter="0" sort="0" insertRows="0" insertColumns="1" deleteRows="0" deleteColumns="0"/>
  <mergeCells count="319">
    <mergeCell ref="T63:DG63"/>
    <mergeCell ref="T64:DG64"/>
    <mergeCell ref="T62:DG62"/>
    <mergeCell ref="DG49:DG51"/>
    <mergeCell ref="T59:DG59"/>
    <mergeCell ref="T60:DG60"/>
    <mergeCell ref="J48:J51"/>
    <mergeCell ref="Q48:Q51"/>
    <mergeCell ref="V48:AC48"/>
    <mergeCell ref="AD48:DF48"/>
    <mergeCell ref="K49:K50"/>
    <mergeCell ref="Z49:Z50"/>
    <mergeCell ref="AA49:AA50"/>
    <mergeCell ref="AB49:AB50"/>
    <mergeCell ref="AC49:AC50"/>
    <mergeCell ref="AH49:AH50"/>
    <mergeCell ref="AI49:AI50"/>
    <mergeCell ref="AJ49:AJ50"/>
    <mergeCell ref="AK49:AK50"/>
    <mergeCell ref="E43:E56"/>
    <mergeCell ref="V43:AC43"/>
    <mergeCell ref="AD43:DF43"/>
    <mergeCell ref="F44:F55"/>
    <mergeCell ref="V44:AC44"/>
    <mergeCell ref="AD44:DF44"/>
    <mergeCell ref="G45:G54"/>
    <mergeCell ref="V45:AC45"/>
    <mergeCell ref="AD45:DF45"/>
    <mergeCell ref="H46:H53"/>
    <mergeCell ref="V46:AC46"/>
    <mergeCell ref="AD46:DF46"/>
    <mergeCell ref="I47:I52"/>
    <mergeCell ref="P47:P52"/>
    <mergeCell ref="V47:AC47"/>
    <mergeCell ref="AD47:DF47"/>
    <mergeCell ref="AH40:AJ40"/>
    <mergeCell ref="AA41:AB41"/>
    <mergeCell ref="AI41:AJ41"/>
    <mergeCell ref="AA42:AB42"/>
    <mergeCell ref="AI42:AJ42"/>
    <mergeCell ref="S38:DF38"/>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DG8:DG10"/>
    <mergeCell ref="AH17:AH18"/>
    <mergeCell ref="AI17:AI18"/>
    <mergeCell ref="AJ17:AJ18"/>
    <mergeCell ref="AK17:AK18"/>
    <mergeCell ref="AH8:AH9"/>
    <mergeCell ref="AI8:AI9"/>
    <mergeCell ref="AJ8:AJ9"/>
    <mergeCell ref="AK8:AK9"/>
    <mergeCell ref="V7:AC7"/>
    <mergeCell ref="AD7:DF7"/>
    <mergeCell ref="V2:AC2"/>
    <mergeCell ref="AD2:DF2"/>
    <mergeCell ref="V3:AC3"/>
    <mergeCell ref="AD3:DF3"/>
    <mergeCell ref="V4:AC4"/>
    <mergeCell ref="AD4:DF4"/>
    <mergeCell ref="V5:AC5"/>
    <mergeCell ref="AD5:DF5"/>
    <mergeCell ref="V6:AC6"/>
    <mergeCell ref="AD6:DF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X8:AX9"/>
    <mergeCell ref="AY8:AY9"/>
    <mergeCell ref="AZ8:AZ9"/>
    <mergeCell ref="BA8:BA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F8:BF9"/>
    <mergeCell ref="BG8:BG9"/>
    <mergeCell ref="BH8:BH9"/>
    <mergeCell ref="BI8:BI9"/>
    <mergeCell ref="BB29:BH29"/>
    <mergeCell ref="BB30:BH30"/>
    <mergeCell ref="BB31:BH31"/>
    <mergeCell ref="BB32:BH32"/>
    <mergeCell ref="BB34:BH34"/>
    <mergeCell ref="BB35:BH35"/>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N8:BN9"/>
    <mergeCell ref="BO8:BO9"/>
    <mergeCell ref="BP8:BP9"/>
    <mergeCell ref="BQ8:BQ9"/>
    <mergeCell ref="BJ29:BP29"/>
    <mergeCell ref="BJ30:BP30"/>
    <mergeCell ref="BJ31:BP31"/>
    <mergeCell ref="BJ32:BP32"/>
    <mergeCell ref="BJ34:BP34"/>
    <mergeCell ref="BJ35:BP35"/>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V8:BV9"/>
    <mergeCell ref="BW8:BW9"/>
    <mergeCell ref="BX8:BX9"/>
    <mergeCell ref="BY8:BY9"/>
    <mergeCell ref="BR29:BX29"/>
    <mergeCell ref="BR30:BX30"/>
    <mergeCell ref="BR31:BX31"/>
    <mergeCell ref="BR32:BX32"/>
    <mergeCell ref="BR34:BX34"/>
    <mergeCell ref="BR35:BX35"/>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CD8:CD9"/>
    <mergeCell ref="CE8:CE9"/>
    <mergeCell ref="CF8:CF9"/>
    <mergeCell ref="CG8:CG9"/>
    <mergeCell ref="BZ29:CF29"/>
    <mergeCell ref="BZ30:CF30"/>
    <mergeCell ref="BZ31:CF31"/>
    <mergeCell ref="BZ32:CF32"/>
    <mergeCell ref="BZ34:CF34"/>
    <mergeCell ref="BZ35:CF35"/>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L8:CL9"/>
    <mergeCell ref="CM8:CM9"/>
    <mergeCell ref="CN8:CN9"/>
    <mergeCell ref="CO8:CO9"/>
    <mergeCell ref="CH29:CN29"/>
    <mergeCell ref="CH30:CN30"/>
    <mergeCell ref="CH31:CN31"/>
    <mergeCell ref="CH32:CN32"/>
    <mergeCell ref="CH34:CN34"/>
    <mergeCell ref="CH35:CN35"/>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T8:CT9"/>
    <mergeCell ref="CU8:CU9"/>
    <mergeCell ref="CV8:CV9"/>
    <mergeCell ref="CW8:CW9"/>
    <mergeCell ref="CP29:CV29"/>
    <mergeCell ref="CP30:CV30"/>
    <mergeCell ref="CP31:CV31"/>
    <mergeCell ref="CP32:CV32"/>
    <mergeCell ref="CP34:CV34"/>
    <mergeCell ref="CP35:CV35"/>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DB8:DB9"/>
    <mergeCell ref="DC8:DC9"/>
    <mergeCell ref="DD8:DD9"/>
    <mergeCell ref="DE8:DE9"/>
    <mergeCell ref="CX29:DD29"/>
    <mergeCell ref="CX30:DD30"/>
    <mergeCell ref="CX31:DD31"/>
    <mergeCell ref="CX32:DD32"/>
    <mergeCell ref="CX34:DD34"/>
    <mergeCell ref="CX35:DD35"/>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9 DA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DE32772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I49 AK458801:DE458801 AI8 AC8 AA8 AI17 AK196657:DE196657 AA49 AC49 AK262193:DE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486EA1-BA02-BDC1-28A5-09E25E84A4F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1913" width="10.57421875" hidden="1"/>
    <col min="2" max="2" style="11913" width="11.00390625" hidden="1" customWidth="1"/>
    <col min="3" max="3" style="11913" width="10.57421875" hidden="1"/>
    <col min="4" max="4" style="11913" width="11.8515625" hidden="1" customWidth="1"/>
    <col min="5" max="5" style="11913" width="10.00390625" hidden="1" customWidth="1"/>
    <col min="6" max="6" style="11913" width="8.7109375" hidden="1" customWidth="1"/>
    <col min="7" max="7" style="11913" width="7.57421875" hidden="1" customWidth="1"/>
    <col min="8" max="8" style="11913" width="11.421875" hidden="1" customWidth="1"/>
    <col min="9" max="9" style="11913" width="12.00390625" hidden="1" customWidth="1"/>
    <col min="10" max="10" style="11913" width="9.8515625" hidden="1" customWidth="1"/>
    <col min="11" max="11" style="11913" width="11.421875" hidden="1" customWidth="1"/>
    <col min="12" max="12" style="11990" width="19.140625" hidden="1" customWidth="1"/>
    <col min="13" max="14" style="13390" width="12.28125" hidden="1" customWidth="1"/>
    <col min="15" max="15" style="13390" width="23.421875" hidden="1" customWidth="1"/>
    <col min="16" max="16" style="13390" width="3.00390625" customWidth="1"/>
    <col min="17" max="18" style="13391" width="3.00390625" customWidth="1"/>
    <col min="19" max="19" style="13392" width="12.00390625" customWidth="1"/>
    <col min="20" max="20" style="11913" width="31.00390625" customWidth="1"/>
    <col min="21" max="21" style="11913" width="0.140625" customWidth="1"/>
    <col min="22" max="22" style="11913" width="24.7109375" hidden="1" customWidth="1"/>
    <col min="23" max="23" style="11913" width="0.140625" hidden="1" customWidth="1"/>
    <col min="24" max="25" style="11913" width="24.7109375" hidden="1" customWidth="1"/>
    <col min="26" max="26" style="11913" width="11.7109375" hidden="1" customWidth="1"/>
    <col min="27" max="27" style="11913" width="3.7109375" hidden="1" customWidth="1"/>
    <col min="28" max="28" style="11913" width="11.7109375" hidden="1" customWidth="1"/>
    <col min="29" max="29" style="11913" width="8.57421875" hidden="1" customWidth="1"/>
    <col min="30" max="30" style="11913" width="24.7109375" customWidth="1"/>
    <col min="31" max="31" style="11913" width="0.140625" customWidth="1"/>
    <col min="32" max="33" style="11913" width="24.00390625" customWidth="1"/>
    <col min="34" max="34" style="11913" width="11.00390625" customWidth="1"/>
    <col min="35" max="35" style="11913" width="3.7109375" customWidth="1"/>
    <col min="36" max="36" style="11913" width="11.00390625" customWidth="1"/>
    <col min="37" max="37" style="11913" width="8.57421875" hidden="1" customWidth="1"/>
    <col min="38" max="38" style="11913" width="4.00390625" customWidth="1"/>
    <col min="39" max="39" style="11913" width="115.00390625" customWidth="1"/>
    <col min="40" max="44" style="11993" width="10.00390625" customWidth="1"/>
    <col min="45" max="45" style="11913" width="10.57421875" hidden="1"/>
  </cols>
  <sheetData>
    <row customHeight="1" ht="22.5" hidden="1">
      <c r="AS1" s="1801" t="s">
        <v>14</v>
      </c>
    </row>
    <row customHeight="1" ht="21" hidden="1">
      <c r="A2" s="1437"/>
      <c r="B2" s="1437"/>
      <c r="C2" s="1437"/>
      <c r="D2" s="1437"/>
      <c r="E2" s="2459">
        <v>1</v>
      </c>
      <c r="F2" s="1437"/>
      <c r="G2" s="1437"/>
      <c r="H2" s="1437"/>
      <c r="I2" s="1437"/>
      <c r="J2" s="1437"/>
      <c r="K2" s="1437"/>
      <c r="L2" s="1480"/>
      <c r="M2" s="1780"/>
      <c r="N2" s="1780"/>
      <c r="O2" s="1780"/>
      <c r="P2" s="1760"/>
      <c r="Q2" s="530"/>
      <c r="R2" s="525"/>
      <c r="S2" s="2128">
        <f>INDEX(PT_DIFFERENTIATION_NUM_NTAR,MATCH(A2,PT_DIFFERENTIATION_NTAR_ID,0))</f>
      </c>
      <c r="T2" s="1695" t="s">
        <v>126</v>
      </c>
      <c r="U2" s="470"/>
      <c r="V2" s="2412"/>
      <c r="W2" s="2413"/>
      <c r="X2" s="2413"/>
      <c r="Y2" s="2413"/>
      <c r="Z2" s="2413"/>
      <c r="AA2" s="2413"/>
      <c r="AB2" s="2413"/>
      <c r="AC2" s="2414"/>
      <c r="AD2" s="2412">
        <f>INDEX(PT_DIFFERENTIATION_NTAR,MATCH(A2,PT_DIFFERENTIATION_NTAR_ID,0))</f>
      </c>
      <c r="AE2" s="2413"/>
      <c r="AF2" s="2413"/>
      <c r="AG2" s="2413"/>
      <c r="AH2" s="2413"/>
      <c r="AI2" s="2413"/>
      <c r="AJ2" s="2413"/>
      <c r="AK2" s="2413"/>
      <c r="AL2" s="2414"/>
      <c r="AM2" s="1428" t="s">
        <v>408</v>
      </c>
      <c r="AO2" s="1794"/>
      <c r="AP2" s="1794" t="str">
        <f>IF(T2="","",T2)</f>
        <v>Наименование тарифа</v>
      </c>
      <c r="AQ2" s="1794"/>
      <c r="AR2" s="1794"/>
      <c r="AS2" s="1801">
        <v>0</v>
      </c>
    </row>
    <row customHeight="1" ht="21" hidden="1">
      <c r="A3" s="1437"/>
      <c r="B3" s="1437"/>
      <c r="C3" s="1437"/>
      <c r="D3" s="1437"/>
      <c r="E3" s="2460"/>
      <c r="F3" s="2459">
        <v>1</v>
      </c>
      <c r="G3" s="1437"/>
      <c r="H3" s="1437"/>
      <c r="I3" s="1437"/>
      <c r="J3" s="1437"/>
      <c r="K3" s="1437"/>
      <c r="L3" s="1480"/>
      <c r="M3" s="1780"/>
      <c r="N3" s="1780"/>
      <c r="O3" s="1780"/>
      <c r="P3" s="2110"/>
      <c r="Q3" s="522"/>
      <c r="R3" s="523"/>
      <c r="S3" s="2128">
        <f>INDEX(PT_DIFFERENTIATION_NUM_TER,MATCH(B3,PT_DIFFERENTIATION_TER_ID,0))</f>
      </c>
      <c r="T3" s="1692" t="s">
        <v>409</v>
      </c>
      <c r="U3" s="470"/>
      <c r="V3" s="2412"/>
      <c r="W3" s="2413"/>
      <c r="X3" s="2413"/>
      <c r="Y3" s="2413"/>
      <c r="Z3" s="2413"/>
      <c r="AA3" s="2413"/>
      <c r="AB3" s="2413"/>
      <c r="AC3" s="2414"/>
      <c r="AD3" s="2412">
        <f>INDEX(PT_DIFFERENTIATION_TER,MATCH(B3,PT_DIFFERENTIATION_TER_ID,0))</f>
      </c>
      <c r="AE3" s="2413"/>
      <c r="AF3" s="2413"/>
      <c r="AG3" s="2413"/>
      <c r="AH3" s="2413"/>
      <c r="AI3" s="2413"/>
      <c r="AJ3" s="2413"/>
      <c r="AK3" s="2413"/>
      <c r="AL3" s="2414"/>
      <c r="AM3" s="1428" t="s">
        <v>410</v>
      </c>
      <c r="AO3" s="1794"/>
      <c r="AP3" s="1794" t="str">
        <f>IF(T3="","",T3)</f>
        <v>Территория действия тарифа</v>
      </c>
      <c r="AQ3" s="1794"/>
      <c r="AR3" s="1794"/>
      <c r="AS3" s="1801">
        <v>0</v>
      </c>
    </row>
    <row customHeight="1" ht="23.25" hidden="1">
      <c r="A4" s="1437"/>
      <c r="B4" s="1437"/>
      <c r="C4" s="1437"/>
      <c r="D4" s="1437"/>
      <c r="E4" s="2460"/>
      <c r="F4" s="2460"/>
      <c r="G4" s="2459">
        <v>1</v>
      </c>
      <c r="H4" s="1437"/>
      <c r="I4" s="1437"/>
      <c r="J4" s="1437"/>
      <c r="K4" s="1437"/>
      <c r="L4" s="1480"/>
      <c r="M4" s="1780"/>
      <c r="N4" s="1780"/>
      <c r="O4" s="1780"/>
      <c r="P4" s="524"/>
      <c r="Q4" s="522"/>
      <c r="R4" s="523"/>
      <c r="S4" s="2128">
        <f>INDEX(PT_DIFFERENTIATION_NUM_CS,MATCH(C4,PT_DIFFERENTIATION_CS_ID,0))</f>
      </c>
      <c r="T4" s="479" t="s">
        <v>411</v>
      </c>
      <c r="U4" s="470"/>
      <c r="V4" s="2412"/>
      <c r="W4" s="2413"/>
      <c r="X4" s="2413"/>
      <c r="Y4" s="2413"/>
      <c r="Z4" s="2413"/>
      <c r="AA4" s="2413"/>
      <c r="AB4" s="2413"/>
      <c r="AC4" s="2414"/>
      <c r="AD4" s="2412">
        <f>INDEX(PT_DIFFERENTIATION_CS,MATCH(C4,PT_DIFFERENTIATION_CS_ID,0))</f>
      </c>
      <c r="AE4" s="2413"/>
      <c r="AF4" s="2413"/>
      <c r="AG4" s="2413"/>
      <c r="AH4" s="2413"/>
      <c r="AI4" s="2413"/>
      <c r="AJ4" s="2413"/>
      <c r="AK4" s="2413"/>
      <c r="AL4" s="2414"/>
      <c r="AM4" s="1428" t="s">
        <v>412</v>
      </c>
      <c r="AO4" s="1794"/>
      <c r="AP4" s="1794" t="str">
        <f>IF(T4="","",T4)</f>
        <v>Наименование системы теплоснабжения </v>
      </c>
      <c r="AQ4" s="1794"/>
      <c r="AR4" s="1794"/>
      <c r="AS4" s="1801">
        <v>0</v>
      </c>
    </row>
    <row customHeight="1" ht="21" hidden="1">
      <c r="A5" s="1437"/>
      <c r="B5" s="1437"/>
      <c r="C5" s="1437"/>
      <c r="D5" s="1437"/>
      <c r="E5" s="2460"/>
      <c r="F5" s="2460"/>
      <c r="G5" s="2460"/>
      <c r="H5" s="2459">
        <v>1</v>
      </c>
      <c r="I5" s="1437"/>
      <c r="J5" s="1437"/>
      <c r="K5" s="1437"/>
      <c r="L5" s="1480"/>
      <c r="M5" s="1780"/>
      <c r="N5" s="1780"/>
      <c r="O5" s="1780"/>
      <c r="P5" s="524"/>
      <c r="Q5" s="522"/>
      <c r="R5" s="523"/>
      <c r="S5" s="2128">
        <f>INDEX(PT_DIFFERENTIATION_NUM_IST_TE,MATCH(D5,PT_DIFFERENTIATION_IST_TE_ID,0))</f>
      </c>
      <c r="T5" s="480" t="s">
        <v>413</v>
      </c>
      <c r="U5" s="470"/>
      <c r="V5" s="2412"/>
      <c r="W5" s="2413"/>
      <c r="X5" s="2413"/>
      <c r="Y5" s="2413"/>
      <c r="Z5" s="2413"/>
      <c r="AA5" s="2413"/>
      <c r="AB5" s="2413"/>
      <c r="AC5" s="2414"/>
      <c r="AD5" s="2412">
        <f>INDEX(PT_DIFFERENTIATION_IST_TE,MATCH(D5,PT_DIFFERENTIATION_IST_TE_ID,0))</f>
      </c>
      <c r="AE5" s="2413"/>
      <c r="AF5" s="2413"/>
      <c r="AG5" s="2413"/>
      <c r="AH5" s="2413"/>
      <c r="AI5" s="2413"/>
      <c r="AJ5" s="2413"/>
      <c r="AK5" s="2413"/>
      <c r="AL5" s="2414"/>
      <c r="AM5" s="1428" t="s">
        <v>414</v>
      </c>
      <c r="AO5" s="1794"/>
      <c r="AP5" s="1794" t="str">
        <f>IF(T5="","",T5)</f>
        <v>Источник тепловой энергии  </v>
      </c>
      <c r="AQ5" s="1794"/>
      <c r="AR5" s="1794"/>
      <c r="AS5" s="1801">
        <v>0</v>
      </c>
    </row>
    <row customHeight="1" ht="47.25" hidden="1">
      <c r="A6" s="1437"/>
      <c r="B6" s="1437"/>
      <c r="C6" s="1437"/>
      <c r="D6" s="1437"/>
      <c r="E6" s="2460"/>
      <c r="F6" s="2460"/>
      <c r="G6" s="2460"/>
      <c r="H6" s="2460"/>
      <c r="I6" s="2297">
        <f>S5&amp;".1"</f>
      </c>
      <c r="J6" s="1437"/>
      <c r="K6" s="1437"/>
      <c r="L6" s="1480" t="s">
        <v>415</v>
      </c>
      <c r="M6" s="1805"/>
      <c r="P6" s="2427">
        <v>1</v>
      </c>
      <c r="Q6" s="2124"/>
      <c r="R6" s="526"/>
      <c r="S6" s="2128">
        <f>$I6</f>
      </c>
      <c r="T6" s="455" t="s">
        <v>416</v>
      </c>
      <c r="U6" s="470"/>
      <c r="V6" s="2415"/>
      <c r="W6" s="2416"/>
      <c r="X6" s="2416"/>
      <c r="Y6" s="2416"/>
      <c r="Z6" s="2416"/>
      <c r="AA6" s="2416"/>
      <c r="AB6" s="2416"/>
      <c r="AC6" s="2417"/>
      <c r="AD6" s="2415"/>
      <c r="AE6" s="2416"/>
      <c r="AF6" s="2416"/>
      <c r="AG6" s="2416"/>
      <c r="AH6" s="2416"/>
      <c r="AI6" s="2416"/>
      <c r="AJ6" s="2416"/>
      <c r="AK6" s="2416"/>
      <c r="AL6" s="2417"/>
      <c r="AM6" s="1428" t="s">
        <v>417</v>
      </c>
      <c r="AO6" s="1794"/>
      <c r="AP6" s="1794" t="str">
        <f>IF(T6="","",T6)</f>
        <v>Схема подключения теплопотребляющей установки к коллектору источника тепловой энергии</v>
      </c>
      <c r="AQ6" s="1794"/>
      <c r="AR6" s="1794"/>
      <c r="AS6" s="1801">
        <v>0</v>
      </c>
    </row>
    <row customHeight="1" ht="21" hidden="1">
      <c r="A7" s="1437"/>
      <c r="B7" s="1437"/>
      <c r="C7" s="1437"/>
      <c r="D7" s="1437"/>
      <c r="E7" s="2460"/>
      <c r="F7" s="2460"/>
      <c r="G7" s="2460"/>
      <c r="H7" s="2460"/>
      <c r="I7" s="2271"/>
      <c r="J7" s="2297">
        <f>I6&amp;".1"</f>
      </c>
      <c r="K7" s="1437"/>
      <c r="L7" s="1480" t="s">
        <v>418</v>
      </c>
      <c r="M7" s="1805"/>
      <c r="N7" s="1801"/>
      <c r="P7" s="2427"/>
      <c r="Q7" s="2427">
        <v>1</v>
      </c>
      <c r="R7" s="527"/>
      <c r="S7" s="2128">
        <f>$J7</f>
      </c>
      <c r="T7" s="456" t="s">
        <v>419</v>
      </c>
      <c r="U7" s="470"/>
      <c r="V7" s="2415"/>
      <c r="W7" s="2416"/>
      <c r="X7" s="2416"/>
      <c r="Y7" s="2416"/>
      <c r="Z7" s="2416"/>
      <c r="AA7" s="2416"/>
      <c r="AB7" s="2416"/>
      <c r="AC7" s="2417"/>
      <c r="AD7" s="2415"/>
      <c r="AE7" s="2416"/>
      <c r="AF7" s="2416"/>
      <c r="AG7" s="2416"/>
      <c r="AH7" s="2416"/>
      <c r="AI7" s="2416"/>
      <c r="AJ7" s="2416"/>
      <c r="AK7" s="2416"/>
      <c r="AL7" s="2417"/>
      <c r="AM7" s="1428" t="s">
        <v>420</v>
      </c>
      <c r="AO7" s="1794"/>
      <c r="AP7" s="1794" t="str">
        <f>IF(T7="","",T7)</f>
        <v>Группа потребителей</v>
      </c>
      <c r="AQ7" s="1794"/>
      <c r="AR7" s="1794"/>
      <c r="AS7" s="1801">
        <v>0</v>
      </c>
    </row>
    <row customHeight="1" ht="21" hidden="1">
      <c r="A8" s="1437"/>
      <c r="B8" s="1437"/>
      <c r="C8" s="1437"/>
      <c r="D8" s="1437"/>
      <c r="E8" s="2460"/>
      <c r="F8" s="2460"/>
      <c r="G8" s="2460"/>
      <c r="H8" s="2460"/>
      <c r="I8" s="2271"/>
      <c r="J8" s="2271"/>
      <c r="K8" s="2297">
        <f>J7&amp;".1"</f>
      </c>
      <c r="L8" s="1480" t="s">
        <v>421</v>
      </c>
      <c r="M8" s="1805"/>
      <c r="N8" s="1801"/>
      <c r="O8" s="1801"/>
      <c r="P8" s="2427"/>
      <c r="Q8" s="2427"/>
      <c r="R8" s="527">
        <v>1</v>
      </c>
      <c r="S8" s="2128">
        <f>$K8</f>
      </c>
      <c r="T8" s="1517"/>
      <c r="U8" s="470"/>
      <c r="V8" s="921"/>
      <c r="W8" s="495"/>
      <c r="X8" s="921"/>
      <c r="Y8" s="1427"/>
      <c r="Z8" s="2435"/>
      <c r="AA8" s="2277" t="s">
        <v>64</v>
      </c>
      <c r="AB8" s="2435"/>
      <c r="AC8" s="2277" t="s">
        <v>64</v>
      </c>
      <c r="AD8" s="921"/>
      <c r="AE8" s="495"/>
      <c r="AF8" s="921"/>
      <c r="AG8" s="1427"/>
      <c r="AH8" s="2435"/>
      <c r="AI8" s="2277" t="s">
        <v>64</v>
      </c>
      <c r="AJ8" s="2435"/>
      <c r="AK8" s="2277" t="s">
        <v>64</v>
      </c>
      <c r="AL8" s="495"/>
      <c r="AM8" s="2423" t="s">
        <v>422</v>
      </c>
      <c r="AN8" s="1806">
        <f>STRCHECKDATE(V9:AL9)</f>
      </c>
      <c r="AO8" s="1794"/>
      <c r="AP8" s="1794" t="str">
        <f>IF(T8="","",T8)</f>
        <v/>
      </c>
      <c r="AQ8" s="1794"/>
      <c r="AR8" s="1794"/>
      <c r="AS8" s="1801">
        <v>0</v>
      </c>
    </row>
    <row customHeight="1" ht="0.75" hidden="1">
      <c r="A9" s="1437"/>
      <c r="B9" s="1437"/>
      <c r="C9" s="1437"/>
      <c r="D9" s="1437"/>
      <c r="E9" s="2460"/>
      <c r="F9" s="2460"/>
      <c r="G9" s="2460"/>
      <c r="H9" s="2460"/>
      <c r="I9" s="2271"/>
      <c r="J9" s="2271"/>
      <c r="K9" s="2297"/>
      <c r="L9" s="1480"/>
      <c r="M9" s="1805"/>
      <c r="N9" s="1801"/>
      <c r="O9" s="1801"/>
      <c r="P9" s="2427"/>
      <c r="Q9" s="2427"/>
      <c r="R9" s="527"/>
      <c r="S9" s="2137"/>
      <c r="T9" s="470"/>
      <c r="U9" s="470"/>
      <c r="V9" s="495"/>
      <c r="W9" s="495"/>
      <c r="X9" s="495"/>
      <c r="Y9" s="498" t="str">
        <f>Z8&amp;"-"&amp;AB8</f>
        <v>-</v>
      </c>
      <c r="Z9" s="2436"/>
      <c r="AA9" s="2277"/>
      <c r="AB9" s="2436"/>
      <c r="AC9" s="2277"/>
      <c r="AD9" s="495"/>
      <c r="AE9" s="495"/>
      <c r="AF9" s="495"/>
      <c r="AG9" s="498" t="str">
        <f>AH8&amp;"-"&amp;AJ8</f>
        <v>-</v>
      </c>
      <c r="AH9" s="2436"/>
      <c r="AI9" s="2277"/>
      <c r="AJ9" s="2436"/>
      <c r="AK9" s="2277"/>
      <c r="AL9" s="495"/>
      <c r="AM9" s="2424"/>
      <c r="AO9" s="1794"/>
      <c r="AP9" s="1794" t="str">
        <f>IF(T9="","",T9)</f>
        <v/>
      </c>
      <c r="AQ9" s="1794"/>
      <c r="AR9" s="1794"/>
      <c r="AS9" s="1801">
        <v>0</v>
      </c>
    </row>
    <row customHeight="1" ht="15" hidden="1">
      <c r="A10" s="1437"/>
      <c r="B10" s="1437"/>
      <c r="C10" s="1437"/>
      <c r="D10" s="1437"/>
      <c r="E10" s="2460"/>
      <c r="F10" s="2460"/>
      <c r="G10" s="2460"/>
      <c r="H10" s="2460"/>
      <c r="I10" s="2271"/>
      <c r="J10" s="2297"/>
      <c r="K10" s="1437"/>
      <c r="L10" s="1480"/>
      <c r="M10" s="1805"/>
      <c r="N10" s="1801"/>
      <c r="P10" s="2427"/>
      <c r="Q10" s="2427"/>
      <c r="R10" s="526"/>
      <c r="S10" s="1448"/>
      <c r="T10" s="458" t="s">
        <v>423</v>
      </c>
      <c r="U10" s="770"/>
      <c r="V10" s="770"/>
      <c r="W10" s="770"/>
      <c r="X10" s="770"/>
      <c r="Y10" s="770"/>
      <c r="Z10" s="770"/>
      <c r="AA10" s="770"/>
      <c r="AB10" s="770"/>
      <c r="AC10" s="770"/>
      <c r="AD10" s="770"/>
      <c r="AE10" s="770"/>
      <c r="AF10" s="770"/>
      <c r="AG10" s="770"/>
      <c r="AH10" s="770"/>
      <c r="AI10" s="770"/>
      <c r="AJ10" s="770"/>
      <c r="AK10" s="770"/>
      <c r="AL10" s="494"/>
      <c r="AM10" s="2425"/>
      <c r="AO10" s="1794"/>
      <c r="AP10" s="1794" t="str">
        <f>IF(T10="","",T10)</f>
        <v>Добавить вид теплоносителя (параметры теплоносителя)</v>
      </c>
      <c r="AQ10" s="1794"/>
      <c r="AR10" s="1794"/>
      <c r="AS10" s="1801">
        <v>0</v>
      </c>
    </row>
    <row customHeight="1" ht="15" hidden="1">
      <c r="A11" s="1437"/>
      <c r="B11" s="1437"/>
      <c r="C11" s="1437"/>
      <c r="D11" s="1437"/>
      <c r="E11" s="2460"/>
      <c r="F11" s="2460"/>
      <c r="G11" s="2460"/>
      <c r="H11" s="2460"/>
      <c r="I11" s="2297"/>
      <c r="J11" s="1437"/>
      <c r="K11" s="1437"/>
      <c r="L11" s="1480"/>
      <c r="M11" s="1805"/>
      <c r="P11" s="2427"/>
      <c r="Q11" s="2124"/>
      <c r="R11" s="526"/>
      <c r="S11" s="1448"/>
      <c r="T11" s="457" t="s">
        <v>424</v>
      </c>
      <c r="U11" s="770"/>
      <c r="V11" s="770"/>
      <c r="W11" s="770"/>
      <c r="X11" s="770"/>
      <c r="Y11" s="770"/>
      <c r="Z11" s="770"/>
      <c r="AA11" s="770"/>
      <c r="AB11" s="770"/>
      <c r="AC11" s="536"/>
      <c r="AD11" s="770"/>
      <c r="AE11" s="770"/>
      <c r="AF11" s="770"/>
      <c r="AG11" s="770"/>
      <c r="AH11" s="770"/>
      <c r="AI11" s="770"/>
      <c r="AJ11" s="770"/>
      <c r="AK11" s="536"/>
      <c r="AL11" s="770"/>
      <c r="AM11" s="473"/>
      <c r="AO11" s="1794"/>
      <c r="AP11" s="1794" t="str">
        <f>IF(T11="","",T11)</f>
        <v>Добавить группу потребителей</v>
      </c>
      <c r="AQ11" s="1794"/>
      <c r="AR11" s="1794"/>
      <c r="AS11" s="1801">
        <v>0</v>
      </c>
    </row>
    <row customHeight="1" ht="14.25" hidden="1">
      <c r="A12" s="1437"/>
      <c r="B12" s="1437"/>
      <c r="C12" s="1437"/>
      <c r="D12" s="1437"/>
      <c r="E12" s="2460"/>
      <c r="F12" s="2460"/>
      <c r="G12" s="2460"/>
      <c r="H12" s="2459"/>
      <c r="I12" s="1437"/>
      <c r="J12" s="1437"/>
      <c r="K12" s="1437"/>
      <c r="L12" s="1480"/>
      <c r="M12" s="1780"/>
      <c r="N12" s="1780"/>
      <c r="O12" s="1805"/>
      <c r="P12" s="530"/>
      <c r="Q12" s="545"/>
      <c r="R12" s="525"/>
      <c r="S12" s="1448"/>
      <c r="T12" s="535" t="s">
        <v>425</v>
      </c>
      <c r="U12" s="770"/>
      <c r="V12" s="770"/>
      <c r="W12" s="770"/>
      <c r="X12" s="770"/>
      <c r="Y12" s="770"/>
      <c r="Z12" s="770"/>
      <c r="AA12" s="770"/>
      <c r="AB12" s="770"/>
      <c r="AC12" s="536"/>
      <c r="AD12" s="770"/>
      <c r="AE12" s="770"/>
      <c r="AF12" s="770"/>
      <c r="AG12" s="770"/>
      <c r="AH12" s="770"/>
      <c r="AI12" s="770"/>
      <c r="AJ12" s="770"/>
      <c r="AK12" s="536"/>
      <c r="AL12" s="770"/>
      <c r="AM12" s="473"/>
      <c r="AO12" s="1794"/>
      <c r="AP12" s="1794" t="str">
        <f>IF(T12="","",T12)</f>
        <v>Добавить схему подключения</v>
      </c>
      <c r="AQ12" s="1794"/>
      <c r="AR12" s="1794"/>
      <c r="AS12" s="1801">
        <v>0</v>
      </c>
    </row>
    <row s="11993" customFormat="1" customHeight="1" ht="0.75" hidden="1">
      <c r="A13" s="1544"/>
      <c r="B13" s="1544"/>
      <c r="C13" s="1544"/>
      <c r="D13" s="1544"/>
      <c r="E13" s="2460"/>
      <c r="F13" s="2460"/>
      <c r="G13" s="2459"/>
      <c r="H13" s="1544"/>
      <c r="I13" s="1544"/>
      <c r="J13" s="1544"/>
      <c r="K13" s="1544"/>
      <c r="L13" s="1547"/>
      <c r="M13" s="1548"/>
      <c r="N13" s="1548"/>
      <c r="O13" s="521"/>
      <c r="P13" s="1486"/>
      <c r="Q13" s="1487"/>
      <c r="R13" s="1486"/>
      <c r="S13" s="1488"/>
      <c r="T13" s="1489" t="s">
        <v>165</v>
      </c>
      <c r="U13" s="1490"/>
      <c r="V13" s="1490"/>
      <c r="W13" s="1490"/>
      <c r="X13" s="1490"/>
      <c r="Y13" s="1490"/>
      <c r="Z13" s="1490"/>
      <c r="AA13" s="1490"/>
      <c r="AB13" s="1490"/>
      <c r="AC13" s="1490"/>
      <c r="AD13" s="1490"/>
      <c r="AE13" s="1490"/>
      <c r="AF13" s="1490"/>
      <c r="AG13" s="1490"/>
      <c r="AH13" s="1490"/>
      <c r="AI13" s="1490"/>
      <c r="AJ13" s="1490"/>
      <c r="AK13" s="1490"/>
      <c r="AL13" s="1490"/>
      <c r="AM13" s="1490"/>
      <c r="AO13" s="1421"/>
      <c r="AP13" s="1421" t="str">
        <f>IF(T13="","",T13)</f>
        <v>Добавить источник для дифференциации</v>
      </c>
      <c r="AQ13" s="1421"/>
      <c r="AR13" s="1421"/>
      <c r="AS13" s="1812">
        <v>0</v>
      </c>
    </row>
    <row s="11993" customFormat="1" customHeight="1" ht="0.75" hidden="1">
      <c r="A14" s="1544"/>
      <c r="B14" s="1544"/>
      <c r="C14" s="1544"/>
      <c r="D14" s="1544"/>
      <c r="E14" s="2460"/>
      <c r="F14" s="2459"/>
      <c r="G14" s="1544"/>
      <c r="H14" s="1544"/>
      <c r="I14" s="1544"/>
      <c r="J14" s="1544"/>
      <c r="K14" s="1544"/>
      <c r="L14" s="1547"/>
      <c r="M14" s="1549"/>
      <c r="N14" s="1549"/>
      <c r="O14" s="521"/>
      <c r="P14" s="1486"/>
      <c r="Q14" s="1487"/>
      <c r="R14" s="1486"/>
      <c r="S14" s="1492"/>
      <c r="T14" s="1493" t="s">
        <v>166</v>
      </c>
      <c r="U14" s="1494"/>
      <c r="V14" s="1494"/>
      <c r="W14" s="1494"/>
      <c r="X14" s="1494"/>
      <c r="Y14" s="1494"/>
      <c r="Z14" s="1494"/>
      <c r="AA14" s="1494"/>
      <c r="AB14" s="1494"/>
      <c r="AC14" s="1494"/>
      <c r="AD14" s="1494"/>
      <c r="AE14" s="1494"/>
      <c r="AF14" s="1494"/>
      <c r="AG14" s="1494"/>
      <c r="AH14" s="1494"/>
      <c r="AI14" s="1494"/>
      <c r="AJ14" s="1494"/>
      <c r="AK14" s="1494"/>
      <c r="AL14" s="1494"/>
      <c r="AM14" s="1494"/>
      <c r="AO14" s="1421"/>
      <c r="AP14" s="1421" t="str">
        <f>IF(T14="","",T14)</f>
        <v>Добавить централизованную систему для дифференциации</v>
      </c>
      <c r="AQ14" s="1421"/>
      <c r="AR14" s="1421"/>
      <c r="AS14" s="1812">
        <v>0</v>
      </c>
    </row>
    <row s="11993" customFormat="1" customHeight="1" ht="0.75" hidden="1">
      <c r="A15" s="1544"/>
      <c r="B15" s="1544"/>
      <c r="C15" s="1544"/>
      <c r="D15" s="1544"/>
      <c r="E15" s="2459"/>
      <c r="F15" s="1544"/>
      <c r="G15" s="1544"/>
      <c r="H15" s="1544"/>
      <c r="I15" s="1544"/>
      <c r="J15" s="1544"/>
      <c r="K15" s="1544"/>
      <c r="L15" s="1547"/>
      <c r="M15" s="1549"/>
      <c r="N15" s="1549"/>
      <c r="O15" s="521"/>
      <c r="P15" s="1486"/>
      <c r="Q15" s="1487"/>
      <c r="R15" s="1486"/>
      <c r="S15" s="1492"/>
      <c r="T15" s="1495" t="s">
        <v>167</v>
      </c>
      <c r="U15" s="1494"/>
      <c r="V15" s="1494"/>
      <c r="W15" s="1494"/>
      <c r="X15" s="1494"/>
      <c r="Y15" s="1494"/>
      <c r="Z15" s="1494"/>
      <c r="AA15" s="1494"/>
      <c r="AB15" s="1494"/>
      <c r="AC15" s="1494"/>
      <c r="AD15" s="1494"/>
      <c r="AE15" s="1494"/>
      <c r="AF15" s="1494"/>
      <c r="AG15" s="1494"/>
      <c r="AH15" s="1494"/>
      <c r="AI15" s="1494"/>
      <c r="AJ15" s="1494"/>
      <c r="AK15" s="1494"/>
      <c r="AL15" s="1494"/>
      <c r="AM15" s="1494"/>
      <c r="AO15" s="1421"/>
      <c r="AP15" s="1421" t="str">
        <f>IF(T15="","",T15)</f>
        <v>Добавить территорию для дифференциации</v>
      </c>
      <c r="AQ15" s="1421"/>
      <c r="AR15" s="1421"/>
      <c r="AS15" s="1812">
        <v>0</v>
      </c>
    </row>
    <row customHeight="1" ht="14.25" hidden="1">
      <c r="AS16" s="1801">
        <v>0</v>
      </c>
    </row>
    <row customHeight="1" ht="14.25" hidden="1">
      <c r="AD17" s="1530"/>
      <c r="AE17" s="1530"/>
      <c r="AF17" s="1530"/>
      <c r="AG17" s="1531"/>
      <c r="AH17" s="2437"/>
      <c r="AI17" s="2438" t="s">
        <v>64</v>
      </c>
      <c r="AJ17" s="2437"/>
      <c r="AK17" s="2438" t="s">
        <v>64</v>
      </c>
      <c r="AS17" s="1801">
        <v>0</v>
      </c>
    </row>
    <row customHeight="1" ht="14.25" hidden="1">
      <c r="AD18" s="1530"/>
      <c r="AE18" s="1530"/>
      <c r="AF18" s="1530"/>
      <c r="AG18" s="498" t="str">
        <f>AH17&amp;"-"&amp;AJ17</f>
        <v>-</v>
      </c>
      <c r="AH18" s="2438"/>
      <c r="AI18" s="2438"/>
      <c r="AJ18" s="2438"/>
      <c r="AK18" s="2438"/>
      <c r="AS18" s="1801">
        <v>0</v>
      </c>
    </row>
    <row customHeight="1" ht="14.25" hidden="1">
      <c r="AS19" s="1801">
        <v>0</v>
      </c>
    </row>
    <row s="11992" customFormat="1" customHeight="1" ht="14.25" hidden="1">
      <c r="A20" s="1801"/>
      <c r="B20" s="1801"/>
      <c r="C20" s="1801"/>
      <c r="D20" s="1801"/>
      <c r="E20" s="1801"/>
      <c r="F20" s="1801"/>
      <c r="G20" s="1801"/>
      <c r="H20" s="1801"/>
      <c r="I20" s="1801"/>
      <c r="J20" s="1801"/>
      <c r="K20" s="1801"/>
      <c r="L20" s="2109"/>
      <c r="M20" s="2135"/>
      <c r="N20" s="2135"/>
      <c r="O20" s="1515" t="s">
        <v>426</v>
      </c>
      <c r="P20" s="1532"/>
      <c r="Q20" s="1541"/>
      <c r="R20" s="1541"/>
      <c r="S20" s="899"/>
      <c r="Z20" s="1537"/>
      <c r="AB20" s="1537"/>
      <c r="AH20" s="1537"/>
      <c r="AJ20" s="1537"/>
      <c r="AN20" s="1806"/>
      <c r="AO20" s="1806"/>
      <c r="AP20" s="1806"/>
      <c r="AQ20" s="1806"/>
      <c r="AR20" s="1806"/>
      <c r="AS20" s="1536">
        <v>0</v>
      </c>
    </row>
    <row s="11992" customFormat="1" customHeight="1" ht="14.25" hidden="1">
      <c r="A21" s="1801"/>
      <c r="B21" s="1801"/>
      <c r="C21" s="1801"/>
      <c r="D21" s="1801"/>
      <c r="E21" s="1801"/>
      <c r="F21" s="1801"/>
      <c r="G21" s="1801"/>
      <c r="H21" s="1801"/>
      <c r="I21" s="1801"/>
      <c r="J21" s="1801"/>
      <c r="K21" s="1801"/>
      <c r="L21" s="2109"/>
      <c r="M21" s="2135"/>
      <c r="N21" s="2135"/>
      <c r="O21" s="2135"/>
      <c r="P21" s="1532"/>
      <c r="Q21" s="1541"/>
      <c r="R21" s="1541"/>
      <c r="S21" s="899"/>
      <c r="AN21" s="1806"/>
      <c r="AO21" s="1806"/>
      <c r="AP21" s="1806"/>
      <c r="AQ21" s="1806"/>
      <c r="AR21" s="1806"/>
      <c r="AS21" s="1536">
        <v>0</v>
      </c>
    </row>
    <row s="11992" customFormat="1" customHeight="1" ht="14.25" hidden="1">
      <c r="A22" s="1801"/>
      <c r="B22" s="1801"/>
      <c r="C22" s="1801"/>
      <c r="D22" s="1801"/>
      <c r="E22" s="1801"/>
      <c r="F22" s="1801"/>
      <c r="G22" s="1801"/>
      <c r="H22" s="1801"/>
      <c r="I22" s="1801"/>
      <c r="J22" s="1801"/>
      <c r="K22" s="1801"/>
      <c r="L22" s="2109"/>
      <c r="M22" s="2135"/>
      <c r="N22" s="2135"/>
      <c r="O22" s="1480" t="s">
        <v>427</v>
      </c>
      <c r="P22" s="1532"/>
      <c r="Q22" s="1541"/>
      <c r="R22" s="1541"/>
      <c r="S22" s="899"/>
      <c r="T22" s="1536" t="s">
        <v>428</v>
      </c>
      <c r="AA22" s="765" t="s">
        <v>429</v>
      </c>
      <c r="AC22" s="765" t="s">
        <v>430</v>
      </c>
      <c r="AD22" s="1536" t="s">
        <v>428</v>
      </c>
      <c r="AI22" s="765" t="s">
        <v>431</v>
      </c>
      <c r="AK22" s="765" t="s">
        <v>430</v>
      </c>
      <c r="AN22" s="1806"/>
      <c r="AO22" s="1806"/>
      <c r="AP22" s="1806"/>
      <c r="AQ22" s="1806"/>
      <c r="AR22" s="1806"/>
      <c r="AS22" s="1536">
        <v>0</v>
      </c>
    </row>
    <row customHeight="1" ht="14.25" hidden="1">
      <c r="O23" s="1480"/>
      <c r="AS23" s="1801">
        <v>0</v>
      </c>
    </row>
    <row customHeight="1" ht="14.25" hidden="1">
      <c r="O24" s="1480"/>
      <c r="AS24" s="1801">
        <v>0</v>
      </c>
    </row>
    <row customHeight="1" ht="14.699999999999998">
      <c r="Q25" s="546"/>
      <c r="R25" s="546"/>
      <c r="S25" s="1445"/>
      <c r="T25" s="627"/>
      <c r="U25" s="627"/>
      <c r="V25" s="1805"/>
      <c r="W25" s="1805"/>
      <c r="X25" s="1805"/>
      <c r="Y25" s="1805"/>
      <c r="Z25" s="1805"/>
      <c r="AA25" s="1805"/>
      <c r="AB25" s="1805"/>
      <c r="AC25" s="1805"/>
      <c r="AD25" s="1805"/>
      <c r="AE25" s="1805"/>
      <c r="AF25" s="1805"/>
      <c r="AG25" s="1805"/>
      <c r="AH25" s="1805"/>
      <c r="AI25" s="1805"/>
      <c r="AJ25" s="1805"/>
      <c r="AK25" s="1805"/>
      <c r="AS25" s="1801">
        <v>14</v>
      </c>
    </row>
    <row customHeight="1" ht="14.699999999999998">
      <c r="Q26" s="546"/>
      <c r="R26" s="546"/>
      <c r="S26" s="241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418"/>
      <c r="U26" s="2418"/>
      <c r="V26" s="2418"/>
      <c r="W26" s="2418"/>
      <c r="X26" s="2418"/>
      <c r="Y26" s="2418"/>
      <c r="Z26" s="2418"/>
      <c r="AA26" s="2418"/>
      <c r="AB26" s="2418"/>
      <c r="AC26" s="2418"/>
      <c r="AD26" s="2418"/>
      <c r="AE26" s="2418"/>
      <c r="AF26" s="2418"/>
      <c r="AG26" s="2418"/>
      <c r="AH26" s="2418"/>
      <c r="AI26" s="2418"/>
      <c r="AJ26" s="2418"/>
      <c r="AK26" s="1413"/>
      <c r="AS26" s="1801">
        <v>14</v>
      </c>
    </row>
    <row customHeight="1" ht="14.699999999999998">
      <c r="Q27" s="546"/>
      <c r="R27" s="546"/>
      <c r="S27" s="2419" t="str">
        <f>IF(org=0,"Не определено",org)</f>
        <v>Филиал "Шатурская ГРЭС" ПАО "Юнипро"</v>
      </c>
      <c r="T27" s="2419"/>
      <c r="U27" s="2419"/>
      <c r="V27" s="2419"/>
      <c r="W27" s="2419"/>
      <c r="X27" s="2419"/>
      <c r="Y27" s="2419"/>
      <c r="Z27" s="2419"/>
      <c r="AA27" s="2419"/>
      <c r="AB27" s="2419"/>
      <c r="AC27" s="2419"/>
      <c r="AD27" s="2419"/>
      <c r="AE27" s="2419"/>
      <c r="AF27" s="2419"/>
      <c r="AG27" s="2419"/>
      <c r="AH27" s="2419"/>
      <c r="AI27" s="2419"/>
      <c r="AJ27" s="2419"/>
      <c r="AK27" s="1413"/>
      <c r="AS27" s="1801">
        <v>14</v>
      </c>
    </row>
    <row customHeight="1" ht="14.25" hidden="1">
      <c r="Q28" s="546"/>
      <c r="R28" s="546"/>
      <c r="S28" s="1445"/>
      <c r="T28" s="627"/>
      <c r="U28" s="627"/>
      <c r="V28" s="492"/>
      <c r="W28" s="492"/>
      <c r="X28" s="492"/>
      <c r="Y28" s="492"/>
      <c r="Z28" s="492"/>
      <c r="AA28" s="492"/>
      <c r="AB28" s="492"/>
      <c r="AC28" s="492"/>
      <c r="AD28" s="492"/>
      <c r="AE28" s="492"/>
      <c r="AF28" s="492"/>
      <c r="AG28" s="492"/>
      <c r="AH28" s="492"/>
      <c r="AI28" s="492"/>
      <c r="AJ28" s="492"/>
      <c r="AK28" s="492"/>
      <c r="AL28" s="1805"/>
      <c r="AS28" s="1801">
        <v>0</v>
      </c>
    </row>
    <row s="12119" customFormat="1" customHeight="1" ht="25.5" hidden="1">
      <c r="A29" s="1418"/>
      <c r="B29" s="1418"/>
      <c r="C29" s="1418"/>
      <c r="D29" s="1418"/>
      <c r="E29" s="1418"/>
      <c r="F29" s="1418"/>
      <c r="G29" s="1418"/>
      <c r="H29" s="1418"/>
      <c r="I29" s="1418"/>
      <c r="J29" s="1418"/>
      <c r="K29" s="1418"/>
      <c r="L29" s="1550"/>
      <c r="M29" s="1418"/>
      <c r="N29" s="1418"/>
      <c r="O29" s="1418"/>
      <c r="S29" s="2420" t="s">
        <v>42</v>
      </c>
      <c r="T29" s="2420"/>
      <c r="U29" s="1542"/>
      <c r="V29" s="2421" t="str">
        <f>IF(TITLE_NAME_OR_PR_CHANGE="",IF(TITLE_NAME_OR_PR="","",TITLE_NAME_OR_PR),TITLE_NAME_OR_PR_CHANGE)</f>
        <v>Комитет по ценам и тарифам Московской области</v>
      </c>
      <c r="W29" s="2421"/>
      <c r="X29" s="2421"/>
      <c r="Y29" s="2421"/>
      <c r="Z29" s="2421"/>
      <c r="AA29" s="2421"/>
      <c r="AB29" s="2421"/>
      <c r="AC29" s="1805"/>
      <c r="AD29" s="2421" t="str">
        <f>IF(TITLE_NAME_OR_PR_CHANGE="",IF(TITLE_NAME_OR_PR="","",TITLE_NAME_OR_PR),TITLE_NAME_OR_PR_CHANGE)</f>
        <v>Комитет по ценам и тарифам Московской области</v>
      </c>
      <c r="AE29" s="2421"/>
      <c r="AF29" s="2421"/>
      <c r="AG29" s="2421"/>
      <c r="AH29" s="2421"/>
      <c r="AI29" s="2421"/>
      <c r="AJ29" s="2421"/>
      <c r="AK29" s="1805"/>
      <c r="AL29" s="1805"/>
      <c r="AM29" s="450"/>
      <c r="AN29" s="538"/>
      <c r="AO29" s="538"/>
      <c r="AP29" s="538"/>
      <c r="AQ29" s="538"/>
      <c r="AR29" s="538"/>
      <c r="AS29" s="588">
        <v>0</v>
      </c>
    </row>
    <row s="12119" customFormat="1" customHeight="1" ht="18.75" hidden="1">
      <c r="A30" s="1418"/>
      <c r="B30" s="1418"/>
      <c r="C30" s="1418"/>
      <c r="D30" s="1418"/>
      <c r="E30" s="1418"/>
      <c r="F30" s="1418"/>
      <c r="G30" s="1418"/>
      <c r="H30" s="1418"/>
      <c r="I30" s="1418"/>
      <c r="J30" s="1418"/>
      <c r="K30" s="1418"/>
      <c r="L30" s="1550"/>
      <c r="M30" s="1418"/>
      <c r="N30" s="1418"/>
      <c r="O30" s="1418"/>
      <c r="S30" s="2420" t="s">
        <v>432</v>
      </c>
      <c r="T30" s="2420"/>
      <c r="U30" s="1542"/>
      <c r="V30" s="2434" t="str">
        <f>IF(TITLE_DATE_PR_CHANGE="",IF(TITLE_DATE_PR="","",TITLE_DATE_PR),TITLE_DATE_PR_CHANGE)</f>
        <v>45646.459814814814</v>
      </c>
      <c r="W30" s="2434"/>
      <c r="X30" s="2434"/>
      <c r="Y30" s="2434"/>
      <c r="Z30" s="2434"/>
      <c r="AA30" s="2434"/>
      <c r="AB30" s="2434"/>
      <c r="AC30" s="1805"/>
      <c r="AD30" s="2434" t="str">
        <f>IF(TITLE_DATE_PR_CHANGE="",IF(TITLE_DATE_PR="","",TITLE_DATE_PR),TITLE_DATE_PR_CHANGE)</f>
        <v>45646.459814814814</v>
      </c>
      <c r="AE30" s="2434"/>
      <c r="AF30" s="2434"/>
      <c r="AG30" s="2434"/>
      <c r="AH30" s="2434"/>
      <c r="AI30" s="2434"/>
      <c r="AJ30" s="2434"/>
      <c r="AK30" s="1805"/>
      <c r="AL30" s="1805"/>
      <c r="AM30" s="450"/>
      <c r="AN30" s="538"/>
      <c r="AO30" s="538"/>
      <c r="AP30" s="538"/>
      <c r="AQ30" s="538"/>
      <c r="AR30" s="538"/>
      <c r="AS30" s="588">
        <v>0</v>
      </c>
    </row>
    <row s="12119" customFormat="1" customHeight="1" ht="18.75" hidden="1">
      <c r="A31" s="1418"/>
      <c r="B31" s="1418"/>
      <c r="C31" s="1418"/>
      <c r="D31" s="1418"/>
      <c r="E31" s="1418"/>
      <c r="F31" s="1418"/>
      <c r="G31" s="1418"/>
      <c r="H31" s="1418"/>
      <c r="I31" s="1418"/>
      <c r="J31" s="1418"/>
      <c r="K31" s="1418"/>
      <c r="L31" s="1550"/>
      <c r="M31" s="1418"/>
      <c r="N31" s="1418"/>
      <c r="O31" s="1418"/>
      <c r="S31" s="2420" t="s">
        <v>433</v>
      </c>
      <c r="T31" s="2420"/>
      <c r="U31" s="1542"/>
      <c r="V31" s="2421" t="str">
        <f>IF(TITLE_NUMBER_PR_CHANGE="",IF(TITLE_NUMBER_PR="","",TITLE_NUMBER_PR),TITLE_NUMBER_PR_CHANGE)</f>
        <v>329-Р</v>
      </c>
      <c r="W31" s="2421"/>
      <c r="X31" s="2421"/>
      <c r="Y31" s="2421"/>
      <c r="Z31" s="2421"/>
      <c r="AA31" s="2421"/>
      <c r="AB31" s="2421"/>
      <c r="AC31" s="1805"/>
      <c r="AD31" s="2421" t="str">
        <f>IF(TITLE_NUMBER_PR_CHANGE="",IF(TITLE_NUMBER_PR="","",TITLE_NUMBER_PR),TITLE_NUMBER_PR_CHANGE)</f>
        <v>329-Р</v>
      </c>
      <c r="AE31" s="2421"/>
      <c r="AF31" s="2421"/>
      <c r="AG31" s="2421"/>
      <c r="AH31" s="2421"/>
      <c r="AI31" s="2421"/>
      <c r="AJ31" s="2421"/>
      <c r="AK31" s="1805"/>
      <c r="AL31" s="1805"/>
      <c r="AM31" s="450"/>
      <c r="AN31" s="538"/>
      <c r="AO31" s="538"/>
      <c r="AP31" s="538"/>
      <c r="AQ31" s="538"/>
      <c r="AR31" s="538"/>
      <c r="AS31" s="588">
        <v>0</v>
      </c>
    </row>
    <row s="12119" customFormat="1" customHeight="1" ht="18.75" hidden="1">
      <c r="A32" s="1418"/>
      <c r="B32" s="1418"/>
      <c r="C32" s="1418"/>
      <c r="D32" s="1418"/>
      <c r="E32" s="1418"/>
      <c r="F32" s="1418"/>
      <c r="G32" s="1418"/>
      <c r="H32" s="1418"/>
      <c r="I32" s="1418"/>
      <c r="J32" s="1418"/>
      <c r="K32" s="1418"/>
      <c r="L32" s="1550"/>
      <c r="M32" s="1418"/>
      <c r="N32" s="1418"/>
      <c r="O32" s="1418"/>
      <c r="S32" s="2420" t="s">
        <v>44</v>
      </c>
      <c r="T32" s="2420"/>
      <c r="U32" s="1542"/>
      <c r="V32"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421"/>
      <c r="X32" s="2421"/>
      <c r="Y32" s="2421"/>
      <c r="Z32" s="2421"/>
      <c r="AA32" s="2421"/>
      <c r="AB32" s="2421"/>
      <c r="AC32" s="1805"/>
      <c r="AD32"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421"/>
      <c r="AF32" s="2421"/>
      <c r="AG32" s="2421"/>
      <c r="AH32" s="2421"/>
      <c r="AI32" s="2421"/>
      <c r="AJ32" s="2421"/>
      <c r="AK32" s="1805"/>
      <c r="AL32" s="1805"/>
      <c r="AM32" s="450"/>
      <c r="AN32" s="538"/>
      <c r="AO32" s="538"/>
      <c r="AP32" s="538"/>
      <c r="AQ32" s="538"/>
      <c r="AR32" s="538"/>
      <c r="AS32" s="588">
        <v>0</v>
      </c>
    </row>
    <row customHeight="1" ht="14.25" hidden="1">
      <c r="Q33" s="546"/>
      <c r="R33" s="546"/>
      <c r="S33" s="1445"/>
      <c r="T33" s="627"/>
      <c r="U33" s="627"/>
      <c r="V33" s="492"/>
      <c r="W33" s="492"/>
      <c r="X33" s="492"/>
      <c r="Y33" s="492"/>
      <c r="Z33" s="492"/>
      <c r="AA33" s="492"/>
      <c r="AB33" s="492"/>
      <c r="AC33" s="492"/>
      <c r="AD33" s="492"/>
      <c r="AE33" s="492"/>
      <c r="AF33" s="492"/>
      <c r="AG33" s="492"/>
      <c r="AH33" s="492"/>
      <c r="AI33" s="492"/>
      <c r="AJ33" s="492"/>
      <c r="AK33" s="492"/>
      <c r="AL33" s="1805"/>
      <c r="AS33" s="1801">
        <v>0</v>
      </c>
    </row>
    <row s="12119" customFormat="1" customHeight="1" ht="18.75" hidden="1">
      <c r="A34" s="1418"/>
      <c r="B34" s="1418"/>
      <c r="C34" s="1418"/>
      <c r="D34" s="1418"/>
      <c r="E34" s="1418"/>
      <c r="F34" s="1418"/>
      <c r="G34" s="1418"/>
      <c r="H34" s="1418"/>
      <c r="I34" s="1418"/>
      <c r="J34" s="1418"/>
      <c r="K34" s="1418"/>
      <c r="L34" s="1550"/>
      <c r="M34" s="1418"/>
      <c r="N34" s="1418"/>
      <c r="O34" s="1418"/>
      <c r="S34" s="2420" t="s">
        <v>434</v>
      </c>
      <c r="T34" s="2420"/>
      <c r="U34" s="1542"/>
      <c r="V34" s="2434" t="str">
        <f>IF(TITLE_DATE_PR_CHANGE="",IF(TITLE_DATE_PR="","",TITLE_DATE_PR),TITLE_DATE_PR_CHANGE)</f>
        <v>45646.459814814814</v>
      </c>
      <c r="W34" s="2434"/>
      <c r="X34" s="2434"/>
      <c r="Y34" s="2434"/>
      <c r="Z34" s="2434"/>
      <c r="AA34" s="2434"/>
      <c r="AB34" s="2434"/>
      <c r="AC34" s="1805"/>
      <c r="AD34" s="2434" t="str">
        <f>IF(TITLE_DATE_PR_CHANGE="",IF(TITLE_DATE_PR="","",TITLE_DATE_PR),TITLE_DATE_PR_CHANGE)</f>
        <v>45646.459814814814</v>
      </c>
      <c r="AE34" s="2434"/>
      <c r="AF34" s="2434"/>
      <c r="AG34" s="2434"/>
      <c r="AH34" s="2434"/>
      <c r="AI34" s="2434"/>
      <c r="AJ34" s="2434"/>
      <c r="AK34" s="1805"/>
      <c r="AL34" s="1805"/>
      <c r="AM34" s="450"/>
      <c r="AN34" s="538"/>
      <c r="AO34" s="538"/>
      <c r="AP34" s="538"/>
      <c r="AQ34" s="538"/>
      <c r="AR34" s="538"/>
      <c r="AS34" s="588">
        <v>0</v>
      </c>
    </row>
    <row s="12119" customFormat="1" customHeight="1" ht="18.75" hidden="1">
      <c r="A35" s="1418"/>
      <c r="B35" s="1418"/>
      <c r="C35" s="1418"/>
      <c r="D35" s="1418"/>
      <c r="E35" s="1418"/>
      <c r="F35" s="1418"/>
      <c r="G35" s="1418"/>
      <c r="H35" s="1418"/>
      <c r="I35" s="1418"/>
      <c r="J35" s="1418"/>
      <c r="K35" s="1418"/>
      <c r="L35" s="1550"/>
      <c r="M35" s="1418"/>
      <c r="N35" s="1418"/>
      <c r="O35" s="1418"/>
      <c r="S35" s="2420" t="s">
        <v>435</v>
      </c>
      <c r="T35" s="2420"/>
      <c r="U35" s="1542"/>
      <c r="V35" s="2421" t="str">
        <f>IF(TITLE_NUMBER_PR_CHANGE="",IF(TITLE_NUMBER_PR="","",TITLE_NUMBER_PR),TITLE_NUMBER_PR_CHANGE)</f>
        <v>329-Р</v>
      </c>
      <c r="W35" s="2421"/>
      <c r="X35" s="2421"/>
      <c r="Y35" s="2421"/>
      <c r="Z35" s="2421"/>
      <c r="AA35" s="2421"/>
      <c r="AB35" s="2421"/>
      <c r="AC35" s="1805"/>
      <c r="AD35" s="2421" t="str">
        <f>IF(TITLE_NUMBER_PR_CHANGE="",IF(TITLE_NUMBER_PR="","",TITLE_NUMBER_PR),TITLE_NUMBER_PR_CHANGE)</f>
        <v>329-Р</v>
      </c>
      <c r="AE35" s="2421"/>
      <c r="AF35" s="2421"/>
      <c r="AG35" s="2421"/>
      <c r="AH35" s="2421"/>
      <c r="AI35" s="2421"/>
      <c r="AJ35" s="2421"/>
      <c r="AK35" s="1805"/>
      <c r="AL35" s="1805"/>
      <c r="AM35" s="450"/>
      <c r="AN35" s="538"/>
      <c r="AO35" s="538"/>
      <c r="AP35" s="538"/>
      <c r="AQ35" s="538"/>
      <c r="AR35" s="538"/>
      <c r="AS35" s="588">
        <v>0</v>
      </c>
    </row>
    <row s="12119" customFormat="1" customHeight="1" ht="0">
      <c r="A36" s="1418"/>
      <c r="B36" s="1418"/>
      <c r="C36" s="1418"/>
      <c r="D36" s="1418"/>
      <c r="E36" s="1418"/>
      <c r="F36" s="1418"/>
      <c r="G36" s="1418"/>
      <c r="H36" s="1418"/>
      <c r="I36" s="1418"/>
      <c r="J36" s="1418"/>
      <c r="K36" s="1418"/>
      <c r="L36" s="1550"/>
      <c r="M36" s="1418"/>
      <c r="N36" s="1418"/>
      <c r="O36" s="1418"/>
      <c r="S36" s="1805"/>
      <c r="T36" s="1805"/>
      <c r="U36" s="2140"/>
      <c r="V36" s="1805"/>
      <c r="W36" s="1805"/>
      <c r="X36" s="1805"/>
      <c r="Y36" s="1805"/>
      <c r="Z36" s="1805"/>
      <c r="AA36" s="1805"/>
      <c r="AB36" s="1805"/>
      <c r="AC36" s="1812" t="s">
        <v>436</v>
      </c>
      <c r="AD36" s="1805"/>
      <c r="AE36" s="1805"/>
      <c r="AF36" s="1805"/>
      <c r="AG36" s="1805"/>
      <c r="AH36" s="1805"/>
      <c r="AI36" s="1805"/>
      <c r="AJ36" s="1805"/>
      <c r="AK36" s="1812" t="s">
        <v>436</v>
      </c>
      <c r="AN36" s="538"/>
      <c r="AO36" s="538"/>
      <c r="AP36" s="538"/>
      <c r="AQ36" s="538"/>
      <c r="AR36" s="538"/>
      <c r="AS36" s="588">
        <v>0</v>
      </c>
    </row>
    <row customHeight="1" ht="14.699999999999998">
      <c r="Q37" s="546"/>
      <c r="R37" s="546"/>
      <c r="S37" s="1445"/>
      <c r="T37" s="627"/>
      <c r="U37" s="1414"/>
      <c r="V37" s="2422"/>
      <c r="W37" s="2422"/>
      <c r="X37" s="2422"/>
      <c r="Y37" s="2422"/>
      <c r="Z37" s="2422"/>
      <c r="AA37" s="2422"/>
      <c r="AB37" s="2422"/>
      <c r="AC37" s="2422"/>
      <c r="AD37" s="2422"/>
      <c r="AE37" s="2422"/>
      <c r="AF37" s="2422"/>
      <c r="AG37" s="2422"/>
      <c r="AH37" s="2422"/>
      <c r="AI37" s="2422"/>
      <c r="AJ37" s="2422"/>
      <c r="AK37" s="2422"/>
      <c r="AS37" s="1801">
        <v>14</v>
      </c>
    </row>
    <row customHeight="1" ht="14.699999999999998">
      <c r="Q38" s="546"/>
      <c r="R38" s="546"/>
      <c r="S38" s="2297" t="s">
        <v>312</v>
      </c>
      <c r="T38" s="2297"/>
      <c r="U38" s="2297"/>
      <c r="V38" s="2297"/>
      <c r="W38" s="2297"/>
      <c r="X38" s="2297"/>
      <c r="Y38" s="2297"/>
      <c r="Z38" s="2297"/>
      <c r="AA38" s="2297"/>
      <c r="AB38" s="2297"/>
      <c r="AC38" s="2297"/>
      <c r="AD38" s="2297"/>
      <c r="AE38" s="2297"/>
      <c r="AF38" s="2297"/>
      <c r="AG38" s="2297"/>
      <c r="AH38" s="2297"/>
      <c r="AI38" s="2297"/>
      <c r="AJ38" s="2297"/>
      <c r="AK38" s="2297"/>
      <c r="AL38" s="2297"/>
      <c r="AM38" s="2297" t="s">
        <v>313</v>
      </c>
      <c r="AS38" s="1801">
        <v>14</v>
      </c>
    </row>
    <row customHeight="1" ht="14.699999999999998">
      <c r="Q39" s="546"/>
      <c r="R39" s="546"/>
      <c r="S39" s="2443" t="s">
        <v>91</v>
      </c>
      <c r="T39" s="2379" t="s">
        <v>438</v>
      </c>
      <c r="U39" s="507"/>
      <c r="V39" s="2444" t="s">
        <v>439</v>
      </c>
      <c r="W39" s="2445"/>
      <c r="X39" s="2445"/>
      <c r="Y39" s="2445"/>
      <c r="Z39" s="2445"/>
      <c r="AA39" s="2445"/>
      <c r="AB39" s="2446"/>
      <c r="AC39" s="2447" t="s">
        <v>440</v>
      </c>
      <c r="AD39" s="2444" t="s">
        <v>439</v>
      </c>
      <c r="AE39" s="2445"/>
      <c r="AF39" s="2445"/>
      <c r="AG39" s="2445"/>
      <c r="AH39" s="2445"/>
      <c r="AI39" s="2445"/>
      <c r="AJ39" s="2446"/>
      <c r="AK39" s="2447" t="s">
        <v>441</v>
      </c>
      <c r="AL39" s="2450" t="s">
        <v>442</v>
      </c>
      <c r="AM39" s="2297"/>
      <c r="AS39" s="1801">
        <v>14</v>
      </c>
    </row>
    <row customHeight="1" ht="35.699999999999996">
      <c r="Q40" s="546"/>
      <c r="R40" s="546"/>
      <c r="S40" s="2443"/>
      <c r="T40" s="2379"/>
      <c r="U40" s="1201"/>
      <c r="V40" s="2430" t="s">
        <v>443</v>
      </c>
      <c r="W40" s="2453" t="s">
        <v>444</v>
      </c>
      <c r="X40" s="2432" t="s">
        <v>445</v>
      </c>
      <c r="Y40" s="2433"/>
      <c r="Z40" s="2432" t="s">
        <v>461</v>
      </c>
      <c r="AA40" s="2439"/>
      <c r="AB40" s="2433"/>
      <c r="AC40" s="2448"/>
      <c r="AD40" s="2430" t="s">
        <v>443</v>
      </c>
      <c r="AE40" s="2453" t="s">
        <v>444</v>
      </c>
      <c r="AF40" s="2432" t="s">
        <v>445</v>
      </c>
      <c r="AG40" s="2433"/>
      <c r="AH40" s="2432" t="s">
        <v>446</v>
      </c>
      <c r="AI40" s="2439"/>
      <c r="AJ40" s="2433"/>
      <c r="AK40" s="2448"/>
      <c r="AL40" s="2451"/>
      <c r="AM40" s="2297"/>
      <c r="AS40" s="1801">
        <v>34</v>
      </c>
    </row>
    <row customHeight="1" ht="35.699999999999996">
      <c r="A41" s="1436"/>
      <c r="B41" s="1436" t="s">
        <v>138</v>
      </c>
      <c r="C41" s="1436" t="s">
        <v>139</v>
      </c>
      <c r="D41" s="1436" t="s">
        <v>140</v>
      </c>
      <c r="E41" s="1480" t="s">
        <v>447</v>
      </c>
      <c r="F41" s="1480" t="s">
        <v>448</v>
      </c>
      <c r="G41" s="1480" t="s">
        <v>449</v>
      </c>
      <c r="H41" s="1480" t="s">
        <v>450</v>
      </c>
      <c r="I41" s="1480" t="s">
        <v>451</v>
      </c>
      <c r="J41" s="1480" t="s">
        <v>452</v>
      </c>
      <c r="K41" s="1480" t="s">
        <v>453</v>
      </c>
      <c r="L41" s="1480" t="s">
        <v>427</v>
      </c>
      <c r="Q41" s="546"/>
      <c r="R41" s="546"/>
      <c r="S41" s="2443"/>
      <c r="T41" s="2379"/>
      <c r="U41" s="472"/>
      <c r="V41" s="2431"/>
      <c r="W41" s="2454"/>
      <c r="X41" s="2108" t="s">
        <v>454</v>
      </c>
      <c r="Y41" s="2108" t="s">
        <v>455</v>
      </c>
      <c r="Z41" s="2108" t="s">
        <v>456</v>
      </c>
      <c r="AA41" s="2440" t="s">
        <v>457</v>
      </c>
      <c r="AB41" s="2441"/>
      <c r="AC41" s="2449"/>
      <c r="AD41" s="2431"/>
      <c r="AE41" s="2454"/>
      <c r="AF41" s="2108" t="s">
        <v>454</v>
      </c>
      <c r="AG41" s="2108" t="s">
        <v>455</v>
      </c>
      <c r="AH41" s="2108" t="s">
        <v>456</v>
      </c>
      <c r="AI41" s="2440" t="s">
        <v>457</v>
      </c>
      <c r="AJ41" s="2441"/>
      <c r="AK41" s="2449"/>
      <c r="AL41" s="2452"/>
      <c r="AM41" s="2297"/>
      <c r="AS41" s="1801">
        <v>34</v>
      </c>
    </row>
    <row s="12668" customFormat="1" customHeight="1" ht="11.25" hidden="1">
      <c r="A42" s="1436"/>
      <c r="B42" s="1436"/>
      <c r="C42" s="1436"/>
      <c r="D42" s="1436"/>
      <c r="E42" s="1436"/>
      <c r="F42" s="1436"/>
      <c r="G42" s="1436"/>
      <c r="H42" s="1436"/>
      <c r="I42" s="1436"/>
      <c r="J42" s="1436"/>
      <c r="K42" s="1436"/>
      <c r="L42" s="1480"/>
      <c r="M42" s="2135"/>
      <c r="N42" s="2135"/>
      <c r="O42" s="2135"/>
      <c r="P42" s="1416"/>
      <c r="Q42" s="1417"/>
      <c r="R42" s="1424">
        <v>1</v>
      </c>
      <c r="S42" s="1447" t="s">
        <v>112</v>
      </c>
      <c r="T42" s="1425" t="s">
        <v>113</v>
      </c>
      <c r="U42" s="1415" t="str">
        <f>OFFSET(U42,0,-1)</f>
        <v>2</v>
      </c>
      <c r="V42" s="2126">
        <f>OFFSET(V42,0,-1)+1</f>
        <v>3</v>
      </c>
      <c r="W42" s="2126"/>
      <c r="X42" s="2126">
        <f>OFFSET(X42,0,-1)+1</f>
        <v>1</v>
      </c>
      <c r="Y42" s="2126">
        <f>OFFSET(Y42,0,-1)+1</f>
        <v>2</v>
      </c>
      <c r="Z42" s="2126">
        <f>OFFSET(Z42,0,-1)+1</f>
        <v>3</v>
      </c>
      <c r="AA42" s="2442">
        <f>OFFSET(AA42,0,-1)+1</f>
        <v>4</v>
      </c>
      <c r="AB42" s="2442"/>
      <c r="AC42" s="2126">
        <f>OFFSET(AC42,0,-2)+1</f>
        <v>5</v>
      </c>
      <c r="AD42" s="2126">
        <f>OFFSET(AD42,0,-1)+1</f>
        <v>6</v>
      </c>
      <c r="AE42" s="2126"/>
      <c r="AF42" s="2126">
        <f>OFFSET(AF42,0,-1)+1</f>
        <v>1</v>
      </c>
      <c r="AG42" s="2126">
        <f>OFFSET(AG42,0,-1)+1</f>
        <v>2</v>
      </c>
      <c r="AH42" s="2126">
        <f>OFFSET(AH42,0,-1)+1</f>
        <v>3</v>
      </c>
      <c r="AI42" s="2442">
        <f>OFFSET(AI42,0,-1)+1</f>
        <v>4</v>
      </c>
      <c r="AJ42" s="2442"/>
      <c r="AK42" s="2126">
        <f>OFFSET(AK42,0,-2)+1</f>
        <v>5</v>
      </c>
      <c r="AL42" s="1415">
        <f>OFFSET(AL42,0,-1)</f>
        <v>5</v>
      </c>
      <c r="AM42" s="2126">
        <f>OFFSET(AM42,0,-1)+1</f>
        <v>6</v>
      </c>
      <c r="AN42" s="1806"/>
      <c r="AO42" s="1806"/>
      <c r="AP42" s="1806"/>
      <c r="AQ42" s="1806"/>
      <c r="AR42" s="1806"/>
      <c r="AS42" s="1811">
        <v>0</v>
      </c>
    </row>
    <row customHeight="1" ht="22.049999999999997">
      <c r="A43" s="1437" t="s">
        <v>224</v>
      </c>
      <c r="B43" s="1437"/>
      <c r="C43" s="1437"/>
      <c r="D43" s="1437"/>
      <c r="E43" s="2459">
        <v>1</v>
      </c>
      <c r="F43" s="1437"/>
      <c r="G43" s="1437"/>
      <c r="H43" s="1437"/>
      <c r="I43" s="1437"/>
      <c r="J43" s="1437"/>
      <c r="K43" s="1437"/>
      <c r="L43" s="1480"/>
      <c r="M43" s="1780"/>
      <c r="N43" s="1780"/>
      <c r="O43" s="1780"/>
      <c r="P43" s="1760"/>
      <c r="Q43" s="530"/>
      <c r="R43" s="525"/>
      <c r="S43" s="2128">
        <f>INDEX(PT_DIFFERENTIATION_NUM_NTAR,MATCH(A43,PT_DIFFERENTIATION_NTAR_ID,0))</f>
        <v>0</v>
      </c>
      <c r="T43" s="1695" t="s">
        <v>126</v>
      </c>
      <c r="U43" s="470"/>
      <c r="V43" s="2412"/>
      <c r="W43" s="2413"/>
      <c r="X43" s="2413"/>
      <c r="Y43" s="2413"/>
      <c r="Z43" s="2413"/>
      <c r="AA43" s="2413"/>
      <c r="AB43" s="2413"/>
      <c r="AC43" s="2414"/>
      <c r="AD43" s="2412" t="str">
        <f>INDEX(PT_DIFFERENTIATION_NTAR,MATCH(A43,PT_DIFFERENTIATION_NTAR_ID,0))</f>
        <v/>
      </c>
      <c r="AE43" s="2413"/>
      <c r="AF43" s="2413"/>
      <c r="AG43" s="2413"/>
      <c r="AH43" s="2413"/>
      <c r="AI43" s="2413"/>
      <c r="AJ43" s="2413"/>
      <c r="AK43" s="2413"/>
      <c r="AL43" s="2414"/>
      <c r="AM43" s="142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94"/>
      <c r="AP43" s="1794" t="str">
        <f>IF(T43="","",T43)</f>
        <v>Наименование тарифа</v>
      </c>
      <c r="AQ43" s="1794"/>
      <c r="AR43" s="1794"/>
      <c r="AS43" s="1801">
        <v>21</v>
      </c>
    </row>
    <row customHeight="1" ht="22.049999999999997">
      <c r="A44" s="1437" t="s">
        <v>224</v>
      </c>
      <c r="B44" s="1437" t="s">
        <v>225</v>
      </c>
      <c r="C44" s="1437"/>
      <c r="D44" s="1437"/>
      <c r="E44" s="2460"/>
      <c r="F44" s="2459">
        <v>1</v>
      </c>
      <c r="G44" s="1437"/>
      <c r="H44" s="1437"/>
      <c r="I44" s="1437"/>
      <c r="J44" s="1437"/>
      <c r="K44" s="1437"/>
      <c r="L44" s="1480"/>
      <c r="M44" s="1780"/>
      <c r="N44" s="1780"/>
      <c r="O44" s="1780"/>
      <c r="P44" s="2110"/>
      <c r="Q44" s="522"/>
      <c r="R44" s="523"/>
      <c r="S44" s="2128" t="str">
        <f>INDEX(PT_DIFFERENTIATION_NUM_TER,MATCH(B44,PT_DIFFERENTIATION_TER_ID,0))</f>
        <v>.</v>
      </c>
      <c r="T44" s="1692" t="s">
        <v>409</v>
      </c>
      <c r="U44" s="470"/>
      <c r="V44" s="2412"/>
      <c r="W44" s="2413"/>
      <c r="X44" s="2413"/>
      <c r="Y44" s="2413"/>
      <c r="Z44" s="2413"/>
      <c r="AA44" s="2413"/>
      <c r="AB44" s="2413"/>
      <c r="AC44" s="2414"/>
      <c r="AD44" s="2412" t="str">
        <f>INDEX(PT_DIFFERENTIATION_TER,MATCH(B44,PT_DIFFERENTIATION_TER_ID,0))</f>
        <v/>
      </c>
      <c r="AE44" s="2413"/>
      <c r="AF44" s="2413"/>
      <c r="AG44" s="2413"/>
      <c r="AH44" s="2413"/>
      <c r="AI44" s="2413"/>
      <c r="AJ44" s="2413"/>
      <c r="AK44" s="2413"/>
      <c r="AL44" s="2414"/>
      <c r="AM44" s="1428" t="s">
        <v>410</v>
      </c>
      <c r="AO44" s="1794"/>
      <c r="AP44" s="1794" t="str">
        <f>IF(T44="","",T44)</f>
        <v>Территория действия тарифа</v>
      </c>
      <c r="AQ44" s="1794"/>
      <c r="AR44" s="1794"/>
      <c r="AS44" s="1801">
        <v>21</v>
      </c>
    </row>
    <row customHeight="1" ht="24">
      <c r="A45" s="1437" t="s">
        <v>224</v>
      </c>
      <c r="B45" s="1437" t="s">
        <v>225</v>
      </c>
      <c r="C45" s="1437" t="s">
        <v>226</v>
      </c>
      <c r="D45" s="1437"/>
      <c r="E45" s="2460"/>
      <c r="F45" s="2460"/>
      <c r="G45" s="2459">
        <v>1</v>
      </c>
      <c r="H45" s="1437"/>
      <c r="I45" s="1437"/>
      <c r="J45" s="1437"/>
      <c r="K45" s="1437"/>
      <c r="L45" s="1480"/>
      <c r="M45" s="1780"/>
      <c r="N45" s="1780"/>
      <c r="O45" s="1780"/>
      <c r="P45" s="524"/>
      <c r="Q45" s="522"/>
      <c r="R45" s="523"/>
      <c r="S45" s="2128" t="str">
        <f>INDEX(PT_DIFFERENTIATION_NUM_CS,MATCH(C45,PT_DIFFERENTIATION_CS_ID,0))</f>
        <v>..</v>
      </c>
      <c r="T45" s="479" t="s">
        <v>411</v>
      </c>
      <c r="U45" s="470"/>
      <c r="V45" s="2412"/>
      <c r="W45" s="2413"/>
      <c r="X45" s="2413"/>
      <c r="Y45" s="2413"/>
      <c r="Z45" s="2413"/>
      <c r="AA45" s="2413"/>
      <c r="AB45" s="2413"/>
      <c r="AC45" s="2414"/>
      <c r="AD45" s="2412" t="str">
        <f>INDEX(PT_DIFFERENTIATION_CS,MATCH(C45,PT_DIFFERENTIATION_CS_ID,0))</f>
        <v/>
      </c>
      <c r="AE45" s="2413"/>
      <c r="AF45" s="2413"/>
      <c r="AG45" s="2413"/>
      <c r="AH45" s="2413"/>
      <c r="AI45" s="2413"/>
      <c r="AJ45" s="2413"/>
      <c r="AK45" s="2413"/>
      <c r="AL45" s="2414"/>
      <c r="AM45" s="1428" t="s">
        <v>412</v>
      </c>
      <c r="AO45" s="1794"/>
      <c r="AP45" s="1794" t="str">
        <f>IF(T45="","",T45)</f>
        <v>Наименование системы теплоснабжения </v>
      </c>
      <c r="AQ45" s="1794"/>
      <c r="AR45" s="1794"/>
      <c r="AS45" s="1801">
        <v>23</v>
      </c>
    </row>
    <row customHeight="1" ht="22.049999999999997">
      <c r="A46" s="1437" t="s">
        <v>224</v>
      </c>
      <c r="B46" s="1437" t="s">
        <v>225</v>
      </c>
      <c r="C46" s="1437" t="s">
        <v>226</v>
      </c>
      <c r="D46" s="1437" t="s">
        <v>227</v>
      </c>
      <c r="E46" s="2460"/>
      <c r="F46" s="2460"/>
      <c r="G46" s="2460"/>
      <c r="H46" s="2459">
        <v>1</v>
      </c>
      <c r="I46" s="1437"/>
      <c r="J46" s="1437"/>
      <c r="K46" s="1437"/>
      <c r="L46" s="1480"/>
      <c r="M46" s="1780"/>
      <c r="N46" s="1780"/>
      <c r="O46" s="1780"/>
      <c r="P46" s="524"/>
      <c r="Q46" s="522"/>
      <c r="R46" s="523"/>
      <c r="S46" s="2128" t="str">
        <f>INDEX(PT_DIFFERENTIATION_NUM_IST_TE,MATCH(D46,PT_DIFFERENTIATION_IST_TE_ID,0))</f>
        <v>...</v>
      </c>
      <c r="T46" s="480" t="s">
        <v>413</v>
      </c>
      <c r="U46" s="470"/>
      <c r="V46" s="2412"/>
      <c r="W46" s="2413"/>
      <c r="X46" s="2413"/>
      <c r="Y46" s="2413"/>
      <c r="Z46" s="2413"/>
      <c r="AA46" s="2413"/>
      <c r="AB46" s="2413"/>
      <c r="AC46" s="2414"/>
      <c r="AD46" s="2412" t="str">
        <f>INDEX(PT_DIFFERENTIATION_IST_TE,MATCH(D46,PT_DIFFERENTIATION_IST_TE_ID,0))</f>
        <v/>
      </c>
      <c r="AE46" s="2413"/>
      <c r="AF46" s="2413"/>
      <c r="AG46" s="2413"/>
      <c r="AH46" s="2413"/>
      <c r="AI46" s="2413"/>
      <c r="AJ46" s="2413"/>
      <c r="AK46" s="2413"/>
      <c r="AL46" s="2414"/>
      <c r="AM46" s="1428" t="s">
        <v>414</v>
      </c>
      <c r="AO46" s="1794"/>
      <c r="AP46" s="1794" t="str">
        <f>IF(T46="","",T46)</f>
        <v>Источник тепловой энергии  </v>
      </c>
      <c r="AQ46" s="1794"/>
      <c r="AR46" s="1794"/>
      <c r="AS46" s="1801">
        <v>21</v>
      </c>
    </row>
    <row customHeight="1" ht="49.5">
      <c r="A47" s="1437" t="s">
        <v>224</v>
      </c>
      <c r="B47" s="1437" t="s">
        <v>225</v>
      </c>
      <c r="C47" s="1437" t="s">
        <v>226</v>
      </c>
      <c r="D47" s="1437" t="s">
        <v>227</v>
      </c>
      <c r="E47" s="2460"/>
      <c r="F47" s="2460"/>
      <c r="G47" s="2460"/>
      <c r="H47" s="2460"/>
      <c r="I47" s="2297" t="str">
        <f>S46&amp;".1"</f>
        <v>....1</v>
      </c>
      <c r="J47" s="1437"/>
      <c r="K47" s="1437"/>
      <c r="L47" s="1480" t="s">
        <v>415</v>
      </c>
      <c r="P47" s="2427">
        <v>1</v>
      </c>
      <c r="Q47" s="2124"/>
      <c r="R47" s="526"/>
      <c r="S47" s="2128" t="str">
        <f>$I47</f>
        <v>....1</v>
      </c>
      <c r="T47" s="455" t="s">
        <v>416</v>
      </c>
      <c r="U47" s="470"/>
      <c r="V47" s="2415"/>
      <c r="W47" s="2416"/>
      <c r="X47" s="2416"/>
      <c r="Y47" s="2416"/>
      <c r="Z47" s="2416"/>
      <c r="AA47" s="2416"/>
      <c r="AB47" s="2416"/>
      <c r="AC47" s="2417"/>
      <c r="AD47" s="2415"/>
      <c r="AE47" s="2416"/>
      <c r="AF47" s="2416"/>
      <c r="AG47" s="2416"/>
      <c r="AH47" s="2416"/>
      <c r="AI47" s="2416"/>
      <c r="AJ47" s="2416"/>
      <c r="AK47" s="2416"/>
      <c r="AL47" s="2417"/>
      <c r="AM47" s="1428" t="s">
        <v>417</v>
      </c>
      <c r="AO47" s="1794"/>
      <c r="AP47" s="1794" t="str">
        <f>IF(T47="","",T47)</f>
        <v>Схема подключения теплопотребляющей установки к коллектору источника тепловой энергии</v>
      </c>
      <c r="AQ47" s="1794"/>
      <c r="AR47" s="1794"/>
      <c r="AS47" s="1801">
        <v>47</v>
      </c>
    </row>
    <row customHeight="1" ht="22.049999999999997">
      <c r="A48" s="1437" t="s">
        <v>224</v>
      </c>
      <c r="B48" s="1437" t="s">
        <v>225</v>
      </c>
      <c r="C48" s="1437" t="s">
        <v>226</v>
      </c>
      <c r="D48" s="1437" t="s">
        <v>227</v>
      </c>
      <c r="E48" s="2460"/>
      <c r="F48" s="2460"/>
      <c r="G48" s="2460"/>
      <c r="H48" s="2460"/>
      <c r="I48" s="2271"/>
      <c r="J48" s="2297" t="str">
        <f>I47&amp;".1"</f>
        <v>....1.1</v>
      </c>
      <c r="K48" s="1437"/>
      <c r="L48" s="1480" t="s">
        <v>418</v>
      </c>
      <c r="P48" s="2427"/>
      <c r="Q48" s="2427">
        <v>1</v>
      </c>
      <c r="R48" s="527"/>
      <c r="S48" s="2128" t="str">
        <f>$J48</f>
        <v>....1.1</v>
      </c>
      <c r="T48" s="456" t="s">
        <v>419</v>
      </c>
      <c r="U48" s="470"/>
      <c r="V48" s="2415"/>
      <c r="W48" s="2416"/>
      <c r="X48" s="2416"/>
      <c r="Y48" s="2416"/>
      <c r="Z48" s="2416"/>
      <c r="AA48" s="2416"/>
      <c r="AB48" s="2416"/>
      <c r="AC48" s="2417"/>
      <c r="AD48" s="2415"/>
      <c r="AE48" s="2416"/>
      <c r="AF48" s="2416"/>
      <c r="AG48" s="2416"/>
      <c r="AH48" s="2416"/>
      <c r="AI48" s="2416"/>
      <c r="AJ48" s="2416"/>
      <c r="AK48" s="2416"/>
      <c r="AL48" s="2417"/>
      <c r="AM48" s="1428" t="s">
        <v>420</v>
      </c>
      <c r="AO48" s="1794"/>
      <c r="AP48" s="1794" t="str">
        <f>IF(T48="","",T48)</f>
        <v>Группа потребителей</v>
      </c>
      <c r="AQ48" s="1794"/>
      <c r="AR48" s="1794"/>
      <c r="AS48" s="1801">
        <v>21</v>
      </c>
    </row>
    <row customHeight="1" ht="22.049999999999997">
      <c r="A49" s="1437" t="s">
        <v>224</v>
      </c>
      <c r="B49" s="1437" t="s">
        <v>225</v>
      </c>
      <c r="C49" s="1437" t="s">
        <v>226</v>
      </c>
      <c r="D49" s="1437" t="s">
        <v>227</v>
      </c>
      <c r="E49" s="2460"/>
      <c r="F49" s="2460"/>
      <c r="G49" s="2460"/>
      <c r="H49" s="2460"/>
      <c r="I49" s="2271"/>
      <c r="J49" s="2271"/>
      <c r="K49" s="2297" t="str">
        <f>J48&amp;".1"</f>
        <v>....1.1.1</v>
      </c>
      <c r="L49" s="1480" t="s">
        <v>421</v>
      </c>
      <c r="P49" s="2427"/>
      <c r="Q49" s="2427"/>
      <c r="R49" s="527">
        <v>1</v>
      </c>
      <c r="S49" s="2128" t="str">
        <f>$K49</f>
        <v>....1.1.1</v>
      </c>
      <c r="T49" s="1517"/>
      <c r="U49" s="470"/>
      <c r="V49" s="921"/>
      <c r="W49" s="495"/>
      <c r="X49" s="921"/>
      <c r="Y49" s="1427"/>
      <c r="Z49" s="2435"/>
      <c r="AA49" s="2277" t="s">
        <v>64</v>
      </c>
      <c r="AB49" s="2435"/>
      <c r="AC49" s="2277" t="s">
        <v>64</v>
      </c>
      <c r="AD49" s="921"/>
      <c r="AE49" s="495"/>
      <c r="AF49" s="921"/>
      <c r="AG49" s="1427"/>
      <c r="AH49" s="2435"/>
      <c r="AI49" s="2277" t="s">
        <v>64</v>
      </c>
      <c r="AJ49" s="2457"/>
      <c r="AK49" s="2277" t="s">
        <v>64</v>
      </c>
      <c r="AL49" s="1518"/>
      <c r="AM49" s="2423" t="s">
        <v>422</v>
      </c>
      <c r="AN49" s="1806">
        <f>STRCHECKDATE(V50:AL50)</f>
      </c>
      <c r="AO49" s="1794"/>
      <c r="AP49" s="1794" t="str">
        <f>IF(T49="","",T49)</f>
        <v/>
      </c>
      <c r="AQ49" s="1794"/>
      <c r="AR49" s="1794"/>
      <c r="AS49" s="1801">
        <v>21</v>
      </c>
    </row>
    <row customHeight="1" ht="1.05">
      <c r="A50" s="1437" t="s">
        <v>224</v>
      </c>
      <c r="B50" s="1437" t="s">
        <v>225</v>
      </c>
      <c r="C50" s="1437" t="s">
        <v>226</v>
      </c>
      <c r="D50" s="1437" t="s">
        <v>227</v>
      </c>
      <c r="E50" s="2460"/>
      <c r="F50" s="2460"/>
      <c r="G50" s="2460"/>
      <c r="H50" s="2460"/>
      <c r="I50" s="2271"/>
      <c r="J50" s="2271"/>
      <c r="K50" s="2297"/>
      <c r="L50" s="1480"/>
      <c r="P50" s="2427"/>
      <c r="Q50" s="2427"/>
      <c r="R50" s="527"/>
      <c r="S50" s="2137"/>
      <c r="T50" s="470"/>
      <c r="U50" s="470"/>
      <c r="V50" s="495"/>
      <c r="W50" s="495"/>
      <c r="X50" s="495"/>
      <c r="Y50" s="498" t="str">
        <f>Z49&amp;"-"&amp;AB49</f>
        <v>-</v>
      </c>
      <c r="Z50" s="2436"/>
      <c r="AA50" s="2277"/>
      <c r="AB50" s="2436"/>
      <c r="AC50" s="2277"/>
      <c r="AD50" s="495"/>
      <c r="AE50" s="495"/>
      <c r="AF50" s="495"/>
      <c r="AG50" s="498" t="str">
        <f>AH49&amp;"-"&amp;AJ49</f>
        <v>-</v>
      </c>
      <c r="AH50" s="2436"/>
      <c r="AI50" s="2277"/>
      <c r="AJ50" s="2458"/>
      <c r="AK50" s="2277"/>
      <c r="AL50" s="1519"/>
      <c r="AM50" s="2424"/>
      <c r="AO50" s="1794"/>
      <c r="AP50" s="1794" t="str">
        <f>IF(T50="","",T50)</f>
        <v/>
      </c>
      <c r="AQ50" s="1794"/>
      <c r="AR50" s="1794"/>
      <c r="AS50" s="1801">
        <v>1</v>
      </c>
    </row>
    <row customHeight="1" ht="11.549999999999999">
      <c r="A51" s="1437" t="s">
        <v>224</v>
      </c>
      <c r="B51" s="1437" t="s">
        <v>225</v>
      </c>
      <c r="C51" s="1437" t="s">
        <v>226</v>
      </c>
      <c r="D51" s="1437" t="s">
        <v>227</v>
      </c>
      <c r="E51" s="2460"/>
      <c r="F51" s="2460"/>
      <c r="G51" s="2460"/>
      <c r="H51" s="2460"/>
      <c r="I51" s="2271"/>
      <c r="J51" s="2297"/>
      <c r="K51" s="1437"/>
      <c r="L51" s="1480"/>
      <c r="P51" s="2427"/>
      <c r="Q51" s="2427"/>
      <c r="R51" s="526"/>
      <c r="S51" s="1448"/>
      <c r="T51" s="458" t="s">
        <v>423</v>
      </c>
      <c r="U51" s="770"/>
      <c r="V51" s="770"/>
      <c r="W51" s="770"/>
      <c r="X51" s="770"/>
      <c r="Y51" s="770"/>
      <c r="Z51" s="770"/>
      <c r="AA51" s="770"/>
      <c r="AB51" s="770"/>
      <c r="AC51" s="770"/>
      <c r="AD51" s="770"/>
      <c r="AE51" s="770"/>
      <c r="AF51" s="770"/>
      <c r="AG51" s="770"/>
      <c r="AH51" s="770"/>
      <c r="AI51" s="770"/>
      <c r="AJ51" s="770"/>
      <c r="AK51" s="770"/>
      <c r="AL51" s="494"/>
      <c r="AM51" s="2425"/>
      <c r="AO51" s="1794"/>
      <c r="AP51" s="1794" t="str">
        <f>IF(T51="","",T51)</f>
        <v>Добавить вид теплоносителя (параметры теплоносителя)</v>
      </c>
      <c r="AQ51" s="1794"/>
      <c r="AR51" s="1794"/>
      <c r="AS51" s="1801">
        <v>11</v>
      </c>
    </row>
    <row customHeight="1" ht="11.549999999999999">
      <c r="A52" s="1437" t="s">
        <v>224</v>
      </c>
      <c r="B52" s="1437" t="s">
        <v>225</v>
      </c>
      <c r="C52" s="1437" t="s">
        <v>226</v>
      </c>
      <c r="D52" s="1437" t="s">
        <v>227</v>
      </c>
      <c r="E52" s="2460"/>
      <c r="F52" s="2460"/>
      <c r="G52" s="2460"/>
      <c r="H52" s="2460"/>
      <c r="I52" s="2297"/>
      <c r="J52" s="1437"/>
      <c r="K52" s="1437"/>
      <c r="L52" s="1480"/>
      <c r="P52" s="2427"/>
      <c r="Q52" s="2124"/>
      <c r="R52" s="526"/>
      <c r="S52" s="1448"/>
      <c r="T52" s="457" t="s">
        <v>424</v>
      </c>
      <c r="U52" s="770"/>
      <c r="V52" s="770"/>
      <c r="W52" s="770"/>
      <c r="X52" s="770"/>
      <c r="Y52" s="770"/>
      <c r="Z52" s="770"/>
      <c r="AA52" s="770"/>
      <c r="AB52" s="770"/>
      <c r="AC52" s="536"/>
      <c r="AD52" s="770"/>
      <c r="AE52" s="770"/>
      <c r="AF52" s="770"/>
      <c r="AG52" s="770"/>
      <c r="AH52" s="770"/>
      <c r="AI52" s="770"/>
      <c r="AJ52" s="770"/>
      <c r="AK52" s="536"/>
      <c r="AL52" s="770"/>
      <c r="AM52" s="473"/>
      <c r="AO52" s="1794"/>
      <c r="AP52" s="1794" t="str">
        <f>IF(T52="","",T52)</f>
        <v>Добавить группу потребителей</v>
      </c>
      <c r="AQ52" s="1794"/>
      <c r="AR52" s="1794"/>
      <c r="AS52" s="1801">
        <v>11</v>
      </c>
    </row>
    <row customHeight="1" ht="14.699999999999998">
      <c r="A53" s="1437" t="s">
        <v>224</v>
      </c>
      <c r="B53" s="1437" t="s">
        <v>225</v>
      </c>
      <c r="C53" s="1437" t="s">
        <v>226</v>
      </c>
      <c r="D53" s="1437" t="s">
        <v>227</v>
      </c>
      <c r="E53" s="2460"/>
      <c r="F53" s="2460"/>
      <c r="G53" s="2460"/>
      <c r="H53" s="2459"/>
      <c r="I53" s="1437"/>
      <c r="J53" s="1437"/>
      <c r="K53" s="1437"/>
      <c r="L53" s="1480"/>
      <c r="M53" s="1780"/>
      <c r="N53" s="1780"/>
      <c r="O53" s="1805"/>
      <c r="P53" s="530"/>
      <c r="Q53" s="545"/>
      <c r="R53" s="525"/>
      <c r="S53" s="1448"/>
      <c r="T53" s="535" t="s">
        <v>425</v>
      </c>
      <c r="U53" s="770"/>
      <c r="V53" s="770"/>
      <c r="W53" s="770"/>
      <c r="X53" s="770"/>
      <c r="Y53" s="770"/>
      <c r="Z53" s="770"/>
      <c r="AA53" s="770"/>
      <c r="AB53" s="770"/>
      <c r="AC53" s="536"/>
      <c r="AD53" s="770"/>
      <c r="AE53" s="770"/>
      <c r="AF53" s="770"/>
      <c r="AG53" s="770"/>
      <c r="AH53" s="770"/>
      <c r="AI53" s="770"/>
      <c r="AJ53" s="770"/>
      <c r="AK53" s="536"/>
      <c r="AL53" s="770"/>
      <c r="AM53" s="473"/>
      <c r="AO53" s="1794"/>
      <c r="AP53" s="1794" t="str">
        <f>IF(T53="","",T53)</f>
        <v>Добавить схему подключения</v>
      </c>
      <c r="AQ53" s="1794"/>
      <c r="AR53" s="1794"/>
      <c r="AS53" s="1801">
        <v>14</v>
      </c>
    </row>
    <row s="11993" customFormat="1" customHeight="1" ht="4.2">
      <c r="A54" s="1545" t="s">
        <v>224</v>
      </c>
      <c r="B54" s="1545" t="s">
        <v>225</v>
      </c>
      <c r="C54" s="1545" t="s">
        <v>226</v>
      </c>
      <c r="D54" s="1544"/>
      <c r="E54" s="2460"/>
      <c r="F54" s="2460"/>
      <c r="G54" s="2459"/>
      <c r="H54" s="1544"/>
      <c r="I54" s="1544"/>
      <c r="J54" s="1544"/>
      <c r="K54" s="1544"/>
      <c r="L54" s="1547"/>
      <c r="M54" s="1548"/>
      <c r="N54" s="1548"/>
      <c r="O54" s="521"/>
      <c r="P54" s="1486"/>
      <c r="Q54" s="1487"/>
      <c r="R54" s="1486"/>
      <c r="S54" s="1492"/>
      <c r="T54" s="1495" t="s">
        <v>165</v>
      </c>
      <c r="U54" s="1494"/>
      <c r="V54" s="1494"/>
      <c r="W54" s="1494"/>
      <c r="X54" s="1494"/>
      <c r="Y54" s="1494"/>
      <c r="Z54" s="1494"/>
      <c r="AA54" s="1494"/>
      <c r="AB54" s="1494"/>
      <c r="AC54" s="1494"/>
      <c r="AD54" s="1494"/>
      <c r="AE54" s="1494"/>
      <c r="AF54" s="1494"/>
      <c r="AG54" s="1494"/>
      <c r="AH54" s="1494"/>
      <c r="AI54" s="1494"/>
      <c r="AJ54" s="1494"/>
      <c r="AK54" s="1494"/>
      <c r="AL54" s="1494"/>
      <c r="AM54" s="1494"/>
      <c r="AO54" s="1421"/>
      <c r="AP54" s="1421" t="str">
        <f>IF(T54="","",T54)</f>
        <v>Добавить источник для дифференциации</v>
      </c>
      <c r="AQ54" s="1421"/>
      <c r="AR54" s="1421"/>
      <c r="AS54" s="1812">
        <v>4</v>
      </c>
    </row>
    <row s="11993" customFormat="1" customHeight="1" ht="4.2">
      <c r="A55" s="1545" t="s">
        <v>224</v>
      </c>
      <c r="B55" s="1545" t="s">
        <v>225</v>
      </c>
      <c r="C55" s="1544"/>
      <c r="D55" s="1544"/>
      <c r="E55" s="2460"/>
      <c r="F55" s="2459"/>
      <c r="G55" s="1544"/>
      <c r="H55" s="1544"/>
      <c r="I55" s="1544"/>
      <c r="J55" s="1544"/>
      <c r="K55" s="1544"/>
      <c r="L55" s="1547"/>
      <c r="M55" s="1549"/>
      <c r="N55" s="1549"/>
      <c r="O55" s="521"/>
      <c r="P55" s="1486"/>
      <c r="Q55" s="1487"/>
      <c r="R55" s="1486"/>
      <c r="S55" s="1492"/>
      <c r="T55" s="1495" t="s">
        <v>166</v>
      </c>
      <c r="U55" s="1494"/>
      <c r="V55" s="1494"/>
      <c r="W55" s="1494"/>
      <c r="X55" s="1494"/>
      <c r="Y55" s="1494"/>
      <c r="Z55" s="1494"/>
      <c r="AA55" s="1494"/>
      <c r="AB55" s="1494"/>
      <c r="AC55" s="1494"/>
      <c r="AD55" s="1494"/>
      <c r="AE55" s="1494"/>
      <c r="AF55" s="1494"/>
      <c r="AG55" s="1494"/>
      <c r="AH55" s="1494"/>
      <c r="AI55" s="1494"/>
      <c r="AJ55" s="1494"/>
      <c r="AK55" s="1494"/>
      <c r="AL55" s="1494"/>
      <c r="AM55" s="1494"/>
      <c r="AO55" s="1421"/>
      <c r="AP55" s="1421" t="str">
        <f>IF(T55="","",T55)</f>
        <v>Добавить централизованную систему для дифференциации</v>
      </c>
      <c r="AQ55" s="1421"/>
      <c r="AR55" s="1421"/>
      <c r="AS55" s="1812">
        <v>4</v>
      </c>
    </row>
    <row s="11993" customFormat="1" customHeight="1" ht="4.2">
      <c r="A56" s="1545" t="s">
        <v>224</v>
      </c>
      <c r="B56" s="1545"/>
      <c r="C56" s="1545"/>
      <c r="D56" s="1545"/>
      <c r="E56" s="2459"/>
      <c r="F56" s="1545"/>
      <c r="G56" s="1545"/>
      <c r="H56" s="1545"/>
      <c r="I56" s="1545"/>
      <c r="J56" s="1545"/>
      <c r="K56" s="1545"/>
      <c r="L56" s="1551"/>
      <c r="M56" s="1549"/>
      <c r="N56" s="1549"/>
      <c r="O56" s="521"/>
      <c r="P56" s="550"/>
      <c r="Q56" s="1514"/>
      <c r="R56" s="550"/>
      <c r="S56" s="1492"/>
      <c r="T56" s="1495" t="s">
        <v>167</v>
      </c>
      <c r="U56" s="1494"/>
      <c r="V56" s="1494"/>
      <c r="W56" s="1494"/>
      <c r="X56" s="1494"/>
      <c r="Y56" s="1494"/>
      <c r="Z56" s="1494"/>
      <c r="AA56" s="1494"/>
      <c r="AB56" s="1494"/>
      <c r="AC56" s="1494"/>
      <c r="AD56" s="1494"/>
      <c r="AE56" s="1494"/>
      <c r="AF56" s="1494"/>
      <c r="AG56" s="1494"/>
      <c r="AH56" s="1494"/>
      <c r="AI56" s="1494"/>
      <c r="AJ56" s="1494"/>
      <c r="AK56" s="1494"/>
      <c r="AL56" s="1494"/>
      <c r="AM56" s="1494"/>
      <c r="AO56" s="1794"/>
      <c r="AP56" s="1794" t="str">
        <f>IF(T56="","",T56)</f>
        <v>Добавить территорию для дифференциации</v>
      </c>
      <c r="AQ56" s="1794"/>
      <c r="AR56" s="1794"/>
      <c r="AS56" s="1806">
        <v>4</v>
      </c>
    </row>
    <row s="11993" customFormat="1" customHeight="1" ht="4.2">
      <c r="A57" s="1544"/>
      <c r="B57" s="1544"/>
      <c r="C57" s="1544"/>
      <c r="D57" s="1544"/>
      <c r="E57" s="1545"/>
      <c r="F57" s="1544"/>
      <c r="G57" s="1544"/>
      <c r="H57" s="1544"/>
      <c r="I57" s="1544"/>
      <c r="J57" s="1544"/>
      <c r="K57" s="1544"/>
      <c r="L57" s="1547"/>
      <c r="M57" s="1549"/>
      <c r="N57" s="1549"/>
      <c r="O57" s="521"/>
      <c r="P57" s="1486"/>
      <c r="Q57" s="1487"/>
      <c r="R57" s="1486"/>
      <c r="S57" s="1492"/>
      <c r="T57" s="1495" t="s">
        <v>168</v>
      </c>
      <c r="U57" s="1494"/>
      <c r="V57" s="1494"/>
      <c r="W57" s="1494"/>
      <c r="X57" s="1494"/>
      <c r="Y57" s="1494"/>
      <c r="Z57" s="1494"/>
      <c r="AA57" s="1494"/>
      <c r="AB57" s="1494"/>
      <c r="AC57" s="1494"/>
      <c r="AD57" s="1494"/>
      <c r="AE57" s="1494"/>
      <c r="AF57" s="1494"/>
      <c r="AG57" s="1494"/>
      <c r="AH57" s="1494"/>
      <c r="AI57" s="1494"/>
      <c r="AJ57" s="1494"/>
      <c r="AK57" s="1494"/>
      <c r="AL57" s="1494"/>
      <c r="AM57" s="1494"/>
      <c r="AO57" s="1421"/>
      <c r="AP57" s="1421" t="str">
        <f>IF(T57="","",T57)</f>
        <v>Добавить наименование тарифа</v>
      </c>
      <c r="AQ57" s="1421"/>
      <c r="AR57" s="1421"/>
      <c r="AS57" s="1812">
        <v>4</v>
      </c>
    </row>
    <row customHeight="1" ht="11.549999999999999">
      <c r="M58" s="1801"/>
      <c r="N58" s="1801"/>
      <c r="O58" s="1805"/>
      <c r="P58" s="1801"/>
      <c r="Q58" s="1801"/>
      <c r="R58" s="1801"/>
      <c r="S58" s="1801"/>
      <c r="AN58" s="1801"/>
      <c r="AO58" s="1801"/>
      <c r="AP58" s="1801"/>
      <c r="AQ58" s="1801"/>
      <c r="AR58" s="1801"/>
      <c r="AS58" s="1801">
        <v>11</v>
      </c>
    </row>
    <row customHeight="1" ht="28.5">
      <c r="O59" s="1805"/>
      <c r="S59" s="1423"/>
      <c r="T59" s="2455"/>
      <c r="U59" s="2455"/>
      <c r="V59" s="2455"/>
      <c r="W59" s="2455"/>
      <c r="X59" s="2455"/>
      <c r="Y59" s="2455"/>
      <c r="Z59" s="2455"/>
      <c r="AA59" s="2455"/>
      <c r="AB59" s="2455"/>
      <c r="AC59" s="2455"/>
      <c r="AD59" s="2455"/>
      <c r="AE59" s="2455"/>
      <c r="AF59" s="2455"/>
      <c r="AG59" s="2455"/>
      <c r="AH59" s="2455"/>
      <c r="AI59" s="2455"/>
      <c r="AJ59" s="2455"/>
      <c r="AK59" s="2455"/>
      <c r="AL59" s="2455"/>
      <c r="AM59" s="2455"/>
      <c r="AS59" s="1801">
        <v>27</v>
      </c>
    </row>
    <row customHeight="1" ht="65.25">
      <c r="O60" s="1805"/>
      <c r="T60" s="2455"/>
      <c r="U60" s="2455"/>
      <c r="V60" s="2455"/>
      <c r="W60" s="2455"/>
      <c r="X60" s="2455"/>
      <c r="Y60" s="2455"/>
      <c r="Z60" s="2455"/>
      <c r="AA60" s="2455"/>
      <c r="AB60" s="2455"/>
      <c r="AC60" s="2455"/>
      <c r="AD60" s="2455"/>
      <c r="AE60" s="2455"/>
      <c r="AF60" s="2455"/>
      <c r="AG60" s="2455"/>
      <c r="AH60" s="2455"/>
      <c r="AI60" s="2455"/>
      <c r="AJ60" s="2455"/>
      <c r="AK60" s="2455"/>
      <c r="AL60" s="2455"/>
      <c r="AM60" s="2455"/>
      <c r="AS60" s="1801">
        <v>62</v>
      </c>
    </row>
    <row customHeight="1" ht="14.699999999999998">
      <c r="O61" s="1805"/>
      <c r="AS61" s="1801">
        <v>14</v>
      </c>
    </row>
    <row customHeight="1" ht="18.75">
      <c r="O62" s="1805"/>
      <c r="S62" s="1423"/>
      <c r="T62" s="2455"/>
      <c r="U62" s="2455"/>
      <c r="V62" s="2455"/>
      <c r="W62" s="2455"/>
      <c r="X62" s="2455"/>
      <c r="Y62" s="2455"/>
      <c r="Z62" s="2455"/>
      <c r="AA62" s="2455"/>
      <c r="AB62" s="2455"/>
      <c r="AC62" s="2455"/>
      <c r="AD62" s="2455"/>
      <c r="AE62" s="2455"/>
      <c r="AF62" s="2455"/>
      <c r="AG62" s="2455"/>
      <c r="AH62" s="2455"/>
      <c r="AI62" s="2455"/>
      <c r="AJ62" s="2455"/>
      <c r="AK62" s="2455"/>
      <c r="AL62" s="2455"/>
      <c r="AM62" s="2455"/>
      <c r="AS62" s="1801">
        <v>18</v>
      </c>
    </row>
    <row customHeight="1" ht="18.75">
      <c r="O63" s="1805"/>
      <c r="T63" s="2455"/>
      <c r="U63" s="2455"/>
      <c r="V63" s="2455"/>
      <c r="W63" s="2455"/>
      <c r="X63" s="2455"/>
      <c r="Y63" s="2455"/>
      <c r="Z63" s="2455"/>
      <c r="AA63" s="2455"/>
      <c r="AB63" s="2455"/>
      <c r="AC63" s="2455"/>
      <c r="AD63" s="2455"/>
      <c r="AE63" s="2455"/>
      <c r="AF63" s="2455"/>
      <c r="AG63" s="2455"/>
      <c r="AH63" s="2455"/>
      <c r="AI63" s="2455"/>
      <c r="AJ63" s="2455"/>
      <c r="AK63" s="2455"/>
      <c r="AL63" s="2455"/>
      <c r="AM63" s="2455"/>
      <c r="AS63" s="1801">
        <v>18</v>
      </c>
    </row>
    <row customHeight="1" ht="29.25">
      <c r="O64" s="1805"/>
      <c r="S64" s="1423"/>
      <c r="T64" s="2455"/>
      <c r="U64" s="2455"/>
      <c r="V64" s="2455"/>
      <c r="W64" s="2455"/>
      <c r="X64" s="2455"/>
      <c r="Y64" s="2455"/>
      <c r="Z64" s="2455"/>
      <c r="AA64" s="2455"/>
      <c r="AB64" s="2455"/>
      <c r="AC64" s="2455"/>
      <c r="AD64" s="2455"/>
      <c r="AE64" s="2455"/>
      <c r="AF64" s="2455"/>
      <c r="AG64" s="2455"/>
      <c r="AH64" s="2455"/>
      <c r="AI64" s="2455"/>
      <c r="AJ64" s="2455"/>
      <c r="AK64" s="2455"/>
      <c r="AL64" s="2455"/>
      <c r="AM64" s="2455"/>
      <c r="AS64" s="1801">
        <v>28</v>
      </c>
    </row>
    <row customHeight="1" ht="22.5" hidden="1">
      <c r="A65" s="1801" t="s">
        <v>85</v>
      </c>
      <c r="B65" s="1801">
        <v>0</v>
      </c>
      <c r="C65" s="1801">
        <v>0</v>
      </c>
      <c r="D65" s="1801">
        <v>0</v>
      </c>
      <c r="E65" s="1801">
        <v>0</v>
      </c>
      <c r="F65" s="1801">
        <v>0</v>
      </c>
      <c r="G65" s="1801">
        <v>0</v>
      </c>
      <c r="H65" s="1801">
        <v>0</v>
      </c>
      <c r="I65" s="1801">
        <v>0</v>
      </c>
      <c r="J65" s="1801">
        <v>0</v>
      </c>
      <c r="K65" s="1801">
        <v>0</v>
      </c>
      <c r="L65" s="2109">
        <v>0</v>
      </c>
      <c r="M65" s="2135">
        <v>0</v>
      </c>
      <c r="N65" s="2135">
        <v>0</v>
      </c>
      <c r="O65" s="2135">
        <v>0</v>
      </c>
      <c r="P65" s="2135">
        <v>3</v>
      </c>
      <c r="Q65" s="514">
        <v>3</v>
      </c>
      <c r="R65" s="514">
        <v>3</v>
      </c>
      <c r="S65" s="751">
        <v>12</v>
      </c>
      <c r="T65" s="1801">
        <v>31</v>
      </c>
      <c r="U65" s="1801">
        <v>0</v>
      </c>
      <c r="V65" s="1801">
        <v>0</v>
      </c>
      <c r="W65" s="1801">
        <v>0</v>
      </c>
      <c r="X65" s="1801">
        <v>0</v>
      </c>
      <c r="Y65" s="1801">
        <v>0</v>
      </c>
      <c r="Z65" s="1801">
        <v>0</v>
      </c>
      <c r="AA65" s="1801">
        <v>0</v>
      </c>
      <c r="AB65" s="1801">
        <v>0</v>
      </c>
      <c r="AC65" s="1801">
        <v>0</v>
      </c>
      <c r="AD65" s="1801">
        <v>24</v>
      </c>
      <c r="AE65" s="1801">
        <v>0</v>
      </c>
      <c r="AF65" s="1801">
        <v>24</v>
      </c>
      <c r="AG65" s="1801">
        <v>24</v>
      </c>
      <c r="AH65" s="1801">
        <v>11</v>
      </c>
      <c r="AI65" s="1801">
        <v>3</v>
      </c>
      <c r="AJ65" s="1801">
        <v>11</v>
      </c>
      <c r="AK65" s="1801">
        <v>0</v>
      </c>
      <c r="AL65" s="1801">
        <v>4</v>
      </c>
      <c r="AM65" s="1801">
        <v>115</v>
      </c>
      <c r="AN65" s="1806">
        <v>10</v>
      </c>
      <c r="AO65" s="1806">
        <v>10</v>
      </c>
      <c r="AP65" s="1806">
        <v>10</v>
      </c>
      <c r="AQ65" s="1806">
        <v>10</v>
      </c>
      <c r="AR65" s="1806">
        <v>10</v>
      </c>
      <c r="AS65" s="180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31EF21-602C-A3F1-BAB5-B96DB0BD2FBC}"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1913" width="10.57421875" hidden="1"/>
    <col min="2" max="2" style="11913" width="11.00390625" hidden="1" customWidth="1"/>
    <col min="3" max="3" style="11913" width="10.57421875" hidden="1"/>
    <col min="4" max="4" style="11913" width="11.8515625" hidden="1" customWidth="1"/>
    <col min="5" max="5" style="11913" width="10.00390625" hidden="1" customWidth="1"/>
    <col min="6" max="6" style="11913" width="8.7109375" hidden="1" customWidth="1"/>
    <col min="7" max="7" style="11913" width="7.57421875" hidden="1" customWidth="1"/>
    <col min="8" max="8" style="11913" width="11.421875" hidden="1" customWidth="1"/>
    <col min="9" max="9" style="11913" width="12.00390625" hidden="1" customWidth="1"/>
    <col min="10" max="10" style="11913" width="9.8515625" hidden="1" customWidth="1"/>
    <col min="11" max="11" style="11913" width="11.421875" hidden="1" customWidth="1"/>
    <col min="12" max="12" style="11990" width="19.140625" hidden="1" customWidth="1"/>
    <col min="13" max="14" style="13390" width="12.28125" hidden="1" customWidth="1"/>
    <col min="15" max="15" style="13390" width="23.421875" hidden="1" customWidth="1"/>
    <col min="16" max="16" style="13390" width="3.00390625" customWidth="1"/>
    <col min="17" max="18" style="13391" width="3.00390625" customWidth="1"/>
    <col min="19" max="19" style="13392" width="12.00390625" customWidth="1"/>
    <col min="20" max="20" style="11913" width="31.00390625" customWidth="1"/>
    <col min="21" max="21" style="11913" width="0.140625" customWidth="1"/>
    <col min="22" max="22" style="11913" width="24.7109375" hidden="1" customWidth="1"/>
    <col min="23" max="23" style="11913" width="0.140625" hidden="1" customWidth="1"/>
    <col min="24" max="25" style="11913" width="24.7109375" hidden="1" customWidth="1"/>
    <col min="26" max="26" style="11913" width="11.7109375" hidden="1" customWidth="1"/>
    <col min="27" max="27" style="11913" width="3.7109375" hidden="1" customWidth="1"/>
    <col min="28" max="28" style="11913" width="11.7109375" hidden="1" customWidth="1"/>
    <col min="29" max="29" style="11913" width="8.57421875" hidden="1" customWidth="1"/>
    <col min="30" max="30" style="11913" width="24.7109375" customWidth="1"/>
    <col min="31" max="31" style="11913" width="0.140625" customWidth="1"/>
    <col min="32" max="33" style="11913" width="24.00390625" customWidth="1"/>
    <col min="34" max="34" style="11913" width="11.00390625" customWidth="1"/>
    <col min="35" max="35" style="11913" width="3.7109375" customWidth="1"/>
    <col min="36" max="36" style="11913" width="11.00390625" customWidth="1"/>
    <col min="37" max="37" style="11913" width="8.57421875" hidden="1" customWidth="1"/>
    <col min="38" max="38" style="11913" width="4.00390625" customWidth="1"/>
    <col min="39" max="39" style="11913" width="115.00390625" customWidth="1"/>
    <col min="40" max="44" style="11993" width="10.00390625" customWidth="1"/>
    <col min="45" max="45" style="11913" width="10.57421875" hidden="1"/>
  </cols>
  <sheetData>
    <row customHeight="1" ht="22.5" hidden="1">
      <c r="AS1" s="1801" t="s">
        <v>14</v>
      </c>
    </row>
    <row customHeight="1" ht="21" hidden="1">
      <c r="A2" s="1437"/>
      <c r="B2" s="1437"/>
      <c r="C2" s="1437"/>
      <c r="D2" s="1437"/>
      <c r="E2" s="2459">
        <v>1</v>
      </c>
      <c r="F2" s="1437"/>
      <c r="G2" s="1437"/>
      <c r="H2" s="1437"/>
      <c r="I2" s="1437"/>
      <c r="J2" s="1437"/>
      <c r="K2" s="1437"/>
      <c r="L2" s="1480"/>
      <c r="M2" s="1780"/>
      <c r="N2" s="1780"/>
      <c r="O2" s="1780"/>
      <c r="P2" s="1760"/>
      <c r="Q2" s="530"/>
      <c r="R2" s="525"/>
      <c r="S2" s="2128">
        <f>INDEX(PT_DIFFERENTIATION_NUM_NTAR,MATCH(A2,PT_DIFFERENTIATION_NTAR_ID,0))</f>
      </c>
      <c r="T2" s="1695" t="s">
        <v>126</v>
      </c>
      <c r="U2" s="470"/>
      <c r="V2" s="2412"/>
      <c r="W2" s="2413"/>
      <c r="X2" s="2413"/>
      <c r="Y2" s="2413"/>
      <c r="Z2" s="2413"/>
      <c r="AA2" s="2413"/>
      <c r="AB2" s="2413"/>
      <c r="AC2" s="2414"/>
      <c r="AD2" s="2412">
        <f>INDEX(PT_DIFFERENTIATION_NTAR,MATCH(A2,PT_DIFFERENTIATION_NTAR_ID,0))</f>
      </c>
      <c r="AE2" s="2413"/>
      <c r="AF2" s="2413"/>
      <c r="AG2" s="2413"/>
      <c r="AH2" s="2413"/>
      <c r="AI2" s="2413"/>
      <c r="AJ2" s="2413"/>
      <c r="AK2" s="2413"/>
      <c r="AL2" s="2414"/>
      <c r="AM2" s="1428" t="s">
        <v>408</v>
      </c>
      <c r="AO2" s="1794"/>
      <c r="AP2" s="1794" t="str">
        <f>IF(T2="","",T2)</f>
        <v>Наименование тарифа</v>
      </c>
      <c r="AQ2" s="1794"/>
      <c r="AR2" s="1794"/>
      <c r="AS2" s="1801">
        <v>0</v>
      </c>
    </row>
    <row customHeight="1" ht="21" hidden="1">
      <c r="A3" s="1437"/>
      <c r="B3" s="1437"/>
      <c r="C3" s="1437"/>
      <c r="D3" s="1437"/>
      <c r="E3" s="2460"/>
      <c r="F3" s="2459">
        <v>1</v>
      </c>
      <c r="G3" s="1437"/>
      <c r="H3" s="1437"/>
      <c r="I3" s="1437"/>
      <c r="J3" s="1437"/>
      <c r="K3" s="1437"/>
      <c r="L3" s="1480"/>
      <c r="M3" s="1780"/>
      <c r="N3" s="1780"/>
      <c r="O3" s="1780"/>
      <c r="P3" s="2110"/>
      <c r="Q3" s="522"/>
      <c r="R3" s="523"/>
      <c r="S3" s="2128">
        <f>INDEX(PT_DIFFERENTIATION_NUM_TER,MATCH(B3,PT_DIFFERENTIATION_TER_ID,0))</f>
      </c>
      <c r="T3" s="1692" t="s">
        <v>409</v>
      </c>
      <c r="U3" s="470"/>
      <c r="V3" s="2412"/>
      <c r="W3" s="2413"/>
      <c r="X3" s="2413"/>
      <c r="Y3" s="2413"/>
      <c r="Z3" s="2413"/>
      <c r="AA3" s="2413"/>
      <c r="AB3" s="2413"/>
      <c r="AC3" s="2414"/>
      <c r="AD3" s="2412">
        <f>INDEX(PT_DIFFERENTIATION_TER,MATCH(B3,PT_DIFFERENTIATION_TER_ID,0))</f>
      </c>
      <c r="AE3" s="2413"/>
      <c r="AF3" s="2413"/>
      <c r="AG3" s="2413"/>
      <c r="AH3" s="2413"/>
      <c r="AI3" s="2413"/>
      <c r="AJ3" s="2413"/>
      <c r="AK3" s="2413"/>
      <c r="AL3" s="2414"/>
      <c r="AM3" s="1428" t="s">
        <v>410</v>
      </c>
      <c r="AO3" s="1794"/>
      <c r="AP3" s="1794" t="str">
        <f>IF(T3="","",T3)</f>
        <v>Территория действия тарифа</v>
      </c>
      <c r="AQ3" s="1794"/>
      <c r="AR3" s="1794"/>
      <c r="AS3" s="1801">
        <v>0</v>
      </c>
    </row>
    <row customHeight="1" ht="23.25" hidden="1">
      <c r="A4" s="1437"/>
      <c r="B4" s="1437"/>
      <c r="C4" s="1437"/>
      <c r="D4" s="1437"/>
      <c r="E4" s="2460"/>
      <c r="F4" s="2460"/>
      <c r="G4" s="2459">
        <v>1</v>
      </c>
      <c r="H4" s="1437"/>
      <c r="I4" s="1437"/>
      <c r="J4" s="1437"/>
      <c r="K4" s="1437"/>
      <c r="L4" s="1480"/>
      <c r="M4" s="1780"/>
      <c r="N4" s="1780"/>
      <c r="O4" s="1780"/>
      <c r="P4" s="524"/>
      <c r="Q4" s="522"/>
      <c r="R4" s="523"/>
      <c r="S4" s="2128">
        <f>INDEX(PT_DIFFERENTIATION_NUM_CS,MATCH(C4,PT_DIFFERENTIATION_CS_ID,0))</f>
      </c>
      <c r="T4" s="479" t="s">
        <v>411</v>
      </c>
      <c r="U4" s="470"/>
      <c r="V4" s="2412"/>
      <c r="W4" s="2413"/>
      <c r="X4" s="2413"/>
      <c r="Y4" s="2413"/>
      <c r="Z4" s="2413"/>
      <c r="AA4" s="2413"/>
      <c r="AB4" s="2413"/>
      <c r="AC4" s="2414"/>
      <c r="AD4" s="2412">
        <f>INDEX(PT_DIFFERENTIATION_CS,MATCH(C4,PT_DIFFERENTIATION_CS_ID,0))</f>
      </c>
      <c r="AE4" s="2413"/>
      <c r="AF4" s="2413"/>
      <c r="AG4" s="2413"/>
      <c r="AH4" s="2413"/>
      <c r="AI4" s="2413"/>
      <c r="AJ4" s="2413"/>
      <c r="AK4" s="2413"/>
      <c r="AL4" s="2414"/>
      <c r="AM4" s="1428" t="s">
        <v>412</v>
      </c>
      <c r="AO4" s="1794"/>
      <c r="AP4" s="1794" t="str">
        <f>IF(T4="","",T4)</f>
        <v>Наименование системы теплоснабжения </v>
      </c>
      <c r="AQ4" s="1794"/>
      <c r="AR4" s="1794"/>
      <c r="AS4" s="1801">
        <v>0</v>
      </c>
    </row>
    <row customHeight="1" ht="21" hidden="1">
      <c r="A5" s="1437"/>
      <c r="B5" s="1437"/>
      <c r="C5" s="1437"/>
      <c r="D5" s="1437"/>
      <c r="E5" s="2460"/>
      <c r="F5" s="2460"/>
      <c r="G5" s="2460"/>
      <c r="H5" s="2459">
        <v>1</v>
      </c>
      <c r="I5" s="1437"/>
      <c r="J5" s="1437"/>
      <c r="K5" s="1437"/>
      <c r="L5" s="1480"/>
      <c r="M5" s="1780"/>
      <c r="N5" s="1780"/>
      <c r="O5" s="1780"/>
      <c r="P5" s="524"/>
      <c r="Q5" s="522"/>
      <c r="R5" s="523"/>
      <c r="S5" s="2128">
        <f>INDEX(PT_DIFFERENTIATION_NUM_IST_TE,MATCH(D5,PT_DIFFERENTIATION_IST_TE_ID,0))</f>
      </c>
      <c r="T5" s="480" t="s">
        <v>413</v>
      </c>
      <c r="U5" s="470"/>
      <c r="V5" s="2412"/>
      <c r="W5" s="2413"/>
      <c r="X5" s="2413"/>
      <c r="Y5" s="2413"/>
      <c r="Z5" s="2413"/>
      <c r="AA5" s="2413"/>
      <c r="AB5" s="2413"/>
      <c r="AC5" s="2414"/>
      <c r="AD5" s="2412">
        <f>INDEX(PT_DIFFERENTIATION_IST_TE,MATCH(D5,PT_DIFFERENTIATION_IST_TE_ID,0))</f>
      </c>
      <c r="AE5" s="2413"/>
      <c r="AF5" s="2413"/>
      <c r="AG5" s="2413"/>
      <c r="AH5" s="2413"/>
      <c r="AI5" s="2413"/>
      <c r="AJ5" s="2413"/>
      <c r="AK5" s="2413"/>
      <c r="AL5" s="2414"/>
      <c r="AM5" s="1428" t="s">
        <v>414</v>
      </c>
      <c r="AO5" s="1794"/>
      <c r="AP5" s="1794" t="str">
        <f>IF(T5="","",T5)</f>
        <v>Источник тепловой энергии  </v>
      </c>
      <c r="AQ5" s="1794"/>
      <c r="AR5" s="1794"/>
      <c r="AS5" s="1801">
        <v>0</v>
      </c>
    </row>
    <row customHeight="1" ht="47.25" hidden="1">
      <c r="A6" s="1437"/>
      <c r="B6" s="1437"/>
      <c r="C6" s="1437"/>
      <c r="D6" s="1437"/>
      <c r="E6" s="2460"/>
      <c r="F6" s="2460"/>
      <c r="G6" s="2460"/>
      <c r="H6" s="2460"/>
      <c r="I6" s="2297">
        <f>S5&amp;".1"</f>
      </c>
      <c r="J6" s="1437"/>
      <c r="K6" s="1437"/>
      <c r="L6" s="1480" t="s">
        <v>415</v>
      </c>
      <c r="M6" s="1805"/>
      <c r="P6" s="2427">
        <v>1</v>
      </c>
      <c r="Q6" s="2124"/>
      <c r="R6" s="526"/>
      <c r="S6" s="2128">
        <f>$I6</f>
      </c>
      <c r="T6" s="455" t="s">
        <v>416</v>
      </c>
      <c r="U6" s="470"/>
      <c r="V6" s="2415"/>
      <c r="W6" s="2416"/>
      <c r="X6" s="2416"/>
      <c r="Y6" s="2416"/>
      <c r="Z6" s="2416"/>
      <c r="AA6" s="2416"/>
      <c r="AB6" s="2416"/>
      <c r="AC6" s="2417"/>
      <c r="AD6" s="2415"/>
      <c r="AE6" s="2416"/>
      <c r="AF6" s="2416"/>
      <c r="AG6" s="2416"/>
      <c r="AH6" s="2416"/>
      <c r="AI6" s="2416"/>
      <c r="AJ6" s="2416"/>
      <c r="AK6" s="2416"/>
      <c r="AL6" s="2417"/>
      <c r="AM6" s="1428" t="s">
        <v>417</v>
      </c>
      <c r="AO6" s="1794"/>
      <c r="AP6" s="1794" t="str">
        <f>IF(T6="","",T6)</f>
        <v>Схема подключения теплопотребляющей установки к коллектору источника тепловой энергии</v>
      </c>
      <c r="AQ6" s="1794"/>
      <c r="AR6" s="1794"/>
      <c r="AS6" s="1801">
        <v>0</v>
      </c>
    </row>
    <row customHeight="1" ht="21" hidden="1">
      <c r="A7" s="1437"/>
      <c r="B7" s="1437"/>
      <c r="C7" s="1437"/>
      <c r="D7" s="1437"/>
      <c r="E7" s="2460"/>
      <c r="F7" s="2460"/>
      <c r="G7" s="2460"/>
      <c r="H7" s="2460"/>
      <c r="I7" s="2271"/>
      <c r="J7" s="2297">
        <f>I6&amp;".1"</f>
      </c>
      <c r="K7" s="1437"/>
      <c r="L7" s="1480" t="s">
        <v>418</v>
      </c>
      <c r="M7" s="1805"/>
      <c r="N7" s="1801"/>
      <c r="P7" s="2427"/>
      <c r="Q7" s="2427">
        <v>1</v>
      </c>
      <c r="R7" s="527"/>
      <c r="S7" s="2128">
        <f>$J7</f>
      </c>
      <c r="T7" s="456" t="s">
        <v>419</v>
      </c>
      <c r="U7" s="470"/>
      <c r="V7" s="2415"/>
      <c r="W7" s="2416"/>
      <c r="X7" s="2416"/>
      <c r="Y7" s="2416"/>
      <c r="Z7" s="2416"/>
      <c r="AA7" s="2416"/>
      <c r="AB7" s="2416"/>
      <c r="AC7" s="2417"/>
      <c r="AD7" s="2415"/>
      <c r="AE7" s="2416"/>
      <c r="AF7" s="2416"/>
      <c r="AG7" s="2416"/>
      <c r="AH7" s="2416"/>
      <c r="AI7" s="2416"/>
      <c r="AJ7" s="2416"/>
      <c r="AK7" s="2416"/>
      <c r="AL7" s="2417"/>
      <c r="AM7" s="1428" t="s">
        <v>420</v>
      </c>
      <c r="AO7" s="1794"/>
      <c r="AP7" s="1794" t="str">
        <f>IF(T7="","",T7)</f>
        <v>Группа потребителей</v>
      </c>
      <c r="AQ7" s="1794"/>
      <c r="AR7" s="1794"/>
      <c r="AS7" s="1801">
        <v>0</v>
      </c>
    </row>
    <row customHeight="1" ht="21" hidden="1">
      <c r="A8" s="1437"/>
      <c r="B8" s="1437"/>
      <c r="C8" s="1437"/>
      <c r="D8" s="1437"/>
      <c r="E8" s="2460"/>
      <c r="F8" s="2460"/>
      <c r="G8" s="2460"/>
      <c r="H8" s="2460"/>
      <c r="I8" s="2271"/>
      <c r="J8" s="2271"/>
      <c r="K8" s="2297">
        <f>J7&amp;".1"</f>
      </c>
      <c r="L8" s="1480" t="s">
        <v>421</v>
      </c>
      <c r="M8" s="1805"/>
      <c r="N8" s="1801"/>
      <c r="O8" s="1801"/>
      <c r="P8" s="2427"/>
      <c r="Q8" s="2427"/>
      <c r="R8" s="527">
        <v>1</v>
      </c>
      <c r="S8" s="2128">
        <f>$K8</f>
      </c>
      <c r="T8" s="1517"/>
      <c r="U8" s="470"/>
      <c r="V8" s="921"/>
      <c r="W8" s="495"/>
      <c r="X8" s="921"/>
      <c r="Y8" s="1427"/>
      <c r="Z8" s="2435"/>
      <c r="AA8" s="2277" t="s">
        <v>64</v>
      </c>
      <c r="AB8" s="2435"/>
      <c r="AC8" s="2277" t="s">
        <v>64</v>
      </c>
      <c r="AD8" s="921"/>
      <c r="AE8" s="495"/>
      <c r="AF8" s="921"/>
      <c r="AG8" s="1427"/>
      <c r="AH8" s="2435"/>
      <c r="AI8" s="2277" t="s">
        <v>64</v>
      </c>
      <c r="AJ8" s="2435"/>
      <c r="AK8" s="2277" t="s">
        <v>64</v>
      </c>
      <c r="AL8" s="495"/>
      <c r="AM8" s="2423" t="s">
        <v>422</v>
      </c>
      <c r="AN8" s="1806">
        <f>STRCHECKDATE(V9:AL9)</f>
      </c>
      <c r="AO8" s="1794"/>
      <c r="AP8" s="1794" t="str">
        <f>IF(T8="","",T8)</f>
        <v/>
      </c>
      <c r="AQ8" s="1794"/>
      <c r="AR8" s="1794"/>
      <c r="AS8" s="1801">
        <v>0</v>
      </c>
    </row>
    <row customHeight="1" ht="0.75" hidden="1">
      <c r="A9" s="1437"/>
      <c r="B9" s="1437"/>
      <c r="C9" s="1437"/>
      <c r="D9" s="1437"/>
      <c r="E9" s="2460"/>
      <c r="F9" s="2460"/>
      <c r="G9" s="2460"/>
      <c r="H9" s="2460"/>
      <c r="I9" s="2271"/>
      <c r="J9" s="2271"/>
      <c r="K9" s="2297"/>
      <c r="L9" s="1480"/>
      <c r="M9" s="1805"/>
      <c r="N9" s="1801"/>
      <c r="O9" s="1801"/>
      <c r="P9" s="2427"/>
      <c r="Q9" s="2427"/>
      <c r="R9" s="527"/>
      <c r="S9" s="2137"/>
      <c r="T9" s="470"/>
      <c r="U9" s="470"/>
      <c r="V9" s="495"/>
      <c r="W9" s="495"/>
      <c r="X9" s="495"/>
      <c r="Y9" s="498" t="str">
        <f>Z8&amp;"-"&amp;AB8</f>
        <v>-</v>
      </c>
      <c r="Z9" s="2436"/>
      <c r="AA9" s="2277"/>
      <c r="AB9" s="2436"/>
      <c r="AC9" s="2277"/>
      <c r="AD9" s="495"/>
      <c r="AE9" s="495"/>
      <c r="AF9" s="495"/>
      <c r="AG9" s="498" t="str">
        <f>AH8&amp;"-"&amp;AJ8</f>
        <v>-</v>
      </c>
      <c r="AH9" s="2436"/>
      <c r="AI9" s="2277"/>
      <c r="AJ9" s="2436"/>
      <c r="AK9" s="2277"/>
      <c r="AL9" s="495"/>
      <c r="AM9" s="2424"/>
      <c r="AO9" s="1794"/>
      <c r="AP9" s="1794" t="str">
        <f>IF(T9="","",T9)</f>
        <v/>
      </c>
      <c r="AQ9" s="1794"/>
      <c r="AR9" s="1794"/>
      <c r="AS9" s="1801">
        <v>0</v>
      </c>
    </row>
    <row customHeight="1" ht="15" hidden="1">
      <c r="A10" s="1437"/>
      <c r="B10" s="1437"/>
      <c r="C10" s="1437"/>
      <c r="D10" s="1437"/>
      <c r="E10" s="2460"/>
      <c r="F10" s="2460"/>
      <c r="G10" s="2460"/>
      <c r="H10" s="2460"/>
      <c r="I10" s="2271"/>
      <c r="J10" s="2297"/>
      <c r="K10" s="1437"/>
      <c r="L10" s="1480"/>
      <c r="M10" s="1805"/>
      <c r="N10" s="1801"/>
      <c r="P10" s="2427"/>
      <c r="Q10" s="2427"/>
      <c r="R10" s="526"/>
      <c r="S10" s="1448"/>
      <c r="T10" s="458" t="s">
        <v>423</v>
      </c>
      <c r="U10" s="770"/>
      <c r="V10" s="770"/>
      <c r="W10" s="770"/>
      <c r="X10" s="770"/>
      <c r="Y10" s="770"/>
      <c r="Z10" s="770"/>
      <c r="AA10" s="770"/>
      <c r="AB10" s="770"/>
      <c r="AC10" s="770"/>
      <c r="AD10" s="770"/>
      <c r="AE10" s="770"/>
      <c r="AF10" s="770"/>
      <c r="AG10" s="770"/>
      <c r="AH10" s="770"/>
      <c r="AI10" s="770"/>
      <c r="AJ10" s="770"/>
      <c r="AK10" s="770"/>
      <c r="AL10" s="494"/>
      <c r="AM10" s="2425"/>
      <c r="AO10" s="1794"/>
      <c r="AP10" s="1794" t="str">
        <f>IF(T10="","",T10)</f>
        <v>Добавить вид теплоносителя (параметры теплоносителя)</v>
      </c>
      <c r="AQ10" s="1794"/>
      <c r="AR10" s="1794"/>
      <c r="AS10" s="1801">
        <v>0</v>
      </c>
    </row>
    <row customHeight="1" ht="15" hidden="1">
      <c r="A11" s="1437"/>
      <c r="B11" s="1437"/>
      <c r="C11" s="1437"/>
      <c r="D11" s="1437"/>
      <c r="E11" s="2460"/>
      <c r="F11" s="2460"/>
      <c r="G11" s="2460"/>
      <c r="H11" s="2460"/>
      <c r="I11" s="2297"/>
      <c r="J11" s="1437"/>
      <c r="K11" s="1437"/>
      <c r="L11" s="1480"/>
      <c r="M11" s="1805"/>
      <c r="P11" s="2427"/>
      <c r="Q11" s="2124"/>
      <c r="R11" s="526"/>
      <c r="S11" s="1448"/>
      <c r="T11" s="457" t="s">
        <v>424</v>
      </c>
      <c r="U11" s="770"/>
      <c r="V11" s="770"/>
      <c r="W11" s="770"/>
      <c r="X11" s="770"/>
      <c r="Y11" s="770"/>
      <c r="Z11" s="770"/>
      <c r="AA11" s="770"/>
      <c r="AB11" s="770"/>
      <c r="AC11" s="536"/>
      <c r="AD11" s="770"/>
      <c r="AE11" s="770"/>
      <c r="AF11" s="770"/>
      <c r="AG11" s="770"/>
      <c r="AH11" s="770"/>
      <c r="AI11" s="770"/>
      <c r="AJ11" s="770"/>
      <c r="AK11" s="536"/>
      <c r="AL11" s="770"/>
      <c r="AM11" s="473"/>
      <c r="AO11" s="1794"/>
      <c r="AP11" s="1794" t="str">
        <f>IF(T11="","",T11)</f>
        <v>Добавить группу потребителей</v>
      </c>
      <c r="AQ11" s="1794"/>
      <c r="AR11" s="1794"/>
      <c r="AS11" s="1801">
        <v>0</v>
      </c>
    </row>
    <row customHeight="1" ht="14.25" hidden="1">
      <c r="A12" s="1437"/>
      <c r="B12" s="1437"/>
      <c r="C12" s="1437"/>
      <c r="D12" s="1437"/>
      <c r="E12" s="2460"/>
      <c r="F12" s="2460"/>
      <c r="G12" s="2460"/>
      <c r="H12" s="2459"/>
      <c r="I12" s="1437"/>
      <c r="J12" s="1437"/>
      <c r="K12" s="1437"/>
      <c r="L12" s="1480"/>
      <c r="M12" s="1780"/>
      <c r="N12" s="1780"/>
      <c r="O12" s="1805"/>
      <c r="P12" s="530"/>
      <c r="Q12" s="545"/>
      <c r="R12" s="525"/>
      <c r="S12" s="1448"/>
      <c r="T12" s="535" t="s">
        <v>425</v>
      </c>
      <c r="U12" s="770"/>
      <c r="V12" s="770"/>
      <c r="W12" s="770"/>
      <c r="X12" s="770"/>
      <c r="Y12" s="770"/>
      <c r="Z12" s="770"/>
      <c r="AA12" s="770"/>
      <c r="AB12" s="770"/>
      <c r="AC12" s="536"/>
      <c r="AD12" s="770"/>
      <c r="AE12" s="770"/>
      <c r="AF12" s="770"/>
      <c r="AG12" s="770"/>
      <c r="AH12" s="770"/>
      <c r="AI12" s="770"/>
      <c r="AJ12" s="770"/>
      <c r="AK12" s="536"/>
      <c r="AL12" s="770"/>
      <c r="AM12" s="473"/>
      <c r="AO12" s="1794"/>
      <c r="AP12" s="1794" t="str">
        <f>IF(T12="","",T12)</f>
        <v>Добавить схему подключения</v>
      </c>
      <c r="AQ12" s="1794"/>
      <c r="AR12" s="1794"/>
      <c r="AS12" s="1801">
        <v>0</v>
      </c>
    </row>
    <row s="11993" customFormat="1" customHeight="1" ht="0.75" hidden="1">
      <c r="A13" s="2144"/>
      <c r="B13" s="2144"/>
      <c r="C13" s="2144"/>
      <c r="D13" s="2144"/>
      <c r="E13" s="2460"/>
      <c r="F13" s="2460"/>
      <c r="G13" s="2459"/>
      <c r="H13" s="2144"/>
      <c r="I13" s="2144"/>
      <c r="J13" s="2144"/>
      <c r="K13" s="2144"/>
      <c r="L13" s="1550"/>
      <c r="M13" s="1780"/>
      <c r="N13" s="1780"/>
      <c r="O13" s="1805"/>
      <c r="P13" s="1486"/>
      <c r="Q13" s="1487"/>
      <c r="R13" s="1486"/>
      <c r="S13" s="1488"/>
      <c r="T13" s="1489" t="s">
        <v>165</v>
      </c>
      <c r="U13" s="1490"/>
      <c r="V13" s="1490"/>
      <c r="W13" s="1490"/>
      <c r="X13" s="1490"/>
      <c r="Y13" s="1490"/>
      <c r="Z13" s="1490"/>
      <c r="AA13" s="1490"/>
      <c r="AB13" s="1490"/>
      <c r="AC13" s="1490"/>
      <c r="AD13" s="1490"/>
      <c r="AE13" s="1490"/>
      <c r="AF13" s="1490"/>
      <c r="AG13" s="1490"/>
      <c r="AH13" s="1490"/>
      <c r="AI13" s="1490"/>
      <c r="AJ13" s="1490"/>
      <c r="AK13" s="1490"/>
      <c r="AL13" s="1490"/>
      <c r="AM13" s="1490"/>
      <c r="AO13" s="1421"/>
      <c r="AP13" s="1421" t="str">
        <f>IF(T13="","",T13)</f>
        <v>Добавить источник для дифференциации</v>
      </c>
      <c r="AQ13" s="1421"/>
      <c r="AR13" s="1421"/>
      <c r="AS13" s="1812">
        <v>0</v>
      </c>
    </row>
    <row s="11993" customFormat="1" customHeight="1" ht="0.75" hidden="1">
      <c r="A14" s="2144"/>
      <c r="B14" s="2144"/>
      <c r="C14" s="2144"/>
      <c r="D14" s="2144"/>
      <c r="E14" s="2460"/>
      <c r="F14" s="2459"/>
      <c r="G14" s="2144"/>
      <c r="H14" s="2144"/>
      <c r="I14" s="2144"/>
      <c r="J14" s="2144"/>
      <c r="K14" s="2144"/>
      <c r="L14" s="1550"/>
      <c r="M14" s="2145"/>
      <c r="N14" s="2145"/>
      <c r="O14" s="1805"/>
      <c r="P14" s="1486"/>
      <c r="Q14" s="1487"/>
      <c r="R14" s="1486"/>
      <c r="S14" s="1492"/>
      <c r="T14" s="1493" t="s">
        <v>166</v>
      </c>
      <c r="U14" s="1494"/>
      <c r="V14" s="1494"/>
      <c r="W14" s="1494"/>
      <c r="X14" s="1494"/>
      <c r="Y14" s="1494"/>
      <c r="Z14" s="1494"/>
      <c r="AA14" s="1494"/>
      <c r="AB14" s="1494"/>
      <c r="AC14" s="1494"/>
      <c r="AD14" s="1494"/>
      <c r="AE14" s="1494"/>
      <c r="AF14" s="1494"/>
      <c r="AG14" s="1494"/>
      <c r="AH14" s="1494"/>
      <c r="AI14" s="1494"/>
      <c r="AJ14" s="1494"/>
      <c r="AK14" s="1494"/>
      <c r="AL14" s="1494"/>
      <c r="AM14" s="1494"/>
      <c r="AO14" s="1421"/>
      <c r="AP14" s="1421" t="str">
        <f>IF(T14="","",T14)</f>
        <v>Добавить централизованную систему для дифференциации</v>
      </c>
      <c r="AQ14" s="1421"/>
      <c r="AR14" s="1421"/>
      <c r="AS14" s="1812">
        <v>0</v>
      </c>
    </row>
    <row s="11993" customFormat="1" customHeight="1" ht="0.75" hidden="1">
      <c r="A15" s="2144"/>
      <c r="B15" s="2144"/>
      <c r="C15" s="2144"/>
      <c r="D15" s="2144"/>
      <c r="E15" s="2459"/>
      <c r="F15" s="2144"/>
      <c r="G15" s="2144"/>
      <c r="H15" s="2144"/>
      <c r="I15" s="2144"/>
      <c r="J15" s="2144"/>
      <c r="K15" s="2144"/>
      <c r="L15" s="1550"/>
      <c r="M15" s="2145"/>
      <c r="N15" s="2145"/>
      <c r="O15" s="1805"/>
      <c r="P15" s="1486"/>
      <c r="Q15" s="1487"/>
      <c r="R15" s="1486"/>
      <c r="S15" s="1492"/>
      <c r="T15" s="1495" t="s">
        <v>167</v>
      </c>
      <c r="U15" s="1494"/>
      <c r="V15" s="1494"/>
      <c r="W15" s="1494"/>
      <c r="X15" s="1494"/>
      <c r="Y15" s="1494"/>
      <c r="Z15" s="1494"/>
      <c r="AA15" s="1494"/>
      <c r="AB15" s="1494"/>
      <c r="AC15" s="1494"/>
      <c r="AD15" s="1494"/>
      <c r="AE15" s="1494"/>
      <c r="AF15" s="1494"/>
      <c r="AG15" s="1494"/>
      <c r="AH15" s="1494"/>
      <c r="AI15" s="1494"/>
      <c r="AJ15" s="1494"/>
      <c r="AK15" s="1494"/>
      <c r="AL15" s="1494"/>
      <c r="AM15" s="1494"/>
      <c r="AO15" s="1421"/>
      <c r="AP15" s="1421" t="str">
        <f>IF(T15="","",T15)</f>
        <v>Добавить территорию для дифференциации</v>
      </c>
      <c r="AQ15" s="1421"/>
      <c r="AR15" s="1421"/>
      <c r="AS15" s="1812">
        <v>0</v>
      </c>
    </row>
    <row customHeight="1" ht="14.25" hidden="1">
      <c r="AS16" s="1801">
        <v>0</v>
      </c>
    </row>
    <row customHeight="1" ht="14.25" hidden="1">
      <c r="AD17" s="1530"/>
      <c r="AE17" s="1530"/>
      <c r="AF17" s="1530"/>
      <c r="AG17" s="1531"/>
      <c r="AH17" s="2437"/>
      <c r="AI17" s="2438" t="s">
        <v>64</v>
      </c>
      <c r="AJ17" s="2437"/>
      <c r="AK17" s="2438" t="s">
        <v>64</v>
      </c>
      <c r="AS17" s="1801">
        <v>0</v>
      </c>
    </row>
    <row customHeight="1" ht="14.25" hidden="1">
      <c r="AD18" s="1530"/>
      <c r="AE18" s="1530"/>
      <c r="AF18" s="1530"/>
      <c r="AG18" s="498" t="str">
        <f>AH17&amp;"-"&amp;AJ17</f>
        <v>-</v>
      </c>
      <c r="AH18" s="2438"/>
      <c r="AI18" s="2438"/>
      <c r="AJ18" s="2438"/>
      <c r="AK18" s="2438"/>
      <c r="AS18" s="1801">
        <v>0</v>
      </c>
    </row>
    <row customHeight="1" ht="14.25" hidden="1">
      <c r="AS19" s="1801">
        <v>0</v>
      </c>
    </row>
    <row s="11992" customFormat="1" customHeight="1" ht="14.25" hidden="1">
      <c r="A20" s="1801"/>
      <c r="B20" s="1801"/>
      <c r="C20" s="1801"/>
      <c r="D20" s="1801"/>
      <c r="E20" s="1801"/>
      <c r="F20" s="1801"/>
      <c r="G20" s="1801"/>
      <c r="H20" s="1801"/>
      <c r="I20" s="1801"/>
      <c r="J20" s="1801"/>
      <c r="K20" s="1801"/>
      <c r="L20" s="2109"/>
      <c r="M20" s="2135"/>
      <c r="N20" s="2135"/>
      <c r="O20" s="1515" t="s">
        <v>426</v>
      </c>
      <c r="P20" s="1532"/>
      <c r="Q20" s="1541"/>
      <c r="R20" s="1541"/>
      <c r="S20" s="899"/>
      <c r="Z20" s="1537"/>
      <c r="AB20" s="1537"/>
      <c r="AH20" s="1537"/>
      <c r="AJ20" s="1537"/>
      <c r="AN20" s="1806"/>
      <c r="AO20" s="1806"/>
      <c r="AP20" s="1806"/>
      <c r="AQ20" s="1806"/>
      <c r="AR20" s="1806"/>
      <c r="AS20" s="1536">
        <v>0</v>
      </c>
    </row>
    <row s="11992" customFormat="1" customHeight="1" ht="14.25" hidden="1">
      <c r="A21" s="1801"/>
      <c r="B21" s="1801"/>
      <c r="C21" s="1801"/>
      <c r="D21" s="1801"/>
      <c r="E21" s="1801"/>
      <c r="F21" s="1801"/>
      <c r="G21" s="1801"/>
      <c r="H21" s="1801"/>
      <c r="I21" s="1801"/>
      <c r="J21" s="1801"/>
      <c r="K21" s="1801"/>
      <c r="L21" s="2109"/>
      <c r="M21" s="2135"/>
      <c r="N21" s="2135"/>
      <c r="O21" s="2135"/>
      <c r="P21" s="1532"/>
      <c r="Q21" s="1541"/>
      <c r="R21" s="1541"/>
      <c r="S21" s="899"/>
      <c r="AN21" s="1806"/>
      <c r="AO21" s="1806"/>
      <c r="AP21" s="1806"/>
      <c r="AQ21" s="1806"/>
      <c r="AR21" s="1806"/>
      <c r="AS21" s="1536">
        <v>0</v>
      </c>
    </row>
    <row s="11992" customFormat="1" customHeight="1" ht="14.25" hidden="1">
      <c r="A22" s="1801"/>
      <c r="B22" s="1801"/>
      <c r="C22" s="1801"/>
      <c r="D22" s="1801"/>
      <c r="E22" s="1801"/>
      <c r="F22" s="1801"/>
      <c r="G22" s="1801"/>
      <c r="H22" s="1801"/>
      <c r="I22" s="1801"/>
      <c r="J22" s="1801"/>
      <c r="K22" s="1801"/>
      <c r="L22" s="2109"/>
      <c r="M22" s="2135"/>
      <c r="N22" s="2135"/>
      <c r="O22" s="1480" t="s">
        <v>427</v>
      </c>
      <c r="P22" s="1532"/>
      <c r="Q22" s="1541"/>
      <c r="R22" s="1541"/>
      <c r="S22" s="899"/>
      <c r="T22" s="1536" t="s">
        <v>428</v>
      </c>
      <c r="AA22" s="765" t="s">
        <v>429</v>
      </c>
      <c r="AC22" s="765" t="s">
        <v>430</v>
      </c>
      <c r="AD22" s="1536" t="s">
        <v>428</v>
      </c>
      <c r="AI22" s="765" t="s">
        <v>431</v>
      </c>
      <c r="AK22" s="765" t="s">
        <v>430</v>
      </c>
      <c r="AN22" s="1806"/>
      <c r="AO22" s="1806"/>
      <c r="AP22" s="1806"/>
      <c r="AQ22" s="1806"/>
      <c r="AR22" s="1806"/>
      <c r="AS22" s="1536">
        <v>0</v>
      </c>
    </row>
    <row customHeight="1" ht="14.25" hidden="1">
      <c r="O23" s="1480"/>
      <c r="AS23" s="1801">
        <v>0</v>
      </c>
    </row>
    <row customHeight="1" ht="14.25" hidden="1">
      <c r="O24" s="1480"/>
      <c r="AS24" s="1801">
        <v>0</v>
      </c>
    </row>
    <row customHeight="1" ht="14.699999999999998">
      <c r="Q25" s="546"/>
      <c r="R25" s="546"/>
      <c r="S25" s="1445"/>
      <c r="T25" s="627"/>
      <c r="U25" s="627"/>
      <c r="V25" s="1805"/>
      <c r="W25" s="1805"/>
      <c r="X25" s="1805"/>
      <c r="Y25" s="1805"/>
      <c r="Z25" s="1805"/>
      <c r="AA25" s="1805"/>
      <c r="AB25" s="1805"/>
      <c r="AC25" s="1805"/>
      <c r="AD25" s="1805"/>
      <c r="AE25" s="1805"/>
      <c r="AF25" s="1805"/>
      <c r="AG25" s="1805"/>
      <c r="AH25" s="1805"/>
      <c r="AI25" s="1805"/>
      <c r="AJ25" s="1805"/>
      <c r="AK25" s="1805"/>
      <c r="AS25" s="1801">
        <v>14</v>
      </c>
    </row>
    <row customHeight="1" ht="14.699999999999998">
      <c r="Q26" s="546"/>
      <c r="R26" s="546"/>
      <c r="S26" s="241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418"/>
      <c r="U26" s="2418"/>
      <c r="V26" s="2418"/>
      <c r="W26" s="2418"/>
      <c r="X26" s="2418"/>
      <c r="Y26" s="2418"/>
      <c r="Z26" s="2418"/>
      <c r="AA26" s="2418"/>
      <c r="AB26" s="2418"/>
      <c r="AC26" s="2418"/>
      <c r="AD26" s="2418"/>
      <c r="AE26" s="2418"/>
      <c r="AF26" s="2418"/>
      <c r="AG26" s="2418"/>
      <c r="AH26" s="2418"/>
      <c r="AI26" s="2418"/>
      <c r="AJ26" s="2418"/>
      <c r="AK26" s="1413"/>
      <c r="AS26" s="1801">
        <v>14</v>
      </c>
    </row>
    <row customHeight="1" ht="14.699999999999998">
      <c r="Q27" s="546"/>
      <c r="R27" s="546"/>
      <c r="S27" s="2419" t="str">
        <f>IF(org=0,"Не определено",org)</f>
        <v>Филиал "Шатурская ГРЭС" ПАО "Юнипро"</v>
      </c>
      <c r="T27" s="2419"/>
      <c r="U27" s="2419"/>
      <c r="V27" s="2419"/>
      <c r="W27" s="2419"/>
      <c r="X27" s="2419"/>
      <c r="Y27" s="2419"/>
      <c r="Z27" s="2419"/>
      <c r="AA27" s="2419"/>
      <c r="AB27" s="2419"/>
      <c r="AC27" s="2419"/>
      <c r="AD27" s="2419"/>
      <c r="AE27" s="2419"/>
      <c r="AF27" s="2419"/>
      <c r="AG27" s="2419"/>
      <c r="AH27" s="2419"/>
      <c r="AI27" s="2419"/>
      <c r="AJ27" s="2419"/>
      <c r="AK27" s="1413"/>
      <c r="AS27" s="1801">
        <v>14</v>
      </c>
    </row>
    <row customHeight="1" ht="14.25" hidden="1">
      <c r="Q28" s="546"/>
      <c r="R28" s="546"/>
      <c r="S28" s="1445"/>
      <c r="T28" s="627"/>
      <c r="U28" s="627"/>
      <c r="V28" s="492"/>
      <c r="W28" s="492"/>
      <c r="X28" s="492"/>
      <c r="Y28" s="492"/>
      <c r="Z28" s="492"/>
      <c r="AA28" s="492"/>
      <c r="AB28" s="492"/>
      <c r="AC28" s="492"/>
      <c r="AD28" s="492"/>
      <c r="AE28" s="492"/>
      <c r="AF28" s="492"/>
      <c r="AG28" s="492"/>
      <c r="AH28" s="492"/>
      <c r="AI28" s="492"/>
      <c r="AJ28" s="492"/>
      <c r="AK28" s="492"/>
      <c r="AL28" s="1805"/>
      <c r="AS28" s="1801">
        <v>0</v>
      </c>
    </row>
    <row s="12119" customFormat="1" customHeight="1" ht="25.5" hidden="1">
      <c r="A29" s="1418"/>
      <c r="B29" s="1418"/>
      <c r="C29" s="1418"/>
      <c r="D29" s="1418"/>
      <c r="E29" s="1418"/>
      <c r="F29" s="1418"/>
      <c r="G29" s="1418"/>
      <c r="H29" s="1418"/>
      <c r="I29" s="1418"/>
      <c r="J29" s="1418"/>
      <c r="K29" s="1418"/>
      <c r="L29" s="1550"/>
      <c r="M29" s="1418"/>
      <c r="N29" s="1418"/>
      <c r="O29" s="1418"/>
      <c r="S29" s="2420" t="s">
        <v>42</v>
      </c>
      <c r="T29" s="2420"/>
      <c r="U29" s="1542"/>
      <c r="V29" s="2421" t="str">
        <f>IF(TITLE_NAME_OR_PR_CHANGE="",IF(TITLE_NAME_OR_PR="","",TITLE_NAME_OR_PR),TITLE_NAME_OR_PR_CHANGE)</f>
        <v>Комитет по ценам и тарифам Московской области</v>
      </c>
      <c r="W29" s="2421"/>
      <c r="X29" s="2421"/>
      <c r="Y29" s="2421"/>
      <c r="Z29" s="2421"/>
      <c r="AA29" s="2421"/>
      <c r="AB29" s="2421"/>
      <c r="AC29" s="1805"/>
      <c r="AD29" s="2421" t="str">
        <f>IF(TITLE_NAME_OR_PR_CHANGE="",IF(TITLE_NAME_OR_PR="","",TITLE_NAME_OR_PR),TITLE_NAME_OR_PR_CHANGE)</f>
        <v>Комитет по ценам и тарифам Московской области</v>
      </c>
      <c r="AE29" s="2421"/>
      <c r="AF29" s="2421"/>
      <c r="AG29" s="2421"/>
      <c r="AH29" s="2421"/>
      <c r="AI29" s="2421"/>
      <c r="AJ29" s="2421"/>
      <c r="AK29" s="1805"/>
      <c r="AL29" s="1805"/>
      <c r="AM29" s="450"/>
      <c r="AN29" s="538"/>
      <c r="AO29" s="538"/>
      <c r="AP29" s="538"/>
      <c r="AQ29" s="538"/>
      <c r="AR29" s="538"/>
      <c r="AS29" s="588">
        <v>0</v>
      </c>
    </row>
    <row s="12119" customFormat="1" customHeight="1" ht="18.75" hidden="1">
      <c r="A30" s="1418"/>
      <c r="B30" s="1418"/>
      <c r="C30" s="1418"/>
      <c r="D30" s="1418"/>
      <c r="E30" s="1418"/>
      <c r="F30" s="1418"/>
      <c r="G30" s="1418"/>
      <c r="H30" s="1418"/>
      <c r="I30" s="1418"/>
      <c r="J30" s="1418"/>
      <c r="K30" s="1418"/>
      <c r="L30" s="1550"/>
      <c r="M30" s="1418"/>
      <c r="N30" s="1418"/>
      <c r="O30" s="1418"/>
      <c r="S30" s="2420" t="s">
        <v>432</v>
      </c>
      <c r="T30" s="2420"/>
      <c r="U30" s="1542"/>
      <c r="V30" s="2434" t="str">
        <f>IF(TITLE_DATE_PR_CHANGE="",IF(TITLE_DATE_PR="","",TITLE_DATE_PR),TITLE_DATE_PR_CHANGE)</f>
        <v>45646.459814814814</v>
      </c>
      <c r="W30" s="2434"/>
      <c r="X30" s="2434"/>
      <c r="Y30" s="2434"/>
      <c r="Z30" s="2434"/>
      <c r="AA30" s="2434"/>
      <c r="AB30" s="2434"/>
      <c r="AC30" s="1805"/>
      <c r="AD30" s="2434" t="str">
        <f>IF(TITLE_DATE_PR_CHANGE="",IF(TITLE_DATE_PR="","",TITLE_DATE_PR),TITLE_DATE_PR_CHANGE)</f>
        <v>45646.459814814814</v>
      </c>
      <c r="AE30" s="2434"/>
      <c r="AF30" s="2434"/>
      <c r="AG30" s="2434"/>
      <c r="AH30" s="2434"/>
      <c r="AI30" s="2434"/>
      <c r="AJ30" s="2434"/>
      <c r="AK30" s="1805"/>
      <c r="AL30" s="1805"/>
      <c r="AM30" s="450"/>
      <c r="AN30" s="538"/>
      <c r="AO30" s="538"/>
      <c r="AP30" s="538"/>
      <c r="AQ30" s="538"/>
      <c r="AR30" s="538"/>
      <c r="AS30" s="588">
        <v>0</v>
      </c>
    </row>
    <row s="12119" customFormat="1" customHeight="1" ht="18.75" hidden="1">
      <c r="A31" s="1418"/>
      <c r="B31" s="1418"/>
      <c r="C31" s="1418"/>
      <c r="D31" s="1418"/>
      <c r="E31" s="1418"/>
      <c r="F31" s="1418"/>
      <c r="G31" s="1418"/>
      <c r="H31" s="1418"/>
      <c r="I31" s="1418"/>
      <c r="J31" s="1418"/>
      <c r="K31" s="1418"/>
      <c r="L31" s="1550"/>
      <c r="M31" s="1418"/>
      <c r="N31" s="1418"/>
      <c r="O31" s="1418"/>
      <c r="S31" s="2420" t="s">
        <v>433</v>
      </c>
      <c r="T31" s="2420"/>
      <c r="U31" s="1542"/>
      <c r="V31" s="2421" t="str">
        <f>IF(TITLE_NUMBER_PR_CHANGE="",IF(TITLE_NUMBER_PR="","",TITLE_NUMBER_PR),TITLE_NUMBER_PR_CHANGE)</f>
        <v>329-Р</v>
      </c>
      <c r="W31" s="2421"/>
      <c r="X31" s="2421"/>
      <c r="Y31" s="2421"/>
      <c r="Z31" s="2421"/>
      <c r="AA31" s="2421"/>
      <c r="AB31" s="2421"/>
      <c r="AC31" s="1805"/>
      <c r="AD31" s="2421" t="str">
        <f>IF(TITLE_NUMBER_PR_CHANGE="",IF(TITLE_NUMBER_PR="","",TITLE_NUMBER_PR),TITLE_NUMBER_PR_CHANGE)</f>
        <v>329-Р</v>
      </c>
      <c r="AE31" s="2421"/>
      <c r="AF31" s="2421"/>
      <c r="AG31" s="2421"/>
      <c r="AH31" s="2421"/>
      <c r="AI31" s="2421"/>
      <c r="AJ31" s="2421"/>
      <c r="AK31" s="1805"/>
      <c r="AL31" s="1805"/>
      <c r="AM31" s="450"/>
      <c r="AN31" s="538"/>
      <c r="AO31" s="538"/>
      <c r="AP31" s="538"/>
      <c r="AQ31" s="538"/>
      <c r="AR31" s="538"/>
      <c r="AS31" s="588">
        <v>0</v>
      </c>
    </row>
    <row s="12119" customFormat="1" customHeight="1" ht="18.75" hidden="1">
      <c r="A32" s="1418"/>
      <c r="B32" s="1418"/>
      <c r="C32" s="1418"/>
      <c r="D32" s="1418"/>
      <c r="E32" s="1418"/>
      <c r="F32" s="1418"/>
      <c r="G32" s="1418"/>
      <c r="H32" s="1418"/>
      <c r="I32" s="1418"/>
      <c r="J32" s="1418"/>
      <c r="K32" s="1418"/>
      <c r="L32" s="1550"/>
      <c r="M32" s="1418"/>
      <c r="N32" s="1418"/>
      <c r="O32" s="1418"/>
      <c r="S32" s="2420" t="s">
        <v>44</v>
      </c>
      <c r="T32" s="2420"/>
      <c r="U32" s="1542"/>
      <c r="V32"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421"/>
      <c r="X32" s="2421"/>
      <c r="Y32" s="2421"/>
      <c r="Z32" s="2421"/>
      <c r="AA32" s="2421"/>
      <c r="AB32" s="2421"/>
      <c r="AC32" s="1805"/>
      <c r="AD32"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421"/>
      <c r="AF32" s="2421"/>
      <c r="AG32" s="2421"/>
      <c r="AH32" s="2421"/>
      <c r="AI32" s="2421"/>
      <c r="AJ32" s="2421"/>
      <c r="AK32" s="1805"/>
      <c r="AL32" s="1805"/>
      <c r="AM32" s="450"/>
      <c r="AN32" s="538"/>
      <c r="AO32" s="538"/>
      <c r="AP32" s="538"/>
      <c r="AQ32" s="538"/>
      <c r="AR32" s="538"/>
      <c r="AS32" s="588">
        <v>0</v>
      </c>
    </row>
    <row customHeight="1" ht="14.25" hidden="1">
      <c r="Q33" s="546"/>
      <c r="R33" s="546"/>
      <c r="S33" s="1445"/>
      <c r="T33" s="627"/>
      <c r="U33" s="627"/>
      <c r="V33" s="492"/>
      <c r="W33" s="492"/>
      <c r="X33" s="492"/>
      <c r="Y33" s="492"/>
      <c r="Z33" s="492"/>
      <c r="AA33" s="492"/>
      <c r="AB33" s="492"/>
      <c r="AC33" s="492"/>
      <c r="AD33" s="492"/>
      <c r="AE33" s="492"/>
      <c r="AF33" s="492"/>
      <c r="AG33" s="492"/>
      <c r="AH33" s="492"/>
      <c r="AI33" s="492"/>
      <c r="AJ33" s="492"/>
      <c r="AK33" s="492"/>
      <c r="AL33" s="1805"/>
      <c r="AS33" s="1801">
        <v>0</v>
      </c>
    </row>
    <row s="12119" customFormat="1" customHeight="1" ht="18.75" hidden="1">
      <c r="A34" s="1418"/>
      <c r="B34" s="1418"/>
      <c r="C34" s="1418"/>
      <c r="D34" s="1418"/>
      <c r="E34" s="1418"/>
      <c r="F34" s="1418"/>
      <c r="G34" s="1418"/>
      <c r="H34" s="1418"/>
      <c r="I34" s="1418"/>
      <c r="J34" s="1418"/>
      <c r="K34" s="1418"/>
      <c r="L34" s="1550"/>
      <c r="M34" s="1418"/>
      <c r="N34" s="1418"/>
      <c r="O34" s="1418"/>
      <c r="S34" s="2420" t="s">
        <v>434</v>
      </c>
      <c r="T34" s="2420"/>
      <c r="U34" s="1542"/>
      <c r="V34" s="2434" t="str">
        <f>IF(TITLE_DATE_PR_CHANGE="",IF(TITLE_DATE_PR="","",TITLE_DATE_PR),TITLE_DATE_PR_CHANGE)</f>
        <v>45646.459814814814</v>
      </c>
      <c r="W34" s="2434"/>
      <c r="X34" s="2434"/>
      <c r="Y34" s="2434"/>
      <c r="Z34" s="2434"/>
      <c r="AA34" s="2434"/>
      <c r="AB34" s="2434"/>
      <c r="AC34" s="1805"/>
      <c r="AD34" s="2434" t="str">
        <f>IF(TITLE_DATE_PR_CHANGE="",IF(TITLE_DATE_PR="","",TITLE_DATE_PR),TITLE_DATE_PR_CHANGE)</f>
        <v>45646.459814814814</v>
      </c>
      <c r="AE34" s="2434"/>
      <c r="AF34" s="2434"/>
      <c r="AG34" s="2434"/>
      <c r="AH34" s="2434"/>
      <c r="AI34" s="2434"/>
      <c r="AJ34" s="2434"/>
      <c r="AK34" s="1805"/>
      <c r="AL34" s="1805"/>
      <c r="AM34" s="450"/>
      <c r="AN34" s="538"/>
      <c r="AO34" s="538"/>
      <c r="AP34" s="538"/>
      <c r="AQ34" s="538"/>
      <c r="AR34" s="538"/>
      <c r="AS34" s="588">
        <v>0</v>
      </c>
    </row>
    <row s="12119" customFormat="1" customHeight="1" ht="18.75" hidden="1">
      <c r="A35" s="1418"/>
      <c r="B35" s="1418"/>
      <c r="C35" s="1418"/>
      <c r="D35" s="1418"/>
      <c r="E35" s="1418"/>
      <c r="F35" s="1418"/>
      <c r="G35" s="1418"/>
      <c r="H35" s="1418"/>
      <c r="I35" s="1418"/>
      <c r="J35" s="1418"/>
      <c r="K35" s="1418"/>
      <c r="L35" s="1550"/>
      <c r="M35" s="1418"/>
      <c r="N35" s="1418"/>
      <c r="O35" s="1418"/>
      <c r="S35" s="2420" t="s">
        <v>435</v>
      </c>
      <c r="T35" s="2420"/>
      <c r="U35" s="1542"/>
      <c r="V35" s="2421" t="str">
        <f>IF(TITLE_NUMBER_PR_CHANGE="",IF(TITLE_NUMBER_PR="","",TITLE_NUMBER_PR),TITLE_NUMBER_PR_CHANGE)</f>
        <v>329-Р</v>
      </c>
      <c r="W35" s="2421"/>
      <c r="X35" s="2421"/>
      <c r="Y35" s="2421"/>
      <c r="Z35" s="2421"/>
      <c r="AA35" s="2421"/>
      <c r="AB35" s="2421"/>
      <c r="AC35" s="1805"/>
      <c r="AD35" s="2421" t="str">
        <f>IF(TITLE_NUMBER_PR_CHANGE="",IF(TITLE_NUMBER_PR="","",TITLE_NUMBER_PR),TITLE_NUMBER_PR_CHANGE)</f>
        <v>329-Р</v>
      </c>
      <c r="AE35" s="2421"/>
      <c r="AF35" s="2421"/>
      <c r="AG35" s="2421"/>
      <c r="AH35" s="2421"/>
      <c r="AI35" s="2421"/>
      <c r="AJ35" s="2421"/>
      <c r="AK35" s="1805"/>
      <c r="AL35" s="1805"/>
      <c r="AM35" s="450"/>
      <c r="AN35" s="538"/>
      <c r="AO35" s="538"/>
      <c r="AP35" s="538"/>
      <c r="AQ35" s="538"/>
      <c r="AR35" s="538"/>
      <c r="AS35" s="588">
        <v>0</v>
      </c>
    </row>
    <row s="12119" customFormat="1" customHeight="1" ht="0">
      <c r="A36" s="1418"/>
      <c r="B36" s="1418"/>
      <c r="C36" s="1418"/>
      <c r="D36" s="1418"/>
      <c r="E36" s="1418"/>
      <c r="F36" s="1418"/>
      <c r="G36" s="1418"/>
      <c r="H36" s="1418"/>
      <c r="I36" s="1418"/>
      <c r="J36" s="1418"/>
      <c r="K36" s="1418"/>
      <c r="L36" s="1550"/>
      <c r="M36" s="1418"/>
      <c r="N36" s="1418"/>
      <c r="O36" s="1418"/>
      <c r="S36" s="1805"/>
      <c r="T36" s="1805"/>
      <c r="U36" s="2140"/>
      <c r="V36" s="1805"/>
      <c r="W36" s="1805"/>
      <c r="X36" s="1805"/>
      <c r="Y36" s="1805"/>
      <c r="Z36" s="1805"/>
      <c r="AA36" s="1805"/>
      <c r="AB36" s="1805"/>
      <c r="AC36" s="1812" t="s">
        <v>436</v>
      </c>
      <c r="AD36" s="1805"/>
      <c r="AE36" s="1805"/>
      <c r="AF36" s="1805"/>
      <c r="AG36" s="1805"/>
      <c r="AH36" s="1805"/>
      <c r="AI36" s="1805"/>
      <c r="AJ36" s="1805"/>
      <c r="AK36" s="1812" t="s">
        <v>436</v>
      </c>
      <c r="AN36" s="538"/>
      <c r="AO36" s="538"/>
      <c r="AP36" s="538"/>
      <c r="AQ36" s="538"/>
      <c r="AR36" s="538"/>
      <c r="AS36" s="588">
        <v>0</v>
      </c>
    </row>
    <row customHeight="1" ht="14.699999999999998">
      <c r="Q37" s="546"/>
      <c r="R37" s="546"/>
      <c r="S37" s="1445"/>
      <c r="T37" s="627"/>
      <c r="U37" s="1414"/>
      <c r="V37" s="2422"/>
      <c r="W37" s="2422"/>
      <c r="X37" s="2422"/>
      <c r="Y37" s="2422"/>
      <c r="Z37" s="2422"/>
      <c r="AA37" s="2422"/>
      <c r="AB37" s="2422"/>
      <c r="AC37" s="2422"/>
      <c r="AD37" s="2422"/>
      <c r="AE37" s="2422"/>
      <c r="AF37" s="2422"/>
      <c r="AG37" s="2422"/>
      <c r="AH37" s="2422"/>
      <c r="AI37" s="2422"/>
      <c r="AJ37" s="2422"/>
      <c r="AK37" s="2422"/>
      <c r="AS37" s="1801">
        <v>14</v>
      </c>
    </row>
    <row customHeight="1" ht="14.699999999999998">
      <c r="Q38" s="546"/>
      <c r="R38" s="546"/>
      <c r="S38" s="2297" t="s">
        <v>312</v>
      </c>
      <c r="T38" s="2297"/>
      <c r="U38" s="2297"/>
      <c r="V38" s="2297"/>
      <c r="W38" s="2297"/>
      <c r="X38" s="2297"/>
      <c r="Y38" s="2297"/>
      <c r="Z38" s="2297"/>
      <c r="AA38" s="2297"/>
      <c r="AB38" s="2297"/>
      <c r="AC38" s="2297"/>
      <c r="AD38" s="2297"/>
      <c r="AE38" s="2297"/>
      <c r="AF38" s="2297"/>
      <c r="AG38" s="2297"/>
      <c r="AH38" s="2297"/>
      <c r="AI38" s="2297"/>
      <c r="AJ38" s="2297"/>
      <c r="AK38" s="2297"/>
      <c r="AL38" s="2297"/>
      <c r="AM38" s="2297" t="s">
        <v>313</v>
      </c>
      <c r="AS38" s="1801">
        <v>14</v>
      </c>
    </row>
    <row customHeight="1" ht="14.699999999999998">
      <c r="Q39" s="546"/>
      <c r="R39" s="546"/>
      <c r="S39" s="2443" t="s">
        <v>91</v>
      </c>
      <c r="T39" s="2379" t="s">
        <v>438</v>
      </c>
      <c r="U39" s="507"/>
      <c r="V39" s="2444" t="s">
        <v>439</v>
      </c>
      <c r="W39" s="2445"/>
      <c r="X39" s="2445"/>
      <c r="Y39" s="2445"/>
      <c r="Z39" s="2445"/>
      <c r="AA39" s="2445"/>
      <c r="AB39" s="2446"/>
      <c r="AC39" s="2447" t="s">
        <v>440</v>
      </c>
      <c r="AD39" s="2444" t="s">
        <v>439</v>
      </c>
      <c r="AE39" s="2445"/>
      <c r="AF39" s="2445"/>
      <c r="AG39" s="2445"/>
      <c r="AH39" s="2445"/>
      <c r="AI39" s="2445"/>
      <c r="AJ39" s="2446"/>
      <c r="AK39" s="2447" t="s">
        <v>441</v>
      </c>
      <c r="AL39" s="2450" t="s">
        <v>442</v>
      </c>
      <c r="AM39" s="2297"/>
      <c r="AS39" s="1801">
        <v>14</v>
      </c>
    </row>
    <row customHeight="1" ht="35.699999999999996">
      <c r="Q40" s="546"/>
      <c r="R40" s="546"/>
      <c r="S40" s="2443"/>
      <c r="T40" s="2379"/>
      <c r="U40" s="1201"/>
      <c r="V40" s="2430" t="s">
        <v>443</v>
      </c>
      <c r="W40" s="2453" t="s">
        <v>444</v>
      </c>
      <c r="X40" s="2432" t="s">
        <v>445</v>
      </c>
      <c r="Y40" s="2433"/>
      <c r="Z40" s="2432" t="s">
        <v>461</v>
      </c>
      <c r="AA40" s="2439"/>
      <c r="AB40" s="2433"/>
      <c r="AC40" s="2448"/>
      <c r="AD40" s="2430" t="s">
        <v>443</v>
      </c>
      <c r="AE40" s="2453" t="s">
        <v>444</v>
      </c>
      <c r="AF40" s="2432" t="s">
        <v>445</v>
      </c>
      <c r="AG40" s="2433"/>
      <c r="AH40" s="2432" t="s">
        <v>446</v>
      </c>
      <c r="AI40" s="2439"/>
      <c r="AJ40" s="2433"/>
      <c r="AK40" s="2448"/>
      <c r="AL40" s="2451"/>
      <c r="AM40" s="2297"/>
      <c r="AS40" s="1801">
        <v>34</v>
      </c>
    </row>
    <row customHeight="1" ht="35.699999999999996">
      <c r="A41" s="1436"/>
      <c r="B41" s="1436" t="s">
        <v>138</v>
      </c>
      <c r="C41" s="1436" t="s">
        <v>139</v>
      </c>
      <c r="D41" s="1436" t="s">
        <v>140</v>
      </c>
      <c r="E41" s="1480" t="s">
        <v>447</v>
      </c>
      <c r="F41" s="1480" t="s">
        <v>448</v>
      </c>
      <c r="G41" s="1480" t="s">
        <v>449</v>
      </c>
      <c r="H41" s="1480" t="s">
        <v>450</v>
      </c>
      <c r="I41" s="1480" t="s">
        <v>451</v>
      </c>
      <c r="J41" s="1480" t="s">
        <v>452</v>
      </c>
      <c r="K41" s="1480" t="s">
        <v>453</v>
      </c>
      <c r="L41" s="1480" t="s">
        <v>427</v>
      </c>
      <c r="Q41" s="546"/>
      <c r="R41" s="546"/>
      <c r="S41" s="2443"/>
      <c r="T41" s="2379"/>
      <c r="U41" s="472"/>
      <c r="V41" s="2431"/>
      <c r="W41" s="2454"/>
      <c r="X41" s="2108" t="s">
        <v>454</v>
      </c>
      <c r="Y41" s="2108" t="s">
        <v>455</v>
      </c>
      <c r="Z41" s="2108" t="s">
        <v>456</v>
      </c>
      <c r="AA41" s="2440" t="s">
        <v>457</v>
      </c>
      <c r="AB41" s="2441"/>
      <c r="AC41" s="2449"/>
      <c r="AD41" s="2431"/>
      <c r="AE41" s="2454"/>
      <c r="AF41" s="2108" t="s">
        <v>454</v>
      </c>
      <c r="AG41" s="2108" t="s">
        <v>455</v>
      </c>
      <c r="AH41" s="2108" t="s">
        <v>456</v>
      </c>
      <c r="AI41" s="2440" t="s">
        <v>457</v>
      </c>
      <c r="AJ41" s="2441"/>
      <c r="AK41" s="2449"/>
      <c r="AL41" s="2452"/>
      <c r="AM41" s="2297"/>
      <c r="AS41" s="1801">
        <v>34</v>
      </c>
    </row>
    <row s="12668" customFormat="1" customHeight="1" ht="11.25" hidden="1">
      <c r="A42" s="1436"/>
      <c r="B42" s="1436"/>
      <c r="C42" s="1436"/>
      <c r="D42" s="1436"/>
      <c r="E42" s="1436"/>
      <c r="F42" s="1436"/>
      <c r="G42" s="1436"/>
      <c r="H42" s="1436"/>
      <c r="I42" s="1436"/>
      <c r="J42" s="1436"/>
      <c r="K42" s="1436"/>
      <c r="L42" s="1480"/>
      <c r="M42" s="2135"/>
      <c r="N42" s="2135"/>
      <c r="O42" s="2135"/>
      <c r="P42" s="1416"/>
      <c r="Q42" s="1417"/>
      <c r="R42" s="1424">
        <v>1</v>
      </c>
      <c r="S42" s="1447" t="s">
        <v>112</v>
      </c>
      <c r="T42" s="1425" t="s">
        <v>113</v>
      </c>
      <c r="U42" s="1415" t="str">
        <f>OFFSET(U42,0,-1)</f>
        <v>2</v>
      </c>
      <c r="V42" s="2126">
        <f>OFFSET(V42,0,-1)+1</f>
        <v>3</v>
      </c>
      <c r="W42" s="2126"/>
      <c r="X42" s="2126">
        <f>OFFSET(X42,0,-1)+1</f>
        <v>1</v>
      </c>
      <c r="Y42" s="2126">
        <f>OFFSET(Y42,0,-1)+1</f>
        <v>2</v>
      </c>
      <c r="Z42" s="2126">
        <f>OFFSET(Z42,0,-1)+1</f>
        <v>3</v>
      </c>
      <c r="AA42" s="2442">
        <f>OFFSET(AA42,0,-1)+1</f>
        <v>4</v>
      </c>
      <c r="AB42" s="2442"/>
      <c r="AC42" s="2126">
        <f>OFFSET(AC42,0,-2)+1</f>
        <v>5</v>
      </c>
      <c r="AD42" s="2126">
        <f>OFFSET(AD42,0,-1)+1</f>
        <v>6</v>
      </c>
      <c r="AE42" s="2126"/>
      <c r="AF42" s="2126">
        <f>OFFSET(AF42,0,-1)+1</f>
        <v>1</v>
      </c>
      <c r="AG42" s="2126">
        <f>OFFSET(AG42,0,-1)+1</f>
        <v>2</v>
      </c>
      <c r="AH42" s="2126">
        <f>OFFSET(AH42,0,-1)+1</f>
        <v>3</v>
      </c>
      <c r="AI42" s="2442">
        <f>OFFSET(AI42,0,-1)+1</f>
        <v>4</v>
      </c>
      <c r="AJ42" s="2442"/>
      <c r="AK42" s="2126">
        <f>OFFSET(AK42,0,-2)+1</f>
        <v>5</v>
      </c>
      <c r="AL42" s="1415">
        <f>OFFSET(AL42,0,-1)</f>
        <v>5</v>
      </c>
      <c r="AM42" s="2126">
        <f>OFFSET(AM42,0,-1)+1</f>
        <v>6</v>
      </c>
      <c r="AN42" s="1806"/>
      <c r="AO42" s="1806"/>
      <c r="AP42" s="1806"/>
      <c r="AQ42" s="1806"/>
      <c r="AR42" s="1806"/>
      <c r="AS42" s="1811">
        <v>0</v>
      </c>
    </row>
    <row customHeight="1" ht="22.049999999999997">
      <c r="A43" s="1437" t="s">
        <v>224</v>
      </c>
      <c r="B43" s="1437"/>
      <c r="C43" s="1437"/>
      <c r="D43" s="1437"/>
      <c r="E43" s="2459">
        <v>1</v>
      </c>
      <c r="F43" s="1437"/>
      <c r="G43" s="1437"/>
      <c r="H43" s="1437"/>
      <c r="I43" s="1437"/>
      <c r="J43" s="1437"/>
      <c r="K43" s="1437"/>
      <c r="L43" s="1480"/>
      <c r="M43" s="1780"/>
      <c r="N43" s="1780"/>
      <c r="O43" s="1780"/>
      <c r="P43" s="1760"/>
      <c r="Q43" s="530"/>
      <c r="R43" s="525"/>
      <c r="S43" s="2128">
        <f>INDEX(PT_DIFFERENTIATION_NUM_NTAR,MATCH(A43,PT_DIFFERENTIATION_NTAR_ID,0))</f>
        <v>0</v>
      </c>
      <c r="T43" s="1695" t="s">
        <v>126</v>
      </c>
      <c r="U43" s="470"/>
      <c r="V43" s="2412"/>
      <c r="W43" s="2413"/>
      <c r="X43" s="2413"/>
      <c r="Y43" s="2413"/>
      <c r="Z43" s="2413"/>
      <c r="AA43" s="2413"/>
      <c r="AB43" s="2413"/>
      <c r="AC43" s="2414"/>
      <c r="AD43" s="2412" t="str">
        <f>INDEX(PT_DIFFERENTIATION_NTAR,MATCH(A43,PT_DIFFERENTIATION_NTAR_ID,0))</f>
        <v/>
      </c>
      <c r="AE43" s="2413"/>
      <c r="AF43" s="2413"/>
      <c r="AG43" s="2413"/>
      <c r="AH43" s="2413"/>
      <c r="AI43" s="2413"/>
      <c r="AJ43" s="2413"/>
      <c r="AK43" s="2413"/>
      <c r="AL43" s="2414"/>
      <c r="AM43" s="142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794"/>
      <c r="AP43" s="1794" t="str">
        <f>IF(T43="","",T43)</f>
        <v>Наименование тарифа</v>
      </c>
      <c r="AQ43" s="1794"/>
      <c r="AR43" s="1794"/>
      <c r="AS43" s="1801">
        <v>21</v>
      </c>
    </row>
    <row customHeight="1" ht="22.049999999999997">
      <c r="A44" s="1437" t="s">
        <v>224</v>
      </c>
      <c r="B44" s="1437" t="s">
        <v>225</v>
      </c>
      <c r="C44" s="1437"/>
      <c r="D44" s="1437"/>
      <c r="E44" s="2460"/>
      <c r="F44" s="2459">
        <v>1</v>
      </c>
      <c r="G44" s="1437"/>
      <c r="H44" s="1437"/>
      <c r="I44" s="1437"/>
      <c r="J44" s="1437"/>
      <c r="K44" s="1437"/>
      <c r="L44" s="1480"/>
      <c r="M44" s="1780"/>
      <c r="N44" s="1780"/>
      <c r="O44" s="1780"/>
      <c r="P44" s="2110"/>
      <c r="Q44" s="522"/>
      <c r="R44" s="523"/>
      <c r="S44" s="2128" t="str">
        <f>INDEX(PT_DIFFERENTIATION_NUM_TER,MATCH(B44,PT_DIFFERENTIATION_TER_ID,0))</f>
        <v>.</v>
      </c>
      <c r="T44" s="1692" t="s">
        <v>409</v>
      </c>
      <c r="U44" s="470"/>
      <c r="V44" s="2412"/>
      <c r="W44" s="2413"/>
      <c r="X44" s="2413"/>
      <c r="Y44" s="2413"/>
      <c r="Z44" s="2413"/>
      <c r="AA44" s="2413"/>
      <c r="AB44" s="2413"/>
      <c r="AC44" s="2414"/>
      <c r="AD44" s="2412" t="str">
        <f>INDEX(PT_DIFFERENTIATION_TER,MATCH(B44,PT_DIFFERENTIATION_TER_ID,0))</f>
        <v/>
      </c>
      <c r="AE44" s="2413"/>
      <c r="AF44" s="2413"/>
      <c r="AG44" s="2413"/>
      <c r="AH44" s="2413"/>
      <c r="AI44" s="2413"/>
      <c r="AJ44" s="2413"/>
      <c r="AK44" s="2413"/>
      <c r="AL44" s="2414"/>
      <c r="AM44" s="1428" t="s">
        <v>410</v>
      </c>
      <c r="AO44" s="1794"/>
      <c r="AP44" s="1794" t="str">
        <f>IF(T44="","",T44)</f>
        <v>Территория действия тарифа</v>
      </c>
      <c r="AQ44" s="1794"/>
      <c r="AR44" s="1794"/>
      <c r="AS44" s="1801">
        <v>21</v>
      </c>
    </row>
    <row customHeight="1" ht="24">
      <c r="A45" s="1437" t="s">
        <v>224</v>
      </c>
      <c r="B45" s="1437" t="s">
        <v>225</v>
      </c>
      <c r="C45" s="1437" t="s">
        <v>226</v>
      </c>
      <c r="D45" s="1437"/>
      <c r="E45" s="2460"/>
      <c r="F45" s="2460"/>
      <c r="G45" s="2459">
        <v>1</v>
      </c>
      <c r="H45" s="1437"/>
      <c r="I45" s="1437"/>
      <c r="J45" s="1437"/>
      <c r="K45" s="1437"/>
      <c r="L45" s="1480"/>
      <c r="M45" s="1780"/>
      <c r="N45" s="1780"/>
      <c r="O45" s="1780"/>
      <c r="P45" s="524"/>
      <c r="Q45" s="522"/>
      <c r="R45" s="523"/>
      <c r="S45" s="2128" t="str">
        <f>INDEX(PT_DIFFERENTIATION_NUM_CS,MATCH(C45,PT_DIFFERENTIATION_CS_ID,0))</f>
        <v>..</v>
      </c>
      <c r="T45" s="479" t="s">
        <v>411</v>
      </c>
      <c r="U45" s="470"/>
      <c r="V45" s="2412"/>
      <c r="W45" s="2413"/>
      <c r="X45" s="2413"/>
      <c r="Y45" s="2413"/>
      <c r="Z45" s="2413"/>
      <c r="AA45" s="2413"/>
      <c r="AB45" s="2413"/>
      <c r="AC45" s="2414"/>
      <c r="AD45" s="2412" t="str">
        <f>INDEX(PT_DIFFERENTIATION_CS,MATCH(C45,PT_DIFFERENTIATION_CS_ID,0))</f>
        <v/>
      </c>
      <c r="AE45" s="2413"/>
      <c r="AF45" s="2413"/>
      <c r="AG45" s="2413"/>
      <c r="AH45" s="2413"/>
      <c r="AI45" s="2413"/>
      <c r="AJ45" s="2413"/>
      <c r="AK45" s="2413"/>
      <c r="AL45" s="2414"/>
      <c r="AM45" s="1428" t="s">
        <v>412</v>
      </c>
      <c r="AO45" s="1794"/>
      <c r="AP45" s="1794" t="str">
        <f>IF(T45="","",T45)</f>
        <v>Наименование системы теплоснабжения </v>
      </c>
      <c r="AQ45" s="1794"/>
      <c r="AR45" s="1794"/>
      <c r="AS45" s="1801">
        <v>23</v>
      </c>
    </row>
    <row customHeight="1" ht="22.049999999999997">
      <c r="A46" s="1437" t="s">
        <v>224</v>
      </c>
      <c r="B46" s="1437" t="s">
        <v>225</v>
      </c>
      <c r="C46" s="1437" t="s">
        <v>226</v>
      </c>
      <c r="D46" s="1437" t="s">
        <v>227</v>
      </c>
      <c r="E46" s="2460"/>
      <c r="F46" s="2460"/>
      <c r="G46" s="2460"/>
      <c r="H46" s="2459">
        <v>1</v>
      </c>
      <c r="I46" s="1437"/>
      <c r="J46" s="1437"/>
      <c r="K46" s="1437"/>
      <c r="L46" s="1480"/>
      <c r="M46" s="1780"/>
      <c r="N46" s="1780"/>
      <c r="O46" s="1780"/>
      <c r="P46" s="524"/>
      <c r="Q46" s="522"/>
      <c r="R46" s="523"/>
      <c r="S46" s="2128" t="str">
        <f>INDEX(PT_DIFFERENTIATION_NUM_IST_TE,MATCH(D46,PT_DIFFERENTIATION_IST_TE_ID,0))</f>
        <v>...</v>
      </c>
      <c r="T46" s="480" t="s">
        <v>413</v>
      </c>
      <c r="U46" s="470"/>
      <c r="V46" s="2412"/>
      <c r="W46" s="2413"/>
      <c r="X46" s="2413"/>
      <c r="Y46" s="2413"/>
      <c r="Z46" s="2413"/>
      <c r="AA46" s="2413"/>
      <c r="AB46" s="2413"/>
      <c r="AC46" s="2414"/>
      <c r="AD46" s="2412" t="str">
        <f>INDEX(PT_DIFFERENTIATION_IST_TE,MATCH(D46,PT_DIFFERENTIATION_IST_TE_ID,0))</f>
        <v/>
      </c>
      <c r="AE46" s="2413"/>
      <c r="AF46" s="2413"/>
      <c r="AG46" s="2413"/>
      <c r="AH46" s="2413"/>
      <c r="AI46" s="2413"/>
      <c r="AJ46" s="2413"/>
      <c r="AK46" s="2413"/>
      <c r="AL46" s="2414"/>
      <c r="AM46" s="1428" t="s">
        <v>414</v>
      </c>
      <c r="AO46" s="1794"/>
      <c r="AP46" s="1794" t="str">
        <f>IF(T46="","",T46)</f>
        <v>Источник тепловой энергии  </v>
      </c>
      <c r="AQ46" s="1794"/>
      <c r="AR46" s="1794"/>
      <c r="AS46" s="1801">
        <v>21</v>
      </c>
    </row>
    <row customHeight="1" ht="49.5">
      <c r="A47" s="1437" t="s">
        <v>224</v>
      </c>
      <c r="B47" s="1437" t="s">
        <v>225</v>
      </c>
      <c r="C47" s="1437" t="s">
        <v>226</v>
      </c>
      <c r="D47" s="1437" t="s">
        <v>227</v>
      </c>
      <c r="E47" s="2460"/>
      <c r="F47" s="2460"/>
      <c r="G47" s="2460"/>
      <c r="H47" s="2460"/>
      <c r="I47" s="2297" t="str">
        <f>S46&amp;".1"</f>
        <v>....1</v>
      </c>
      <c r="J47" s="1437"/>
      <c r="K47" s="1437"/>
      <c r="L47" s="1480" t="s">
        <v>415</v>
      </c>
      <c r="P47" s="2427">
        <v>1</v>
      </c>
      <c r="Q47" s="2124"/>
      <c r="R47" s="526"/>
      <c r="S47" s="2128" t="str">
        <f>$I47</f>
        <v>....1</v>
      </c>
      <c r="T47" s="455" t="s">
        <v>416</v>
      </c>
      <c r="U47" s="470"/>
      <c r="V47" s="2415"/>
      <c r="W47" s="2416"/>
      <c r="X47" s="2416"/>
      <c r="Y47" s="2416"/>
      <c r="Z47" s="2416"/>
      <c r="AA47" s="2416"/>
      <c r="AB47" s="2416"/>
      <c r="AC47" s="2417"/>
      <c r="AD47" s="2415"/>
      <c r="AE47" s="2416"/>
      <c r="AF47" s="2416"/>
      <c r="AG47" s="2416"/>
      <c r="AH47" s="2416"/>
      <c r="AI47" s="2416"/>
      <c r="AJ47" s="2416"/>
      <c r="AK47" s="2416"/>
      <c r="AL47" s="2417"/>
      <c r="AM47" s="1428" t="s">
        <v>417</v>
      </c>
      <c r="AO47" s="1794"/>
      <c r="AP47" s="1794" t="str">
        <f>IF(T47="","",T47)</f>
        <v>Схема подключения теплопотребляющей установки к коллектору источника тепловой энергии</v>
      </c>
      <c r="AQ47" s="1794"/>
      <c r="AR47" s="1794"/>
      <c r="AS47" s="1801">
        <v>47</v>
      </c>
    </row>
    <row customHeight="1" ht="22.049999999999997">
      <c r="A48" s="1437" t="s">
        <v>224</v>
      </c>
      <c r="B48" s="1437" t="s">
        <v>225</v>
      </c>
      <c r="C48" s="1437" t="s">
        <v>226</v>
      </c>
      <c r="D48" s="1437" t="s">
        <v>227</v>
      </c>
      <c r="E48" s="2460"/>
      <c r="F48" s="2460"/>
      <c r="G48" s="2460"/>
      <c r="H48" s="2460"/>
      <c r="I48" s="2271"/>
      <c r="J48" s="2297" t="str">
        <f>I47&amp;".1"</f>
        <v>....1.1</v>
      </c>
      <c r="K48" s="1437"/>
      <c r="L48" s="1480" t="s">
        <v>418</v>
      </c>
      <c r="P48" s="2427"/>
      <c r="Q48" s="2427">
        <v>1</v>
      </c>
      <c r="R48" s="527"/>
      <c r="S48" s="2128" t="str">
        <f>$J48</f>
        <v>....1.1</v>
      </c>
      <c r="T48" s="456" t="s">
        <v>419</v>
      </c>
      <c r="U48" s="470"/>
      <c r="V48" s="2415"/>
      <c r="W48" s="2416"/>
      <c r="X48" s="2416"/>
      <c r="Y48" s="2416"/>
      <c r="Z48" s="2416"/>
      <c r="AA48" s="2416"/>
      <c r="AB48" s="2416"/>
      <c r="AC48" s="2417"/>
      <c r="AD48" s="2415"/>
      <c r="AE48" s="2416"/>
      <c r="AF48" s="2416"/>
      <c r="AG48" s="2416"/>
      <c r="AH48" s="2416"/>
      <c r="AI48" s="2416"/>
      <c r="AJ48" s="2416"/>
      <c r="AK48" s="2416"/>
      <c r="AL48" s="2417"/>
      <c r="AM48" s="1428" t="s">
        <v>420</v>
      </c>
      <c r="AO48" s="1794"/>
      <c r="AP48" s="1794" t="str">
        <f>IF(T48="","",T48)</f>
        <v>Группа потребителей</v>
      </c>
      <c r="AQ48" s="1794"/>
      <c r="AR48" s="1794"/>
      <c r="AS48" s="1801">
        <v>21</v>
      </c>
    </row>
    <row customHeight="1" ht="22.049999999999997">
      <c r="A49" s="1437" t="s">
        <v>224</v>
      </c>
      <c r="B49" s="1437" t="s">
        <v>225</v>
      </c>
      <c r="C49" s="1437" t="s">
        <v>226</v>
      </c>
      <c r="D49" s="1437" t="s">
        <v>227</v>
      </c>
      <c r="E49" s="2460"/>
      <c r="F49" s="2460"/>
      <c r="G49" s="2460"/>
      <c r="H49" s="2460"/>
      <c r="I49" s="2271"/>
      <c r="J49" s="2271"/>
      <c r="K49" s="2297" t="str">
        <f>J48&amp;".1"</f>
        <v>....1.1.1</v>
      </c>
      <c r="L49" s="1480" t="s">
        <v>421</v>
      </c>
      <c r="P49" s="2427"/>
      <c r="Q49" s="2427"/>
      <c r="R49" s="527">
        <v>1</v>
      </c>
      <c r="S49" s="2128" t="str">
        <f>$K49</f>
        <v>....1.1.1</v>
      </c>
      <c r="T49" s="1517"/>
      <c r="U49" s="470"/>
      <c r="V49" s="921"/>
      <c r="W49" s="495"/>
      <c r="X49" s="921"/>
      <c r="Y49" s="1427"/>
      <c r="Z49" s="2435"/>
      <c r="AA49" s="2277" t="s">
        <v>64</v>
      </c>
      <c r="AB49" s="2435"/>
      <c r="AC49" s="2277" t="s">
        <v>64</v>
      </c>
      <c r="AD49" s="921"/>
      <c r="AE49" s="495"/>
      <c r="AF49" s="921"/>
      <c r="AG49" s="1427"/>
      <c r="AH49" s="2435"/>
      <c r="AI49" s="2277" t="s">
        <v>64</v>
      </c>
      <c r="AJ49" s="2457"/>
      <c r="AK49" s="2277" t="s">
        <v>64</v>
      </c>
      <c r="AL49" s="1518"/>
      <c r="AM49" s="2423" t="s">
        <v>422</v>
      </c>
      <c r="AN49" s="1806">
        <f>STRCHECKDATE(V50:AL50)</f>
      </c>
      <c r="AO49" s="1794"/>
      <c r="AP49" s="1794" t="str">
        <f>IF(T49="","",T49)</f>
        <v/>
      </c>
      <c r="AQ49" s="1794"/>
      <c r="AR49" s="1794"/>
      <c r="AS49" s="1801">
        <v>21</v>
      </c>
    </row>
    <row customHeight="1" ht="1.05">
      <c r="A50" s="1437" t="s">
        <v>224</v>
      </c>
      <c r="B50" s="1437" t="s">
        <v>225</v>
      </c>
      <c r="C50" s="1437" t="s">
        <v>226</v>
      </c>
      <c r="D50" s="1437" t="s">
        <v>227</v>
      </c>
      <c r="E50" s="2460"/>
      <c r="F50" s="2460"/>
      <c r="G50" s="2460"/>
      <c r="H50" s="2460"/>
      <c r="I50" s="2271"/>
      <c r="J50" s="2271"/>
      <c r="K50" s="2297"/>
      <c r="L50" s="1480"/>
      <c r="P50" s="2427"/>
      <c r="Q50" s="2427"/>
      <c r="R50" s="527"/>
      <c r="S50" s="2137"/>
      <c r="T50" s="470"/>
      <c r="U50" s="470"/>
      <c r="V50" s="495"/>
      <c r="W50" s="495"/>
      <c r="X50" s="495"/>
      <c r="Y50" s="498" t="str">
        <f>Z49&amp;"-"&amp;AB49</f>
        <v>-</v>
      </c>
      <c r="Z50" s="2436"/>
      <c r="AA50" s="2277"/>
      <c r="AB50" s="2436"/>
      <c r="AC50" s="2277"/>
      <c r="AD50" s="495"/>
      <c r="AE50" s="495"/>
      <c r="AF50" s="495"/>
      <c r="AG50" s="498" t="str">
        <f>AH49&amp;"-"&amp;AJ49</f>
        <v>-</v>
      </c>
      <c r="AH50" s="2436"/>
      <c r="AI50" s="2277"/>
      <c r="AJ50" s="2458"/>
      <c r="AK50" s="2277"/>
      <c r="AL50" s="1519"/>
      <c r="AM50" s="2424"/>
      <c r="AO50" s="1794"/>
      <c r="AP50" s="1794" t="str">
        <f>IF(T50="","",T50)</f>
        <v/>
      </c>
      <c r="AQ50" s="1794"/>
      <c r="AR50" s="1794"/>
      <c r="AS50" s="1801">
        <v>1</v>
      </c>
    </row>
    <row customHeight="1" ht="11.549999999999999">
      <c r="A51" s="1437" t="s">
        <v>224</v>
      </c>
      <c r="B51" s="1437" t="s">
        <v>225</v>
      </c>
      <c r="C51" s="1437" t="s">
        <v>226</v>
      </c>
      <c r="D51" s="1437" t="s">
        <v>227</v>
      </c>
      <c r="E51" s="2460"/>
      <c r="F51" s="2460"/>
      <c r="G51" s="2460"/>
      <c r="H51" s="2460"/>
      <c r="I51" s="2271"/>
      <c r="J51" s="2297"/>
      <c r="K51" s="1437"/>
      <c r="L51" s="1480"/>
      <c r="P51" s="2427"/>
      <c r="Q51" s="2427"/>
      <c r="R51" s="526"/>
      <c r="S51" s="1448"/>
      <c r="T51" s="458" t="s">
        <v>423</v>
      </c>
      <c r="U51" s="770"/>
      <c r="V51" s="770"/>
      <c r="W51" s="770"/>
      <c r="X51" s="770"/>
      <c r="Y51" s="770"/>
      <c r="Z51" s="770"/>
      <c r="AA51" s="770"/>
      <c r="AB51" s="770"/>
      <c r="AC51" s="770"/>
      <c r="AD51" s="770"/>
      <c r="AE51" s="770"/>
      <c r="AF51" s="770"/>
      <c r="AG51" s="770"/>
      <c r="AH51" s="770"/>
      <c r="AI51" s="770"/>
      <c r="AJ51" s="770"/>
      <c r="AK51" s="770"/>
      <c r="AL51" s="494"/>
      <c r="AM51" s="2425"/>
      <c r="AO51" s="1794"/>
      <c r="AP51" s="1794" t="str">
        <f>IF(T51="","",T51)</f>
        <v>Добавить вид теплоносителя (параметры теплоносителя)</v>
      </c>
      <c r="AQ51" s="1794"/>
      <c r="AR51" s="1794"/>
      <c r="AS51" s="1801">
        <v>11</v>
      </c>
    </row>
    <row customHeight="1" ht="11.549999999999999">
      <c r="A52" s="1437" t="s">
        <v>224</v>
      </c>
      <c r="B52" s="1437" t="s">
        <v>225</v>
      </c>
      <c r="C52" s="1437" t="s">
        <v>226</v>
      </c>
      <c r="D52" s="1437" t="s">
        <v>227</v>
      </c>
      <c r="E52" s="2460"/>
      <c r="F52" s="2460"/>
      <c r="G52" s="2460"/>
      <c r="H52" s="2460"/>
      <c r="I52" s="2297"/>
      <c r="J52" s="1437"/>
      <c r="K52" s="1437"/>
      <c r="L52" s="1480"/>
      <c r="P52" s="2427"/>
      <c r="Q52" s="2124"/>
      <c r="R52" s="526"/>
      <c r="S52" s="1448"/>
      <c r="T52" s="457" t="s">
        <v>424</v>
      </c>
      <c r="U52" s="770"/>
      <c r="V52" s="770"/>
      <c r="W52" s="770"/>
      <c r="X52" s="770"/>
      <c r="Y52" s="770"/>
      <c r="Z52" s="770"/>
      <c r="AA52" s="770"/>
      <c r="AB52" s="770"/>
      <c r="AC52" s="536"/>
      <c r="AD52" s="770"/>
      <c r="AE52" s="770"/>
      <c r="AF52" s="770"/>
      <c r="AG52" s="770"/>
      <c r="AH52" s="770"/>
      <c r="AI52" s="770"/>
      <c r="AJ52" s="770"/>
      <c r="AK52" s="536"/>
      <c r="AL52" s="770"/>
      <c r="AM52" s="473"/>
      <c r="AO52" s="1794"/>
      <c r="AP52" s="1794" t="str">
        <f>IF(T52="","",T52)</f>
        <v>Добавить группу потребителей</v>
      </c>
      <c r="AQ52" s="1794"/>
      <c r="AR52" s="1794"/>
      <c r="AS52" s="1801">
        <v>11</v>
      </c>
    </row>
    <row customHeight="1" ht="14.699999999999998">
      <c r="A53" s="1437" t="s">
        <v>224</v>
      </c>
      <c r="B53" s="1437" t="s">
        <v>225</v>
      </c>
      <c r="C53" s="1437" t="s">
        <v>226</v>
      </c>
      <c r="D53" s="1437" t="s">
        <v>227</v>
      </c>
      <c r="E53" s="2460"/>
      <c r="F53" s="2460"/>
      <c r="G53" s="2460"/>
      <c r="H53" s="2459"/>
      <c r="I53" s="1437"/>
      <c r="J53" s="1437"/>
      <c r="K53" s="1437"/>
      <c r="L53" s="1480"/>
      <c r="M53" s="1780"/>
      <c r="N53" s="1780"/>
      <c r="O53" s="1805"/>
      <c r="P53" s="530"/>
      <c r="Q53" s="545"/>
      <c r="R53" s="525"/>
      <c r="S53" s="1448"/>
      <c r="T53" s="535" t="s">
        <v>425</v>
      </c>
      <c r="U53" s="770"/>
      <c r="V53" s="770"/>
      <c r="W53" s="770"/>
      <c r="X53" s="770"/>
      <c r="Y53" s="770"/>
      <c r="Z53" s="770"/>
      <c r="AA53" s="770"/>
      <c r="AB53" s="770"/>
      <c r="AC53" s="536"/>
      <c r="AD53" s="770"/>
      <c r="AE53" s="770"/>
      <c r="AF53" s="770"/>
      <c r="AG53" s="770"/>
      <c r="AH53" s="770"/>
      <c r="AI53" s="770"/>
      <c r="AJ53" s="770"/>
      <c r="AK53" s="536"/>
      <c r="AL53" s="770"/>
      <c r="AM53" s="473"/>
      <c r="AO53" s="1794"/>
      <c r="AP53" s="1794" t="str">
        <f>IF(T53="","",T53)</f>
        <v>Добавить схему подключения</v>
      </c>
      <c r="AQ53" s="1794"/>
      <c r="AR53" s="1794"/>
      <c r="AS53" s="1801">
        <v>14</v>
      </c>
    </row>
    <row s="11993" customFormat="1" customHeight="1" ht="1.05">
      <c r="A54" s="1437" t="s">
        <v>224</v>
      </c>
      <c r="B54" s="1437" t="s">
        <v>225</v>
      </c>
      <c r="C54" s="1437" t="s">
        <v>226</v>
      </c>
      <c r="D54" s="2144"/>
      <c r="E54" s="2460"/>
      <c r="F54" s="2460"/>
      <c r="G54" s="2459"/>
      <c r="H54" s="2144"/>
      <c r="I54" s="2144"/>
      <c r="J54" s="2144"/>
      <c r="K54" s="2144"/>
      <c r="L54" s="1550"/>
      <c r="M54" s="1780"/>
      <c r="N54" s="1780"/>
      <c r="O54" s="1805"/>
      <c r="P54" s="1486"/>
      <c r="Q54" s="1487"/>
      <c r="R54" s="1486"/>
      <c r="S54" s="1492"/>
      <c r="T54" s="1495" t="s">
        <v>165</v>
      </c>
      <c r="U54" s="1494"/>
      <c r="V54" s="1494"/>
      <c r="W54" s="1494"/>
      <c r="X54" s="1494"/>
      <c r="Y54" s="1494"/>
      <c r="Z54" s="1494"/>
      <c r="AA54" s="1494"/>
      <c r="AB54" s="1494"/>
      <c r="AC54" s="1494"/>
      <c r="AD54" s="1494"/>
      <c r="AE54" s="1494"/>
      <c r="AF54" s="1494"/>
      <c r="AG54" s="1494"/>
      <c r="AH54" s="1494"/>
      <c r="AI54" s="1494"/>
      <c r="AJ54" s="1494"/>
      <c r="AK54" s="1494"/>
      <c r="AL54" s="1494"/>
      <c r="AM54" s="1494"/>
      <c r="AO54" s="1421"/>
      <c r="AP54" s="1421" t="str">
        <f>IF(T54="","",T54)</f>
        <v>Добавить источник для дифференциации</v>
      </c>
      <c r="AQ54" s="1421"/>
      <c r="AR54" s="1421"/>
      <c r="AS54" s="1812">
        <v>1</v>
      </c>
    </row>
    <row s="11993" customFormat="1" customHeight="1" ht="1.05">
      <c r="A55" s="1437" t="s">
        <v>224</v>
      </c>
      <c r="B55" s="1437" t="s">
        <v>225</v>
      </c>
      <c r="C55" s="2144"/>
      <c r="D55" s="2144"/>
      <c r="E55" s="2460"/>
      <c r="F55" s="2459"/>
      <c r="G55" s="2144"/>
      <c r="H55" s="2144"/>
      <c r="I55" s="2144"/>
      <c r="J55" s="2144"/>
      <c r="K55" s="2144"/>
      <c r="L55" s="1550"/>
      <c r="M55" s="2145"/>
      <c r="N55" s="2145"/>
      <c r="O55" s="1805"/>
      <c r="P55" s="1486"/>
      <c r="Q55" s="1487"/>
      <c r="R55" s="1486"/>
      <c r="S55" s="1492"/>
      <c r="T55" s="1495" t="s">
        <v>166</v>
      </c>
      <c r="U55" s="1494"/>
      <c r="V55" s="1494"/>
      <c r="W55" s="1494"/>
      <c r="X55" s="1494"/>
      <c r="Y55" s="1494"/>
      <c r="Z55" s="1494"/>
      <c r="AA55" s="1494"/>
      <c r="AB55" s="1494"/>
      <c r="AC55" s="1494"/>
      <c r="AD55" s="1494"/>
      <c r="AE55" s="1494"/>
      <c r="AF55" s="1494"/>
      <c r="AG55" s="1494"/>
      <c r="AH55" s="1494"/>
      <c r="AI55" s="1494"/>
      <c r="AJ55" s="1494"/>
      <c r="AK55" s="1494"/>
      <c r="AL55" s="1494"/>
      <c r="AM55" s="1494"/>
      <c r="AO55" s="1421"/>
      <c r="AP55" s="1421" t="str">
        <f>IF(T55="","",T55)</f>
        <v>Добавить централизованную систему для дифференциации</v>
      </c>
      <c r="AQ55" s="1421"/>
      <c r="AR55" s="1421"/>
      <c r="AS55" s="1812">
        <v>1</v>
      </c>
    </row>
    <row s="11993" customFormat="1" customHeight="1" ht="1.05">
      <c r="A56" s="1437" t="s">
        <v>224</v>
      </c>
      <c r="B56" s="1437"/>
      <c r="C56" s="1437"/>
      <c r="D56" s="1437"/>
      <c r="E56" s="2459"/>
      <c r="F56" s="1437"/>
      <c r="G56" s="1437"/>
      <c r="H56" s="1437"/>
      <c r="I56" s="1437"/>
      <c r="J56" s="1437"/>
      <c r="K56" s="1437"/>
      <c r="L56" s="1480"/>
      <c r="M56" s="2145"/>
      <c r="N56" s="2145"/>
      <c r="O56" s="1805"/>
      <c r="P56" s="550"/>
      <c r="Q56" s="1514"/>
      <c r="R56" s="550"/>
      <c r="S56" s="1492"/>
      <c r="T56" s="1495" t="s">
        <v>167</v>
      </c>
      <c r="U56" s="1494"/>
      <c r="V56" s="1494"/>
      <c r="W56" s="1494"/>
      <c r="X56" s="1494"/>
      <c r="Y56" s="1494"/>
      <c r="Z56" s="1494"/>
      <c r="AA56" s="1494"/>
      <c r="AB56" s="1494"/>
      <c r="AC56" s="1494"/>
      <c r="AD56" s="1494"/>
      <c r="AE56" s="1494"/>
      <c r="AF56" s="1494"/>
      <c r="AG56" s="1494"/>
      <c r="AH56" s="1494"/>
      <c r="AI56" s="1494"/>
      <c r="AJ56" s="1494"/>
      <c r="AK56" s="1494"/>
      <c r="AL56" s="1494"/>
      <c r="AM56" s="1494"/>
      <c r="AO56" s="1794"/>
      <c r="AP56" s="1794" t="str">
        <f>IF(T56="","",T56)</f>
        <v>Добавить территорию для дифференциации</v>
      </c>
      <c r="AQ56" s="1794"/>
      <c r="AR56" s="1794"/>
      <c r="AS56" s="1806">
        <v>1</v>
      </c>
    </row>
    <row s="11993" customFormat="1" customHeight="1" ht="1.05">
      <c r="A57" s="2144"/>
      <c r="B57" s="2144"/>
      <c r="C57" s="2144"/>
      <c r="D57" s="2144"/>
      <c r="E57" s="1437"/>
      <c r="F57" s="2144"/>
      <c r="G57" s="2144"/>
      <c r="H57" s="2144"/>
      <c r="I57" s="2144"/>
      <c r="J57" s="2144"/>
      <c r="K57" s="2144"/>
      <c r="L57" s="1550"/>
      <c r="M57" s="2145"/>
      <c r="N57" s="2145"/>
      <c r="O57" s="1805"/>
      <c r="P57" s="1486"/>
      <c r="Q57" s="1487"/>
      <c r="R57" s="1486"/>
      <c r="S57" s="1492"/>
      <c r="T57" s="1495" t="s">
        <v>168</v>
      </c>
      <c r="U57" s="1494"/>
      <c r="V57" s="1494"/>
      <c r="W57" s="1494"/>
      <c r="X57" s="1494"/>
      <c r="Y57" s="1494"/>
      <c r="Z57" s="1494"/>
      <c r="AA57" s="1494"/>
      <c r="AB57" s="1494"/>
      <c r="AC57" s="1494"/>
      <c r="AD57" s="1494"/>
      <c r="AE57" s="1494"/>
      <c r="AF57" s="1494"/>
      <c r="AG57" s="1494"/>
      <c r="AH57" s="1494"/>
      <c r="AI57" s="1494"/>
      <c r="AJ57" s="1494"/>
      <c r="AK57" s="1494"/>
      <c r="AL57" s="1494"/>
      <c r="AM57" s="1494"/>
      <c r="AO57" s="1421"/>
      <c r="AP57" s="1421" t="str">
        <f>IF(T57="","",T57)</f>
        <v>Добавить наименование тарифа</v>
      </c>
      <c r="AQ57" s="1421"/>
      <c r="AR57" s="1421"/>
      <c r="AS57" s="1812">
        <v>1</v>
      </c>
    </row>
    <row customHeight="1" ht="11.549999999999999">
      <c r="M58" s="1801"/>
      <c r="N58" s="1801"/>
      <c r="O58" s="1805"/>
      <c r="P58" s="1801"/>
      <c r="Q58" s="1801"/>
      <c r="R58" s="1801"/>
      <c r="S58" s="1801"/>
      <c r="AN58" s="1801"/>
      <c r="AO58" s="1801"/>
      <c r="AP58" s="1801"/>
      <c r="AQ58" s="1801"/>
      <c r="AR58" s="1801"/>
      <c r="AS58" s="1801">
        <v>11</v>
      </c>
    </row>
    <row customHeight="1" ht="28.5">
      <c r="O59" s="1805"/>
      <c r="S59" s="1423"/>
      <c r="T59" s="2455"/>
      <c r="U59" s="2455"/>
      <c r="V59" s="2455"/>
      <c r="W59" s="2455"/>
      <c r="X59" s="2455"/>
      <c r="Y59" s="2455"/>
      <c r="Z59" s="2455"/>
      <c r="AA59" s="2455"/>
      <c r="AB59" s="2455"/>
      <c r="AC59" s="2455"/>
      <c r="AD59" s="2455"/>
      <c r="AE59" s="2455"/>
      <c r="AF59" s="2455"/>
      <c r="AG59" s="2455"/>
      <c r="AH59" s="2455"/>
      <c r="AI59" s="2455"/>
      <c r="AJ59" s="2455"/>
      <c r="AK59" s="2455"/>
      <c r="AL59" s="2455"/>
      <c r="AM59" s="2455"/>
      <c r="AS59" s="1801">
        <v>27</v>
      </c>
    </row>
    <row customHeight="1" ht="65.25">
      <c r="O60" s="1805"/>
      <c r="T60" s="2455"/>
      <c r="U60" s="2455"/>
      <c r="V60" s="2455"/>
      <c r="W60" s="2455"/>
      <c r="X60" s="2455"/>
      <c r="Y60" s="2455"/>
      <c r="Z60" s="2455"/>
      <c r="AA60" s="2455"/>
      <c r="AB60" s="2455"/>
      <c r="AC60" s="2455"/>
      <c r="AD60" s="2455"/>
      <c r="AE60" s="2455"/>
      <c r="AF60" s="2455"/>
      <c r="AG60" s="2455"/>
      <c r="AH60" s="2455"/>
      <c r="AI60" s="2455"/>
      <c r="AJ60" s="2455"/>
      <c r="AK60" s="2455"/>
      <c r="AL60" s="2455"/>
      <c r="AM60" s="2455"/>
      <c r="AS60" s="1801">
        <v>62</v>
      </c>
    </row>
    <row customHeight="1" ht="14.699999999999998">
      <c r="O61" s="1805"/>
      <c r="AS61" s="1801">
        <v>14</v>
      </c>
    </row>
    <row customHeight="1" ht="18.75">
      <c r="O62" s="1805"/>
      <c r="S62" s="1423"/>
      <c r="T62" s="2455"/>
      <c r="U62" s="2455"/>
      <c r="V62" s="2455"/>
      <c r="W62" s="2455"/>
      <c r="X62" s="2455"/>
      <c r="Y62" s="2455"/>
      <c r="Z62" s="2455"/>
      <c r="AA62" s="2455"/>
      <c r="AB62" s="2455"/>
      <c r="AC62" s="2455"/>
      <c r="AD62" s="2455"/>
      <c r="AE62" s="2455"/>
      <c r="AF62" s="2455"/>
      <c r="AG62" s="2455"/>
      <c r="AH62" s="2455"/>
      <c r="AI62" s="2455"/>
      <c r="AJ62" s="2455"/>
      <c r="AK62" s="2455"/>
      <c r="AL62" s="2455"/>
      <c r="AM62" s="2455"/>
      <c r="AS62" s="1801">
        <v>18</v>
      </c>
    </row>
    <row customHeight="1" ht="18.75">
      <c r="O63" s="1805"/>
      <c r="T63" s="2455"/>
      <c r="U63" s="2455"/>
      <c r="V63" s="2455"/>
      <c r="W63" s="2455"/>
      <c r="X63" s="2455"/>
      <c r="Y63" s="2455"/>
      <c r="Z63" s="2455"/>
      <c r="AA63" s="2455"/>
      <c r="AB63" s="2455"/>
      <c r="AC63" s="2455"/>
      <c r="AD63" s="2455"/>
      <c r="AE63" s="2455"/>
      <c r="AF63" s="2455"/>
      <c r="AG63" s="2455"/>
      <c r="AH63" s="2455"/>
      <c r="AI63" s="2455"/>
      <c r="AJ63" s="2455"/>
      <c r="AK63" s="2455"/>
      <c r="AL63" s="2455"/>
      <c r="AM63" s="2455"/>
      <c r="AS63" s="1801">
        <v>18</v>
      </c>
    </row>
    <row customHeight="1" ht="29.25">
      <c r="O64" s="1805"/>
      <c r="S64" s="1423"/>
      <c r="T64" s="2455"/>
      <c r="U64" s="2455"/>
      <c r="V64" s="2455"/>
      <c r="W64" s="2455"/>
      <c r="X64" s="2455"/>
      <c r="Y64" s="2455"/>
      <c r="Z64" s="2455"/>
      <c r="AA64" s="2455"/>
      <c r="AB64" s="2455"/>
      <c r="AC64" s="2455"/>
      <c r="AD64" s="2455"/>
      <c r="AE64" s="2455"/>
      <c r="AF64" s="2455"/>
      <c r="AG64" s="2455"/>
      <c r="AH64" s="2455"/>
      <c r="AI64" s="2455"/>
      <c r="AJ64" s="2455"/>
      <c r="AK64" s="2455"/>
      <c r="AL64" s="2455"/>
      <c r="AM64" s="2455"/>
      <c r="AS64" s="1801">
        <v>28</v>
      </c>
    </row>
    <row customHeight="1" ht="22.5" hidden="1">
      <c r="A65" s="1801" t="s">
        <v>85</v>
      </c>
      <c r="B65" s="1801">
        <v>0</v>
      </c>
      <c r="C65" s="1801">
        <v>0</v>
      </c>
      <c r="D65" s="1801">
        <v>0</v>
      </c>
      <c r="E65" s="1801">
        <v>0</v>
      </c>
      <c r="F65" s="1801">
        <v>0</v>
      </c>
      <c r="G65" s="1801">
        <v>0</v>
      </c>
      <c r="H65" s="1801">
        <v>0</v>
      </c>
      <c r="I65" s="1801">
        <v>0</v>
      </c>
      <c r="J65" s="1801">
        <v>0</v>
      </c>
      <c r="K65" s="1801">
        <v>0</v>
      </c>
      <c r="L65" s="2109">
        <v>0</v>
      </c>
      <c r="M65" s="2135">
        <v>0</v>
      </c>
      <c r="N65" s="2135">
        <v>0</v>
      </c>
      <c r="O65" s="2135">
        <v>0</v>
      </c>
      <c r="P65" s="2135">
        <v>3</v>
      </c>
      <c r="Q65" s="514">
        <v>3</v>
      </c>
      <c r="R65" s="514">
        <v>3</v>
      </c>
      <c r="S65" s="751">
        <v>12</v>
      </c>
      <c r="T65" s="1801">
        <v>31</v>
      </c>
      <c r="U65" s="1801">
        <v>0</v>
      </c>
      <c r="V65" s="1801">
        <v>0</v>
      </c>
      <c r="W65" s="1801">
        <v>0</v>
      </c>
      <c r="X65" s="1801">
        <v>0</v>
      </c>
      <c r="Y65" s="1801">
        <v>0</v>
      </c>
      <c r="Z65" s="1801">
        <v>0</v>
      </c>
      <c r="AA65" s="1801">
        <v>0</v>
      </c>
      <c r="AB65" s="1801">
        <v>0</v>
      </c>
      <c r="AC65" s="1801">
        <v>0</v>
      </c>
      <c r="AD65" s="1801">
        <v>24</v>
      </c>
      <c r="AE65" s="1801">
        <v>0</v>
      </c>
      <c r="AF65" s="1801">
        <v>24</v>
      </c>
      <c r="AG65" s="1801">
        <v>24</v>
      </c>
      <c r="AH65" s="1801">
        <v>11</v>
      </c>
      <c r="AI65" s="1801">
        <v>3</v>
      </c>
      <c r="AJ65" s="1801">
        <v>11</v>
      </c>
      <c r="AK65" s="1801">
        <v>0</v>
      </c>
      <c r="AL65" s="1801">
        <v>4</v>
      </c>
      <c r="AM65" s="1801">
        <v>115</v>
      </c>
      <c r="AN65" s="1806">
        <v>10</v>
      </c>
      <c r="AO65" s="1806">
        <v>10</v>
      </c>
      <c r="AP65" s="1806">
        <v>10</v>
      </c>
      <c r="AQ65" s="1806">
        <v>10</v>
      </c>
      <c r="AR65" s="1806">
        <v>10</v>
      </c>
      <c r="AS65" s="180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A482A4-7A03-EA04-B8EF-9648DEA6B45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1992" width="10.57421875" hidden="1"/>
    <col min="2" max="2" style="11992" width="11.00390625" hidden="1" customWidth="1"/>
    <col min="3" max="3" style="11992" width="10.57421875" hidden="1"/>
    <col min="4" max="4" style="11992" width="11.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2.00390625" hidden="1" customWidth="1"/>
    <col min="10" max="10" style="11992" width="9.8515625" hidden="1" customWidth="1"/>
    <col min="11" max="11" style="11992" width="11.421875" hidden="1" customWidth="1"/>
    <col min="12" max="12" style="13388" width="19.140625" hidden="1" customWidth="1"/>
    <col min="13" max="14" style="13389" width="12.28125" hidden="1" customWidth="1"/>
    <col min="15" max="15" style="13389" width="23.421875" hidden="1" customWidth="1"/>
    <col min="16" max="16" style="13390" width="3.00390625" customWidth="1"/>
    <col min="17" max="18" style="13391" width="3.00390625" customWidth="1"/>
    <col min="19" max="19" style="13392" width="12.00390625" customWidth="1"/>
    <col min="20" max="20" style="11913" width="31.00390625" customWidth="1"/>
    <col min="21" max="21" style="11913" width="0.7109375" hidden="1" customWidth="1"/>
    <col min="22" max="22" style="11913" width="1.7109375" hidden="1" customWidth="1"/>
    <col min="23" max="23" style="11913" width="24.7109375" hidden="1" customWidth="1"/>
    <col min="24" max="25" style="11913" width="0.140625" hidden="1" customWidth="1"/>
    <col min="26" max="26" style="11913" width="11.7109375" hidden="1" customWidth="1"/>
    <col min="27" max="27" style="11913" width="3.7109375" hidden="1" customWidth="1"/>
    <col min="28" max="28" style="11913" width="11.7109375" hidden="1" customWidth="1"/>
    <col min="29" max="29" style="11913" width="8.57421875" hidden="1" customWidth="1"/>
    <col min="30" max="30" style="11913" width="0.140625" customWidth="1"/>
    <col min="31" max="31" style="11913" width="24.00390625" customWidth="1"/>
    <col min="32" max="33" style="11913" width="0.140625" customWidth="1"/>
    <col min="34" max="34" style="11913" width="11.00390625" customWidth="1"/>
    <col min="35" max="35" style="11913" width="3.7109375" customWidth="1"/>
    <col min="36" max="36" style="11913" width="11.00390625" customWidth="1"/>
    <col min="37" max="37" style="11913" width="8.57421875" hidden="1" customWidth="1"/>
    <col min="38" max="38" style="11913" width="4.00390625" customWidth="1"/>
    <col min="39" max="39" style="11913" width="115.00390625" customWidth="1"/>
    <col min="40" max="44" style="11993" width="10.00390625" customWidth="1"/>
    <col min="45" max="45" style="11913" width="10.57421875" hidden="1"/>
  </cols>
  <sheetData>
    <row customHeight="1" ht="22.5" hidden="1">
      <c r="Y1" s="497"/>
      <c r="Z1" s="497"/>
      <c r="AG1" s="497"/>
      <c r="AH1" s="497"/>
      <c r="AS1" s="1325" t="s">
        <v>14</v>
      </c>
    </row>
    <row customHeight="1" ht="21" hidden="1">
      <c r="A2" s="1533"/>
      <c r="B2" s="1533"/>
      <c r="C2" s="1533"/>
      <c r="D2" s="1533"/>
      <c r="E2" s="2428">
        <v>1</v>
      </c>
      <c r="F2" s="1533"/>
      <c r="G2" s="1533"/>
      <c r="H2" s="1533"/>
      <c r="I2" s="1533"/>
      <c r="J2" s="1533"/>
      <c r="K2" s="1533"/>
      <c r="L2" s="1534"/>
      <c r="M2" s="1535"/>
      <c r="N2" s="1535"/>
      <c r="O2" s="1535"/>
      <c r="P2" s="531"/>
      <c r="Q2" s="530"/>
      <c r="R2" s="525"/>
      <c r="S2" s="1506">
        <f>INDEX(PT_DIFFERENTIATION_NUM_NTAR,MATCH(A2,PT_DIFFERENTIATION_NTAR_ID,0))</f>
      </c>
      <c r="T2" s="468" t="s">
        <v>126</v>
      </c>
      <c r="U2" s="470"/>
      <c r="V2" s="2412"/>
      <c r="W2" s="2413"/>
      <c r="X2" s="2413"/>
      <c r="Y2" s="2413"/>
      <c r="Z2" s="2413"/>
      <c r="AA2" s="2413"/>
      <c r="AB2" s="2413"/>
      <c r="AC2" s="2414"/>
      <c r="AD2" s="2412">
        <f>INDEX(PT_DIFFERENTIATION_NTAR,MATCH(A2,PT_DIFFERENTIATION_NTAR_ID,0))</f>
      </c>
      <c r="AE2" s="2413"/>
      <c r="AF2" s="2413"/>
      <c r="AG2" s="2413"/>
      <c r="AH2" s="2413"/>
      <c r="AI2" s="2413"/>
      <c r="AJ2" s="2413"/>
      <c r="AK2" s="2413"/>
      <c r="AL2" s="2414"/>
      <c r="AM2" s="1428" t="s">
        <v>408</v>
      </c>
      <c r="AO2" s="670"/>
      <c r="AP2" s="670" t="str">
        <f>IF(T2="","",T2)</f>
        <v>Наименование тарифа</v>
      </c>
      <c r="AQ2" s="670"/>
      <c r="AR2" s="670"/>
      <c r="AS2" s="1325">
        <v>0</v>
      </c>
    </row>
    <row customHeight="1" ht="21" hidden="1">
      <c r="A3" s="1533"/>
      <c r="B3" s="1533"/>
      <c r="C3" s="1533"/>
      <c r="D3" s="1533"/>
      <c r="E3" s="2429"/>
      <c r="F3" s="2428">
        <v>1</v>
      </c>
      <c r="G3" s="1533"/>
      <c r="H3" s="1533"/>
      <c r="I3" s="1533"/>
      <c r="J3" s="1533"/>
      <c r="K3" s="1533"/>
      <c r="L3" s="1534"/>
      <c r="M3" s="1535"/>
      <c r="N3" s="1535"/>
      <c r="O3" s="1535"/>
      <c r="P3" s="1502"/>
      <c r="Q3" s="522"/>
      <c r="R3" s="523"/>
      <c r="S3" s="1506">
        <f>INDEX(PT_DIFFERENTIATION_NUM_TER,MATCH(B3,PT_DIFFERENTIATION_TER_ID,0))</f>
      </c>
      <c r="T3" s="478" t="s">
        <v>409</v>
      </c>
      <c r="U3" s="470"/>
      <c r="V3" s="2412"/>
      <c r="W3" s="2413"/>
      <c r="X3" s="2413"/>
      <c r="Y3" s="2413"/>
      <c r="Z3" s="2413"/>
      <c r="AA3" s="2413"/>
      <c r="AB3" s="2413"/>
      <c r="AC3" s="2414"/>
      <c r="AD3" s="2412">
        <f>INDEX(PT_DIFFERENTIATION_TER,MATCH(B3,PT_DIFFERENTIATION_TER_ID,0))</f>
      </c>
      <c r="AE3" s="2413"/>
      <c r="AF3" s="2413"/>
      <c r="AG3" s="2413"/>
      <c r="AH3" s="2413"/>
      <c r="AI3" s="2413"/>
      <c r="AJ3" s="2413"/>
      <c r="AK3" s="2413"/>
      <c r="AL3" s="2414"/>
      <c r="AM3" s="1428" t="s">
        <v>410</v>
      </c>
      <c r="AO3" s="670"/>
      <c r="AP3" s="670" t="str">
        <f>IF(T3="","",T3)</f>
        <v>Территория действия тарифа</v>
      </c>
      <c r="AQ3" s="670"/>
      <c r="AR3" s="670"/>
      <c r="AS3" s="1325">
        <v>0</v>
      </c>
    </row>
    <row customHeight="1" ht="23.25" hidden="1">
      <c r="A4" s="1533"/>
      <c r="B4" s="1533"/>
      <c r="C4" s="1533"/>
      <c r="D4" s="1533"/>
      <c r="E4" s="2429"/>
      <c r="F4" s="2429"/>
      <c r="G4" s="2428">
        <v>1</v>
      </c>
      <c r="H4" s="1533"/>
      <c r="I4" s="1533"/>
      <c r="J4" s="1533"/>
      <c r="K4" s="1533"/>
      <c r="L4" s="1534"/>
      <c r="M4" s="1535"/>
      <c r="N4" s="1535"/>
      <c r="O4" s="1535"/>
      <c r="P4" s="524"/>
      <c r="Q4" s="522"/>
      <c r="R4" s="523"/>
      <c r="S4" s="1506">
        <f>INDEX(PT_DIFFERENTIATION_NUM_CS,MATCH(C4,PT_DIFFERENTIATION_CS_ID,0))</f>
      </c>
      <c r="T4" s="479" t="s">
        <v>411</v>
      </c>
      <c r="U4" s="470"/>
      <c r="V4" s="2412"/>
      <c r="W4" s="2413"/>
      <c r="X4" s="2413"/>
      <c r="Y4" s="2413"/>
      <c r="Z4" s="2413"/>
      <c r="AA4" s="2413"/>
      <c r="AB4" s="2413"/>
      <c r="AC4" s="2414"/>
      <c r="AD4" s="2412">
        <f>INDEX(PT_DIFFERENTIATION_CS,MATCH(C4,PT_DIFFERENTIATION_CS_ID,0))</f>
      </c>
      <c r="AE4" s="2413"/>
      <c r="AF4" s="2413"/>
      <c r="AG4" s="2413"/>
      <c r="AH4" s="2413"/>
      <c r="AI4" s="2413"/>
      <c r="AJ4" s="2413"/>
      <c r="AK4" s="2413"/>
      <c r="AL4" s="2414"/>
      <c r="AM4" s="1428" t="s">
        <v>412</v>
      </c>
      <c r="AO4" s="670"/>
      <c r="AP4" s="670" t="str">
        <f>IF(T4="","",T4)</f>
        <v>Наименование системы теплоснабжения </v>
      </c>
      <c r="AQ4" s="670"/>
      <c r="AR4" s="670"/>
      <c r="AS4" s="1325">
        <v>0</v>
      </c>
    </row>
    <row customHeight="1" ht="21" hidden="1">
      <c r="A5" s="1533"/>
      <c r="B5" s="1533"/>
      <c r="C5" s="1533"/>
      <c r="D5" s="1533"/>
      <c r="E5" s="2429"/>
      <c r="F5" s="2429"/>
      <c r="G5" s="2429"/>
      <c r="H5" s="2428">
        <v>1</v>
      </c>
      <c r="I5" s="1533"/>
      <c r="J5" s="1533"/>
      <c r="K5" s="1533"/>
      <c r="L5" s="1534"/>
      <c r="M5" s="1535"/>
      <c r="N5" s="1535"/>
      <c r="O5" s="1535"/>
      <c r="P5" s="524"/>
      <c r="Q5" s="522"/>
      <c r="R5" s="523"/>
      <c r="S5" s="1506">
        <f>INDEX(PT_DIFFERENTIATION_NUM_IST_TE,MATCH(D5,PT_DIFFERENTIATION_IST_TE_ID,0))</f>
      </c>
      <c r="T5" s="480" t="s">
        <v>413</v>
      </c>
      <c r="U5" s="470"/>
      <c r="V5" s="2412"/>
      <c r="W5" s="2413"/>
      <c r="X5" s="2413"/>
      <c r="Y5" s="2413"/>
      <c r="Z5" s="2413"/>
      <c r="AA5" s="2413"/>
      <c r="AB5" s="2413"/>
      <c r="AC5" s="2414"/>
      <c r="AD5" s="2412">
        <f>INDEX(PT_DIFFERENTIATION_IST_TE,MATCH(D5,PT_DIFFERENTIATION_IST_TE_ID,0))</f>
      </c>
      <c r="AE5" s="2413"/>
      <c r="AF5" s="2413"/>
      <c r="AG5" s="2413"/>
      <c r="AH5" s="2413"/>
      <c r="AI5" s="2413"/>
      <c r="AJ5" s="2413"/>
      <c r="AK5" s="2413"/>
      <c r="AL5" s="2414"/>
      <c r="AM5" s="1428" t="s">
        <v>414</v>
      </c>
      <c r="AO5" s="670"/>
      <c r="AP5" s="670" t="str">
        <f>IF(T5="","",T5)</f>
        <v>Источник тепловой энергии  </v>
      </c>
      <c r="AQ5" s="670"/>
      <c r="AR5" s="670"/>
      <c r="AS5" s="1325">
        <v>0</v>
      </c>
    </row>
    <row customHeight="1" ht="47.25" hidden="1">
      <c r="A6" s="1533"/>
      <c r="B6" s="1533"/>
      <c r="C6" s="1533"/>
      <c r="D6" s="1533"/>
      <c r="E6" s="2429"/>
      <c r="F6" s="2429"/>
      <c r="G6" s="2429"/>
      <c r="H6" s="2429"/>
      <c r="I6" s="2426">
        <f>S5&amp;".1"</f>
      </c>
      <c r="J6" s="1533"/>
      <c r="K6" s="1533"/>
      <c r="L6" s="1534" t="s">
        <v>415</v>
      </c>
      <c r="M6" s="707"/>
      <c r="P6" s="2427">
        <v>1</v>
      </c>
      <c r="Q6" s="1501"/>
      <c r="R6" s="526"/>
      <c r="S6" s="1506">
        <f>$I6</f>
      </c>
      <c r="T6" s="455" t="s">
        <v>416</v>
      </c>
      <c r="U6" s="470"/>
      <c r="V6" s="2415"/>
      <c r="W6" s="2416"/>
      <c r="X6" s="2416"/>
      <c r="Y6" s="2416"/>
      <c r="Z6" s="2416"/>
      <c r="AA6" s="2416"/>
      <c r="AB6" s="2416"/>
      <c r="AC6" s="2417"/>
      <c r="AD6" s="2415"/>
      <c r="AE6" s="2416"/>
      <c r="AF6" s="2416"/>
      <c r="AG6" s="2416"/>
      <c r="AH6" s="2416"/>
      <c r="AI6" s="2416"/>
      <c r="AJ6" s="2416"/>
      <c r="AK6" s="2416"/>
      <c r="AL6" s="2417"/>
      <c r="AM6" s="1428" t="s">
        <v>417</v>
      </c>
      <c r="AO6" s="670"/>
      <c r="AP6" s="670" t="str">
        <f>IF(T6="","",T6)</f>
        <v>Схема подключения теплопотребляющей установки к коллектору источника тепловой энергии</v>
      </c>
      <c r="AQ6" s="670"/>
      <c r="AR6" s="670"/>
      <c r="AS6" s="1325">
        <v>0</v>
      </c>
    </row>
    <row customHeight="1" ht="21" hidden="1">
      <c r="A7" s="1533"/>
      <c r="B7" s="1533"/>
      <c r="C7" s="1533"/>
      <c r="D7" s="1533"/>
      <c r="E7" s="2429"/>
      <c r="F7" s="2429"/>
      <c r="G7" s="2429"/>
      <c r="H7" s="2429"/>
      <c r="I7" s="2456"/>
      <c r="J7" s="2426">
        <f>I6&amp;".1"</f>
      </c>
      <c r="K7" s="1533"/>
      <c r="L7" s="1534" t="s">
        <v>418</v>
      </c>
      <c r="M7" s="707"/>
      <c r="N7" s="1536"/>
      <c r="P7" s="2427"/>
      <c r="Q7" s="2427">
        <v>1</v>
      </c>
      <c r="R7" s="527"/>
      <c r="S7" s="1506">
        <f>$J7</f>
      </c>
      <c r="T7" s="456" t="s">
        <v>419</v>
      </c>
      <c r="U7" s="470"/>
      <c r="V7" s="2415"/>
      <c r="W7" s="2416"/>
      <c r="X7" s="2416"/>
      <c r="Y7" s="2416"/>
      <c r="Z7" s="2416"/>
      <c r="AA7" s="2416"/>
      <c r="AB7" s="2416"/>
      <c r="AC7" s="2417"/>
      <c r="AD7" s="2415"/>
      <c r="AE7" s="2416"/>
      <c r="AF7" s="2416"/>
      <c r="AG7" s="2416"/>
      <c r="AH7" s="2416"/>
      <c r="AI7" s="2416"/>
      <c r="AJ7" s="2416"/>
      <c r="AK7" s="2416"/>
      <c r="AL7" s="2417"/>
      <c r="AM7" s="1428" t="s">
        <v>420</v>
      </c>
      <c r="AO7" s="670"/>
      <c r="AP7" s="670" t="str">
        <f>IF(T7="","",T7)</f>
        <v>Группа потребителей</v>
      </c>
      <c r="AQ7" s="670"/>
      <c r="AR7" s="670"/>
      <c r="AS7" s="1325">
        <v>0</v>
      </c>
    </row>
    <row customHeight="1" ht="21" hidden="1">
      <c r="A8" s="1533"/>
      <c r="B8" s="1533"/>
      <c r="C8" s="1533"/>
      <c r="D8" s="1533"/>
      <c r="E8" s="2429"/>
      <c r="F8" s="2429"/>
      <c r="G8" s="2429"/>
      <c r="H8" s="2429"/>
      <c r="I8" s="2456"/>
      <c r="J8" s="2456"/>
      <c r="K8" s="2426">
        <f>J7&amp;".1"</f>
      </c>
      <c r="L8" s="1534" t="s">
        <v>421</v>
      </c>
      <c r="M8" s="707"/>
      <c r="N8" s="1536"/>
      <c r="O8" s="1536"/>
      <c r="P8" s="2427"/>
      <c r="Q8" s="2427"/>
      <c r="R8" s="527">
        <v>1</v>
      </c>
      <c r="S8" s="1506">
        <f>$K8</f>
      </c>
      <c r="T8" s="1517"/>
      <c r="U8" s="470"/>
      <c r="V8" s="495"/>
      <c r="W8" s="921"/>
      <c r="X8" s="495"/>
      <c r="Y8" s="554"/>
      <c r="Z8" s="2435"/>
      <c r="AA8" s="2277" t="s">
        <v>64</v>
      </c>
      <c r="AB8" s="2435"/>
      <c r="AC8" s="2277" t="s">
        <v>64</v>
      </c>
      <c r="AD8" s="495"/>
      <c r="AE8" s="921"/>
      <c r="AF8" s="495"/>
      <c r="AG8" s="554"/>
      <c r="AH8" s="2435"/>
      <c r="AI8" s="2277" t="s">
        <v>64</v>
      </c>
      <c r="AJ8" s="2435"/>
      <c r="AK8" s="2277" t="s">
        <v>64</v>
      </c>
      <c r="AL8" s="495"/>
      <c r="AM8" s="2423" t="s">
        <v>422</v>
      </c>
      <c r="AN8" s="681">
        <f>STRCHECKDATE(V9:AL9)</f>
      </c>
      <c r="AO8" s="670"/>
      <c r="AP8" s="670" t="str">
        <f>IF(T8="","",T8)</f>
        <v/>
      </c>
      <c r="AQ8" s="670"/>
      <c r="AR8" s="670"/>
      <c r="AS8" s="1325">
        <v>0</v>
      </c>
    </row>
    <row customHeight="1" ht="0.75" hidden="1">
      <c r="A9" s="1533"/>
      <c r="B9" s="1533"/>
      <c r="C9" s="1533"/>
      <c r="D9" s="1533"/>
      <c r="E9" s="2429"/>
      <c r="F9" s="2429"/>
      <c r="G9" s="2429"/>
      <c r="H9" s="2429"/>
      <c r="I9" s="2456"/>
      <c r="J9" s="2456"/>
      <c r="K9" s="2426"/>
      <c r="L9" s="1534"/>
      <c r="M9" s="707"/>
      <c r="N9" s="1536"/>
      <c r="O9" s="1536"/>
      <c r="P9" s="2427"/>
      <c r="Q9" s="2427"/>
      <c r="R9" s="527"/>
      <c r="S9" s="1512"/>
      <c r="T9" s="470"/>
      <c r="U9" s="470"/>
      <c r="V9" s="495"/>
      <c r="W9" s="495"/>
      <c r="X9" s="495"/>
      <c r="Y9" s="498" t="str">
        <f>Z8&amp;"-"&amp;AB8</f>
        <v>-</v>
      </c>
      <c r="Z9" s="2436"/>
      <c r="AA9" s="2277"/>
      <c r="AB9" s="2436"/>
      <c r="AC9" s="2277"/>
      <c r="AD9" s="495"/>
      <c r="AE9" s="495"/>
      <c r="AF9" s="495"/>
      <c r="AG9" s="498" t="str">
        <f>AH8&amp;"-"&amp;AJ8</f>
        <v>-</v>
      </c>
      <c r="AH9" s="2436"/>
      <c r="AI9" s="2277"/>
      <c r="AJ9" s="2436"/>
      <c r="AK9" s="2277"/>
      <c r="AL9" s="495"/>
      <c r="AM9" s="2424"/>
      <c r="AO9" s="670"/>
      <c r="AP9" s="670" t="str">
        <f>IF(T9="","",T9)</f>
        <v/>
      </c>
      <c r="AQ9" s="670"/>
      <c r="AR9" s="670"/>
      <c r="AS9" s="1325">
        <v>0</v>
      </c>
    </row>
    <row customHeight="1" ht="15" hidden="1">
      <c r="A10" s="1533"/>
      <c r="B10" s="1533"/>
      <c r="C10" s="1533"/>
      <c r="D10" s="1533"/>
      <c r="E10" s="2429"/>
      <c r="F10" s="2429"/>
      <c r="G10" s="2429"/>
      <c r="H10" s="2429"/>
      <c r="I10" s="2456"/>
      <c r="J10" s="2426"/>
      <c r="K10" s="1533"/>
      <c r="L10" s="1534"/>
      <c r="M10" s="707"/>
      <c r="N10" s="1536"/>
      <c r="P10" s="2427"/>
      <c r="Q10" s="2427"/>
      <c r="R10" s="526"/>
      <c r="S10" s="1448"/>
      <c r="T10" s="458" t="s">
        <v>423</v>
      </c>
      <c r="U10" s="537"/>
      <c r="V10" s="537"/>
      <c r="W10" s="537"/>
      <c r="X10" s="537"/>
      <c r="Y10" s="537"/>
      <c r="Z10" s="537"/>
      <c r="AA10" s="537"/>
      <c r="AB10" s="537"/>
      <c r="AC10" s="537"/>
      <c r="AD10" s="537"/>
      <c r="AE10" s="537"/>
      <c r="AF10" s="537"/>
      <c r="AG10" s="537"/>
      <c r="AH10" s="537"/>
      <c r="AI10" s="537"/>
      <c r="AJ10" s="537"/>
      <c r="AK10" s="537"/>
      <c r="AL10" s="494"/>
      <c r="AM10" s="2425"/>
      <c r="AO10" s="670"/>
      <c r="AP10" s="670" t="str">
        <f>IF(T10="","",T10)</f>
        <v>Добавить вид теплоносителя (параметры теплоносителя)</v>
      </c>
      <c r="AQ10" s="670"/>
      <c r="AR10" s="670"/>
      <c r="AS10" s="1325">
        <v>0</v>
      </c>
    </row>
    <row customHeight="1" ht="15" hidden="1">
      <c r="A11" s="1533"/>
      <c r="B11" s="1533"/>
      <c r="C11" s="1533"/>
      <c r="D11" s="1533"/>
      <c r="E11" s="2429"/>
      <c r="F11" s="2429"/>
      <c r="G11" s="2429"/>
      <c r="H11" s="2429"/>
      <c r="I11" s="2426"/>
      <c r="J11" s="1533"/>
      <c r="K11" s="1533"/>
      <c r="L11" s="1534"/>
      <c r="M11" s="707"/>
      <c r="P11" s="2427"/>
      <c r="Q11" s="1501"/>
      <c r="R11" s="526"/>
      <c r="S11" s="1448"/>
      <c r="T11" s="457" t="s">
        <v>424</v>
      </c>
      <c r="U11" s="537"/>
      <c r="V11" s="537"/>
      <c r="W11" s="537"/>
      <c r="X11" s="537"/>
      <c r="Y11" s="537"/>
      <c r="Z11" s="537"/>
      <c r="AA11" s="537"/>
      <c r="AB11" s="537"/>
      <c r="AC11" s="536"/>
      <c r="AD11" s="537"/>
      <c r="AE11" s="537"/>
      <c r="AF11" s="537"/>
      <c r="AG11" s="537"/>
      <c r="AH11" s="537"/>
      <c r="AI11" s="537"/>
      <c r="AJ11" s="537"/>
      <c r="AK11" s="536"/>
      <c r="AL11" s="537"/>
      <c r="AM11" s="473"/>
      <c r="AO11" s="670"/>
      <c r="AP11" s="670" t="str">
        <f>IF(T11="","",T11)</f>
        <v>Добавить группу потребителей</v>
      </c>
      <c r="AQ11" s="670"/>
      <c r="AR11" s="670"/>
      <c r="AS11" s="1325">
        <v>0</v>
      </c>
    </row>
    <row customHeight="1" ht="14.25" hidden="1">
      <c r="A12" s="1533"/>
      <c r="B12" s="1533"/>
      <c r="C12" s="1533"/>
      <c r="D12" s="1533"/>
      <c r="E12" s="2429"/>
      <c r="F12" s="2429"/>
      <c r="G12" s="2429"/>
      <c r="H12" s="2428"/>
      <c r="I12" s="1533"/>
      <c r="J12" s="1533"/>
      <c r="K12" s="1533"/>
      <c r="L12" s="1534"/>
      <c r="M12" s="1535"/>
      <c r="N12" s="1535"/>
      <c r="O12" s="707"/>
      <c r="P12" s="530"/>
      <c r="Q12" s="545"/>
      <c r="R12" s="525"/>
      <c r="S12" s="1448"/>
      <c r="T12" s="535" t="s">
        <v>425</v>
      </c>
      <c r="U12" s="537"/>
      <c r="V12" s="537"/>
      <c r="W12" s="537"/>
      <c r="X12" s="537"/>
      <c r="Y12" s="537"/>
      <c r="Z12" s="537"/>
      <c r="AA12" s="537"/>
      <c r="AB12" s="537"/>
      <c r="AC12" s="536"/>
      <c r="AD12" s="537"/>
      <c r="AE12" s="537"/>
      <c r="AF12" s="537"/>
      <c r="AG12" s="537"/>
      <c r="AH12" s="537"/>
      <c r="AI12" s="537"/>
      <c r="AJ12" s="537"/>
      <c r="AK12" s="536"/>
      <c r="AL12" s="537"/>
      <c r="AM12" s="473"/>
      <c r="AO12" s="670"/>
      <c r="AP12" s="670" t="str">
        <f>IF(T12="","",T12)</f>
        <v>Добавить схему подключения</v>
      </c>
      <c r="AQ12" s="670"/>
      <c r="AR12" s="670"/>
      <c r="AS12" s="1325">
        <v>0</v>
      </c>
    </row>
    <row s="11993" customFormat="1" customHeight="1" ht="0.75" hidden="1">
      <c r="A13" s="1484"/>
      <c r="B13" s="1484"/>
      <c r="C13" s="1484"/>
      <c r="D13" s="1484"/>
      <c r="E13" s="2429"/>
      <c r="F13" s="2429"/>
      <c r="G13" s="2428"/>
      <c r="H13" s="1484"/>
      <c r="I13" s="1484"/>
      <c r="J13" s="1484"/>
      <c r="K13" s="1484"/>
      <c r="L13" s="1509"/>
      <c r="M13" s="1485"/>
      <c r="N13" s="1485"/>
      <c r="P13" s="1486"/>
      <c r="Q13" s="1487"/>
      <c r="R13" s="1486"/>
      <c r="S13" s="1488"/>
      <c r="T13" s="1489" t="s">
        <v>165</v>
      </c>
      <c r="U13" s="1490"/>
      <c r="V13" s="1490"/>
      <c r="W13" s="1490"/>
      <c r="X13" s="1490"/>
      <c r="Y13" s="1490"/>
      <c r="Z13" s="1490"/>
      <c r="AA13" s="1490"/>
      <c r="AB13" s="1490"/>
      <c r="AC13" s="1490"/>
      <c r="AD13" s="1490"/>
      <c r="AE13" s="1490"/>
      <c r="AF13" s="1490"/>
      <c r="AG13" s="1490"/>
      <c r="AH13" s="1490"/>
      <c r="AI13" s="1490"/>
      <c r="AJ13" s="1490"/>
      <c r="AK13" s="1490"/>
      <c r="AL13" s="1490"/>
      <c r="AM13" s="1490"/>
      <c r="AO13" s="959"/>
      <c r="AP13" s="959" t="str">
        <f>IF(T13="","",T13)</f>
        <v>Добавить источник для дифференциации</v>
      </c>
      <c r="AQ13" s="959"/>
      <c r="AR13" s="959"/>
      <c r="AS13" s="688">
        <v>0</v>
      </c>
    </row>
    <row s="11993" customFormat="1" customHeight="1" ht="0.75" hidden="1">
      <c r="A14" s="1484"/>
      <c r="B14" s="1484"/>
      <c r="C14" s="1484"/>
      <c r="D14" s="1484"/>
      <c r="E14" s="2429"/>
      <c r="F14" s="2428"/>
      <c r="G14" s="1484"/>
      <c r="H14" s="1484"/>
      <c r="I14" s="1484"/>
      <c r="J14" s="1484"/>
      <c r="K14" s="1484"/>
      <c r="L14" s="1509"/>
      <c r="M14" s="1491"/>
      <c r="N14" s="1491"/>
      <c r="P14" s="1486"/>
      <c r="Q14" s="1487"/>
      <c r="R14" s="1486"/>
      <c r="S14" s="1492"/>
      <c r="T14" s="1493" t="s">
        <v>166</v>
      </c>
      <c r="U14" s="1494"/>
      <c r="V14" s="1494"/>
      <c r="W14" s="1494"/>
      <c r="X14" s="1494"/>
      <c r="Y14" s="1494"/>
      <c r="Z14" s="1494"/>
      <c r="AA14" s="1494"/>
      <c r="AB14" s="1494"/>
      <c r="AC14" s="1494"/>
      <c r="AD14" s="1494"/>
      <c r="AE14" s="1494"/>
      <c r="AF14" s="1494"/>
      <c r="AG14" s="1494"/>
      <c r="AH14" s="1494"/>
      <c r="AI14" s="1494"/>
      <c r="AJ14" s="1494"/>
      <c r="AK14" s="1494"/>
      <c r="AL14" s="1494"/>
      <c r="AM14" s="1494"/>
      <c r="AO14" s="959"/>
      <c r="AP14" s="959" t="str">
        <f>IF(T14="","",T14)</f>
        <v>Добавить централизованную систему для дифференциации</v>
      </c>
      <c r="AQ14" s="959"/>
      <c r="AR14" s="959"/>
      <c r="AS14" s="688">
        <v>0</v>
      </c>
    </row>
    <row s="11993" customFormat="1" customHeight="1" ht="0.75" hidden="1">
      <c r="A15" s="1484"/>
      <c r="B15" s="1484"/>
      <c r="C15" s="1484"/>
      <c r="D15" s="1484"/>
      <c r="E15" s="2428"/>
      <c r="F15" s="1484"/>
      <c r="G15" s="1484"/>
      <c r="H15" s="1484"/>
      <c r="I15" s="1484"/>
      <c r="J15" s="1484"/>
      <c r="K15" s="1484"/>
      <c r="L15" s="1509"/>
      <c r="M15" s="1491"/>
      <c r="N15" s="1491"/>
      <c r="P15" s="1486"/>
      <c r="Q15" s="1487"/>
      <c r="R15" s="1486"/>
      <c r="S15" s="1492"/>
      <c r="T15" s="1495" t="s">
        <v>167</v>
      </c>
      <c r="U15" s="1494"/>
      <c r="V15" s="1494"/>
      <c r="W15" s="1494"/>
      <c r="X15" s="1494"/>
      <c r="Y15" s="1494"/>
      <c r="Z15" s="1494"/>
      <c r="AA15" s="1494"/>
      <c r="AB15" s="1494"/>
      <c r="AC15" s="1494"/>
      <c r="AD15" s="1494"/>
      <c r="AE15" s="1494"/>
      <c r="AF15" s="1494"/>
      <c r="AG15" s="1494"/>
      <c r="AH15" s="1494"/>
      <c r="AI15" s="1494"/>
      <c r="AJ15" s="1494"/>
      <c r="AK15" s="1494"/>
      <c r="AL15" s="1494"/>
      <c r="AM15" s="1494"/>
      <c r="AO15" s="959"/>
      <c r="AP15" s="959" t="str">
        <f>IF(T15="","",T15)</f>
        <v>Добавить территорию для дифференциации</v>
      </c>
      <c r="AQ15" s="959"/>
      <c r="AR15" s="959"/>
      <c r="AS15" s="688">
        <v>0</v>
      </c>
    </row>
    <row customHeight="1" ht="14.25" hidden="1">
      <c r="AC16" s="497"/>
      <c r="AK16" s="497"/>
      <c r="AS16" s="1325">
        <v>0</v>
      </c>
    </row>
    <row customHeight="1" ht="14.25" hidden="1">
      <c r="AD17" s="1530"/>
      <c r="AE17" s="1530"/>
      <c r="AF17" s="1530"/>
      <c r="AG17" s="1531"/>
      <c r="AH17" s="2437"/>
      <c r="AI17" s="2438" t="s">
        <v>64</v>
      </c>
      <c r="AJ17" s="2437"/>
      <c r="AK17" s="2438" t="s">
        <v>64</v>
      </c>
      <c r="AS17" s="1325">
        <v>0</v>
      </c>
    </row>
    <row customHeight="1" ht="14.25" hidden="1">
      <c r="AD18" s="1530"/>
      <c r="AE18" s="1530"/>
      <c r="AF18" s="1530"/>
      <c r="AG18" s="498" t="str">
        <f>AH17&amp;"-"&amp;AJ17</f>
        <v>-</v>
      </c>
      <c r="AH18" s="2438"/>
      <c r="AI18" s="2438"/>
      <c r="AJ18" s="2438"/>
      <c r="AK18" s="2438"/>
      <c r="AS18" s="1325">
        <v>0</v>
      </c>
    </row>
    <row customHeight="1" ht="14.25" hidden="1">
      <c r="AK19" s="497"/>
      <c r="AS19" s="1325">
        <v>0</v>
      </c>
    </row>
    <row s="11992" customFormat="1" customHeight="1" ht="22.5" hidden="1">
      <c r="L20" s="1499"/>
      <c r="M20" s="1532"/>
      <c r="N20" s="1532"/>
      <c r="O20" s="1537" t="s">
        <v>426</v>
      </c>
      <c r="P20" s="1532"/>
      <c r="Q20" s="1541"/>
      <c r="R20" s="1541"/>
      <c r="S20" s="899"/>
      <c r="Z20" s="1537"/>
      <c r="AB20" s="1537"/>
      <c r="AC20" s="1536"/>
      <c r="AH20" s="1537"/>
      <c r="AJ20" s="1537"/>
      <c r="AK20" s="1536"/>
      <c r="AN20" s="681"/>
      <c r="AO20" s="681"/>
      <c r="AP20" s="681"/>
      <c r="AQ20" s="681"/>
      <c r="AR20" s="681"/>
      <c r="AS20" s="1330">
        <v>0</v>
      </c>
    </row>
    <row s="11992" customFormat="1" customHeight="1" ht="14.25" hidden="1">
      <c r="L21" s="1499"/>
      <c r="M21" s="1532"/>
      <c r="N21" s="1532"/>
      <c r="O21" s="1532"/>
      <c r="P21" s="1532"/>
      <c r="Q21" s="1541"/>
      <c r="R21" s="1541"/>
      <c r="S21" s="899"/>
      <c r="AC21" s="1536"/>
      <c r="AK21" s="1536"/>
      <c r="AN21" s="681"/>
      <c r="AO21" s="681"/>
      <c r="AP21" s="681"/>
      <c r="AQ21" s="681"/>
      <c r="AR21" s="681"/>
      <c r="AS21" s="1330">
        <v>0</v>
      </c>
    </row>
    <row s="11992" customFormat="1" customHeight="1" ht="33.75" hidden="1">
      <c r="L22" s="1499"/>
      <c r="M22" s="1532"/>
      <c r="N22" s="1532"/>
      <c r="O22" s="1534" t="s">
        <v>427</v>
      </c>
      <c r="P22" s="1532"/>
      <c r="Q22" s="1541"/>
      <c r="R22" s="1541"/>
      <c r="S22" s="899"/>
      <c r="T22" s="1330" t="s">
        <v>428</v>
      </c>
      <c r="AA22" s="356" t="s">
        <v>429</v>
      </c>
      <c r="AC22" s="356" t="s">
        <v>430</v>
      </c>
      <c r="AD22" s="1330" t="s">
        <v>428</v>
      </c>
      <c r="AI22" s="356" t="s">
        <v>431</v>
      </c>
      <c r="AK22" s="356" t="s">
        <v>430</v>
      </c>
      <c r="AN22" s="681"/>
      <c r="AO22" s="681"/>
      <c r="AP22" s="681"/>
      <c r="AQ22" s="681"/>
      <c r="AR22" s="681"/>
      <c r="AS22" s="1330">
        <v>0</v>
      </c>
    </row>
    <row customHeight="1" ht="14.25" hidden="1">
      <c r="O23" s="1534"/>
      <c r="AS23" s="1325">
        <v>0</v>
      </c>
    </row>
    <row customHeight="1" ht="14.25" hidden="1">
      <c r="O24" s="1534"/>
      <c r="AS24" s="1325">
        <v>0</v>
      </c>
    </row>
    <row customHeight="1" ht="14.699999999999998">
      <c r="Q25" s="546"/>
      <c r="R25" s="546"/>
      <c r="S25" s="1445"/>
      <c r="T25" s="533"/>
      <c r="U25" s="533"/>
      <c r="V25" s="679"/>
      <c r="W25" s="679"/>
      <c r="X25" s="679"/>
      <c r="Y25" s="679"/>
      <c r="Z25" s="679"/>
      <c r="AA25" s="679"/>
      <c r="AB25" s="679"/>
      <c r="AC25" s="679"/>
      <c r="AD25" s="679"/>
      <c r="AE25" s="679"/>
      <c r="AF25" s="679"/>
      <c r="AG25" s="679"/>
      <c r="AH25" s="679"/>
      <c r="AI25" s="679"/>
      <c r="AJ25" s="679"/>
      <c r="AK25" s="679"/>
      <c r="AS25" s="1325">
        <v>14</v>
      </c>
    </row>
    <row customHeight="1" ht="29.25">
      <c r="Q26" s="546"/>
      <c r="R26" s="546"/>
      <c r="S26" s="2418"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418"/>
      <c r="U26" s="2418"/>
      <c r="V26" s="2418"/>
      <c r="W26" s="2418"/>
      <c r="X26" s="2418"/>
      <c r="Y26" s="2418"/>
      <c r="Z26" s="2418"/>
      <c r="AA26" s="2418"/>
      <c r="AB26" s="2418"/>
      <c r="AC26" s="2418"/>
      <c r="AD26" s="2418"/>
      <c r="AE26" s="2418"/>
      <c r="AF26" s="2418"/>
      <c r="AG26" s="2418"/>
      <c r="AH26" s="2418"/>
      <c r="AI26" s="2418"/>
      <c r="AJ26" s="2418"/>
      <c r="AK26" s="1413"/>
      <c r="AS26" s="1325">
        <v>28</v>
      </c>
    </row>
    <row customHeight="1" ht="14.699999999999998">
      <c r="Q27" s="546"/>
      <c r="R27" s="546"/>
      <c r="S27" s="2419" t="str">
        <f>IF(org=0,"Не определено",org)</f>
        <v>Филиал "Шатурская ГРЭС" ПАО "Юнипро"</v>
      </c>
      <c r="T27" s="2419"/>
      <c r="U27" s="2419"/>
      <c r="V27" s="2419"/>
      <c r="W27" s="2419"/>
      <c r="X27" s="2419"/>
      <c r="Y27" s="2419"/>
      <c r="Z27" s="2419"/>
      <c r="AA27" s="2419"/>
      <c r="AB27" s="2419"/>
      <c r="AC27" s="2419"/>
      <c r="AD27" s="2419"/>
      <c r="AE27" s="2419"/>
      <c r="AF27" s="2419"/>
      <c r="AG27" s="2419"/>
      <c r="AH27" s="2419"/>
      <c r="AI27" s="2419"/>
      <c r="AJ27" s="2419"/>
      <c r="AK27" s="1413"/>
      <c r="AS27" s="1325">
        <v>14</v>
      </c>
    </row>
    <row customHeight="1" ht="14.25">
      <c r="Q28" s="546"/>
      <c r="R28" s="546"/>
      <c r="S28" s="1445"/>
      <c r="T28" s="533"/>
      <c r="U28" s="533"/>
      <c r="V28" s="492"/>
      <c r="W28" s="492"/>
      <c r="X28" s="492"/>
      <c r="Y28" s="492"/>
      <c r="Z28" s="492"/>
      <c r="AA28" s="492"/>
      <c r="AB28" s="492"/>
      <c r="AC28" s="492"/>
      <c r="AD28" s="492"/>
      <c r="AE28" s="492"/>
      <c r="AF28" s="492"/>
      <c r="AG28" s="492"/>
      <c r="AH28" s="492"/>
      <c r="AI28" s="492"/>
      <c r="AJ28" s="492"/>
      <c r="AK28" s="492"/>
      <c r="AL28" s="679"/>
      <c r="AS28" s="1325">
        <v>0</v>
      </c>
    </row>
    <row s="12119" customFormat="1" customHeight="1" ht="25.5">
      <c r="A29" s="1538"/>
      <c r="B29" s="1538"/>
      <c r="C29" s="1538"/>
      <c r="D29" s="1538"/>
      <c r="E29" s="1538"/>
      <c r="F29" s="1538"/>
      <c r="G29" s="1538"/>
      <c r="H29" s="1538"/>
      <c r="I29" s="1538"/>
      <c r="J29" s="1538"/>
      <c r="K29" s="1538"/>
      <c r="L29" s="1539"/>
      <c r="M29" s="1538"/>
      <c r="N29" s="1538"/>
      <c r="O29" s="1538"/>
      <c r="S29" s="2420" t="s">
        <v>42</v>
      </c>
      <c r="T29" s="2420"/>
      <c r="U29" s="1542"/>
      <c r="V29" s="2421" t="str">
        <f>IF(TITLE_NAME_OR_PR_CHANGE="",IF(TITLE_NAME_OR_PR="","",TITLE_NAME_OR_PR),TITLE_NAME_OR_PR_CHANGE)</f>
        <v>Комитет по ценам и тарифам Московской области</v>
      </c>
      <c r="W29" s="2421"/>
      <c r="X29" s="2421"/>
      <c r="Y29" s="2421"/>
      <c r="Z29" s="2421"/>
      <c r="AA29" s="2421"/>
      <c r="AB29" s="2421"/>
      <c r="AC29" s="496"/>
      <c r="AD29" s="2421" t="str">
        <f>IF(TITLE_NAME_OR_PR_CHANGE="",IF(TITLE_NAME_OR_PR="","",TITLE_NAME_OR_PR),TITLE_NAME_OR_PR_CHANGE)</f>
        <v>Комитет по ценам и тарифам Московской области</v>
      </c>
      <c r="AE29" s="2421"/>
      <c r="AF29" s="2421"/>
      <c r="AG29" s="2421"/>
      <c r="AH29" s="2421"/>
      <c r="AI29" s="2421"/>
      <c r="AJ29" s="2421"/>
      <c r="AK29" s="496"/>
      <c r="AL29" s="496"/>
      <c r="AM29" s="450"/>
      <c r="AN29" s="538"/>
      <c r="AO29" s="538"/>
      <c r="AP29" s="538"/>
      <c r="AQ29" s="538"/>
      <c r="AR29" s="538"/>
      <c r="AS29" s="588">
        <v>0</v>
      </c>
    </row>
    <row s="12119" customFormat="1" customHeight="1" ht="18.75">
      <c r="A30" s="1538"/>
      <c r="B30" s="1538"/>
      <c r="C30" s="1538"/>
      <c r="D30" s="1538"/>
      <c r="E30" s="1538"/>
      <c r="F30" s="1538"/>
      <c r="G30" s="1538"/>
      <c r="H30" s="1538"/>
      <c r="I30" s="1538"/>
      <c r="J30" s="1538"/>
      <c r="K30" s="1538"/>
      <c r="L30" s="1539"/>
      <c r="M30" s="1538"/>
      <c r="N30" s="1538"/>
      <c r="O30" s="1538"/>
      <c r="S30" s="2420" t="s">
        <v>432</v>
      </c>
      <c r="T30" s="2420"/>
      <c r="U30" s="1542"/>
      <c r="V30" s="2434" t="str">
        <f>IF(TITLE_DATE_PR_CHANGE="",IF(TITLE_DATE_PR="","",TITLE_DATE_PR),TITLE_DATE_PR_CHANGE)</f>
        <v>45646.459814814814</v>
      </c>
      <c r="W30" s="2434"/>
      <c r="X30" s="2434"/>
      <c r="Y30" s="2434"/>
      <c r="Z30" s="2434"/>
      <c r="AA30" s="2434"/>
      <c r="AB30" s="2434"/>
      <c r="AC30" s="496"/>
      <c r="AD30" s="2434" t="str">
        <f>IF(TITLE_DATE_PR_CHANGE="",IF(TITLE_DATE_PR="","",TITLE_DATE_PR),TITLE_DATE_PR_CHANGE)</f>
        <v>45646.459814814814</v>
      </c>
      <c r="AE30" s="2434"/>
      <c r="AF30" s="2434"/>
      <c r="AG30" s="2434"/>
      <c r="AH30" s="2434"/>
      <c r="AI30" s="2434"/>
      <c r="AJ30" s="2434"/>
      <c r="AK30" s="496"/>
      <c r="AL30" s="496"/>
      <c r="AM30" s="450"/>
      <c r="AN30" s="538"/>
      <c r="AO30" s="538"/>
      <c r="AP30" s="538"/>
      <c r="AQ30" s="538"/>
      <c r="AR30" s="538"/>
      <c r="AS30" s="588">
        <v>0</v>
      </c>
    </row>
    <row s="12119" customFormat="1" customHeight="1" ht="18.75">
      <c r="A31" s="1538"/>
      <c r="B31" s="1538"/>
      <c r="C31" s="1538"/>
      <c r="D31" s="1538"/>
      <c r="E31" s="1538"/>
      <c r="F31" s="1538"/>
      <c r="G31" s="1538"/>
      <c r="H31" s="1538"/>
      <c r="I31" s="1538"/>
      <c r="J31" s="1538"/>
      <c r="K31" s="1538"/>
      <c r="L31" s="1539"/>
      <c r="M31" s="1538"/>
      <c r="N31" s="1538"/>
      <c r="O31" s="1538"/>
      <c r="S31" s="2420" t="s">
        <v>433</v>
      </c>
      <c r="T31" s="2420"/>
      <c r="U31" s="1542"/>
      <c r="V31" s="2421" t="str">
        <f>IF(TITLE_NUMBER_PR_CHANGE="",IF(TITLE_NUMBER_PR="","",TITLE_NUMBER_PR),TITLE_NUMBER_PR_CHANGE)</f>
        <v>329-Р</v>
      </c>
      <c r="W31" s="2421"/>
      <c r="X31" s="2421"/>
      <c r="Y31" s="2421"/>
      <c r="Z31" s="2421"/>
      <c r="AA31" s="2421"/>
      <c r="AB31" s="2421"/>
      <c r="AC31" s="496"/>
      <c r="AD31" s="2421" t="str">
        <f>IF(TITLE_NUMBER_PR_CHANGE="",IF(TITLE_NUMBER_PR="","",TITLE_NUMBER_PR),TITLE_NUMBER_PR_CHANGE)</f>
        <v>329-Р</v>
      </c>
      <c r="AE31" s="2421"/>
      <c r="AF31" s="2421"/>
      <c r="AG31" s="2421"/>
      <c r="AH31" s="2421"/>
      <c r="AI31" s="2421"/>
      <c r="AJ31" s="2421"/>
      <c r="AK31" s="496"/>
      <c r="AL31" s="496"/>
      <c r="AM31" s="450"/>
      <c r="AN31" s="538"/>
      <c r="AO31" s="538"/>
      <c r="AP31" s="538"/>
      <c r="AQ31" s="538"/>
      <c r="AR31" s="538"/>
      <c r="AS31" s="588">
        <v>0</v>
      </c>
    </row>
    <row s="12119" customFormat="1" customHeight="1" ht="18.75">
      <c r="A32" s="1538"/>
      <c r="B32" s="1538"/>
      <c r="C32" s="1538"/>
      <c r="D32" s="1538"/>
      <c r="E32" s="1538"/>
      <c r="F32" s="1538"/>
      <c r="G32" s="1538"/>
      <c r="H32" s="1538"/>
      <c r="I32" s="1538"/>
      <c r="J32" s="1538"/>
      <c r="K32" s="1538"/>
      <c r="L32" s="1539"/>
      <c r="M32" s="1538"/>
      <c r="N32" s="1538"/>
      <c r="O32" s="1538"/>
      <c r="S32" s="2420" t="s">
        <v>44</v>
      </c>
      <c r="T32" s="2420"/>
      <c r="U32" s="1542"/>
      <c r="V32"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421"/>
      <c r="X32" s="2421"/>
      <c r="Y32" s="2421"/>
      <c r="Z32" s="2421"/>
      <c r="AA32" s="2421"/>
      <c r="AB32" s="2421"/>
      <c r="AC32" s="496"/>
      <c r="AD32"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421"/>
      <c r="AF32" s="2421"/>
      <c r="AG32" s="2421"/>
      <c r="AH32" s="2421"/>
      <c r="AI32" s="2421"/>
      <c r="AJ32" s="2421"/>
      <c r="AK32" s="496"/>
      <c r="AL32" s="496"/>
      <c r="AM32" s="450"/>
      <c r="AN32" s="538"/>
      <c r="AO32" s="538"/>
      <c r="AP32" s="538"/>
      <c r="AQ32" s="538"/>
      <c r="AR32" s="538"/>
      <c r="AS32" s="588">
        <v>0</v>
      </c>
    </row>
    <row customHeight="1" ht="14.25" hidden="1">
      <c r="Q33" s="546"/>
      <c r="R33" s="546"/>
      <c r="S33" s="1445"/>
      <c r="T33" s="533"/>
      <c r="U33" s="533"/>
      <c r="V33" s="492"/>
      <c r="W33" s="492"/>
      <c r="X33" s="492"/>
      <c r="Y33" s="492"/>
      <c r="Z33" s="492"/>
      <c r="AA33" s="492"/>
      <c r="AB33" s="492"/>
      <c r="AC33" s="492"/>
      <c r="AD33" s="492"/>
      <c r="AE33" s="492"/>
      <c r="AF33" s="492"/>
      <c r="AG33" s="492"/>
      <c r="AH33" s="492"/>
      <c r="AI33" s="492"/>
      <c r="AJ33" s="492"/>
      <c r="AK33" s="492"/>
      <c r="AL33" s="679"/>
      <c r="AS33" s="1325">
        <v>0</v>
      </c>
    </row>
    <row s="12119" customFormat="1" customHeight="1" ht="18.75" hidden="1">
      <c r="A34" s="1538"/>
      <c r="B34" s="1538"/>
      <c r="C34" s="1538"/>
      <c r="D34" s="1538"/>
      <c r="E34" s="1538"/>
      <c r="F34" s="1538"/>
      <c r="G34" s="1538"/>
      <c r="H34" s="1538"/>
      <c r="I34" s="1538"/>
      <c r="J34" s="1538"/>
      <c r="K34" s="1538"/>
      <c r="L34" s="1539"/>
      <c r="M34" s="1538"/>
      <c r="N34" s="1538"/>
      <c r="O34" s="1538"/>
      <c r="S34" s="2420" t="s">
        <v>434</v>
      </c>
      <c r="T34" s="2420"/>
      <c r="U34" s="1542"/>
      <c r="V34" s="2434" t="str">
        <f>IF(TITLE_DATE_PR_CHANGE="",IF(TITLE_DATE_PR="","",TITLE_DATE_PR),TITLE_DATE_PR_CHANGE)</f>
        <v>45646.459814814814</v>
      </c>
      <c r="W34" s="2434"/>
      <c r="X34" s="2434"/>
      <c r="Y34" s="2434"/>
      <c r="Z34" s="2434"/>
      <c r="AA34" s="2434"/>
      <c r="AB34" s="2434"/>
      <c r="AC34" s="496"/>
      <c r="AD34" s="2434" t="str">
        <f>IF(TITLE_DATE_PR_CHANGE="",IF(TITLE_DATE_PR="","",TITLE_DATE_PR),TITLE_DATE_PR_CHANGE)</f>
        <v>45646.459814814814</v>
      </c>
      <c r="AE34" s="2434"/>
      <c r="AF34" s="2434"/>
      <c r="AG34" s="2434"/>
      <c r="AH34" s="2434"/>
      <c r="AI34" s="2434"/>
      <c r="AJ34" s="2434"/>
      <c r="AK34" s="496"/>
      <c r="AL34" s="496"/>
      <c r="AM34" s="450"/>
      <c r="AN34" s="538"/>
      <c r="AO34" s="538"/>
      <c r="AP34" s="538"/>
      <c r="AQ34" s="538"/>
      <c r="AR34" s="538"/>
      <c r="AS34" s="588">
        <v>0</v>
      </c>
    </row>
    <row s="12119" customFormat="1" customHeight="1" ht="18.75" hidden="1">
      <c r="A35" s="1538"/>
      <c r="B35" s="1538"/>
      <c r="C35" s="1538"/>
      <c r="D35" s="1538"/>
      <c r="E35" s="1538"/>
      <c r="F35" s="1538"/>
      <c r="G35" s="1538"/>
      <c r="H35" s="1538"/>
      <c r="I35" s="1538"/>
      <c r="J35" s="1538"/>
      <c r="K35" s="1538"/>
      <c r="L35" s="1539"/>
      <c r="M35" s="1538"/>
      <c r="N35" s="1538"/>
      <c r="O35" s="1538"/>
      <c r="S35" s="2420" t="s">
        <v>435</v>
      </c>
      <c r="T35" s="2420"/>
      <c r="U35" s="1542"/>
      <c r="V35" s="2421" t="str">
        <f>IF(TITLE_NUMBER_PR_CHANGE="",IF(TITLE_NUMBER_PR="","",TITLE_NUMBER_PR),TITLE_NUMBER_PR_CHANGE)</f>
        <v>329-Р</v>
      </c>
      <c r="W35" s="2421"/>
      <c r="X35" s="2421"/>
      <c r="Y35" s="2421"/>
      <c r="Z35" s="2421"/>
      <c r="AA35" s="2421"/>
      <c r="AB35" s="2421"/>
      <c r="AC35" s="496"/>
      <c r="AD35" s="2421" t="str">
        <f>IF(TITLE_NUMBER_PR_CHANGE="",IF(TITLE_NUMBER_PR="","",TITLE_NUMBER_PR),TITLE_NUMBER_PR_CHANGE)</f>
        <v>329-Р</v>
      </c>
      <c r="AE35" s="2421"/>
      <c r="AF35" s="2421"/>
      <c r="AG35" s="2421"/>
      <c r="AH35" s="2421"/>
      <c r="AI35" s="2421"/>
      <c r="AJ35" s="2421"/>
      <c r="AK35" s="496"/>
      <c r="AL35" s="496"/>
      <c r="AM35" s="450"/>
      <c r="AN35" s="538"/>
      <c r="AO35" s="538"/>
      <c r="AP35" s="538"/>
      <c r="AQ35" s="538"/>
      <c r="AR35" s="538"/>
      <c r="AS35" s="588">
        <v>0</v>
      </c>
    </row>
    <row s="12119" customFormat="1" customHeight="1" ht="0">
      <c r="A36" s="1538"/>
      <c r="B36" s="1538"/>
      <c r="C36" s="1538"/>
      <c r="D36" s="1538"/>
      <c r="E36" s="1538"/>
      <c r="F36" s="1538"/>
      <c r="G36" s="1538"/>
      <c r="H36" s="1538"/>
      <c r="I36" s="1538"/>
      <c r="J36" s="1538"/>
      <c r="K36" s="1538"/>
      <c r="L36" s="1539"/>
      <c r="M36" s="1538"/>
      <c r="N36" s="1538"/>
      <c r="O36" s="1538"/>
      <c r="S36" s="493"/>
      <c r="T36" s="493"/>
      <c r="U36" s="1510"/>
      <c r="V36" s="496"/>
      <c r="W36" s="496"/>
      <c r="X36" s="496"/>
      <c r="Y36" s="496"/>
      <c r="Z36" s="496"/>
      <c r="AA36" s="496"/>
      <c r="AB36" s="496"/>
      <c r="AC36" s="448" t="s">
        <v>436</v>
      </c>
      <c r="AD36" s="496"/>
      <c r="AE36" s="496"/>
      <c r="AF36" s="496"/>
      <c r="AG36" s="496"/>
      <c r="AH36" s="496"/>
      <c r="AI36" s="496"/>
      <c r="AJ36" s="496"/>
      <c r="AK36" s="448" t="s">
        <v>436</v>
      </c>
      <c r="AN36" s="538"/>
      <c r="AO36" s="538"/>
      <c r="AP36" s="538"/>
      <c r="AQ36" s="538"/>
      <c r="AR36" s="538"/>
      <c r="AS36" s="588">
        <v>0</v>
      </c>
    </row>
    <row customHeight="1" ht="14.699999999999998">
      <c r="Q37" s="546"/>
      <c r="R37" s="546"/>
      <c r="S37" s="1445"/>
      <c r="T37" s="533"/>
      <c r="U37" s="1414"/>
      <c r="V37" s="2422"/>
      <c r="W37" s="2422"/>
      <c r="X37" s="2422"/>
      <c r="Y37" s="2422"/>
      <c r="Z37" s="2422"/>
      <c r="AA37" s="2422"/>
      <c r="AB37" s="2422"/>
      <c r="AC37" s="2422"/>
      <c r="AD37" s="2422"/>
      <c r="AE37" s="2422"/>
      <c r="AF37" s="2422"/>
      <c r="AG37" s="2422"/>
      <c r="AH37" s="2422"/>
      <c r="AI37" s="2422"/>
      <c r="AJ37" s="2422"/>
      <c r="AK37" s="2422"/>
      <c r="AS37" s="1325">
        <v>14</v>
      </c>
    </row>
    <row customHeight="1" ht="14.699999999999998">
      <c r="Q38" s="546"/>
      <c r="R38" s="546"/>
      <c r="S38" s="2297" t="s">
        <v>312</v>
      </c>
      <c r="T38" s="2297"/>
      <c r="U38" s="2297"/>
      <c r="V38" s="2297"/>
      <c r="W38" s="2297"/>
      <c r="X38" s="2297"/>
      <c r="Y38" s="2297"/>
      <c r="Z38" s="2297"/>
      <c r="AA38" s="2297"/>
      <c r="AB38" s="2297"/>
      <c r="AC38" s="2297"/>
      <c r="AD38" s="2297"/>
      <c r="AE38" s="2297"/>
      <c r="AF38" s="2297"/>
      <c r="AG38" s="2297"/>
      <c r="AH38" s="2297"/>
      <c r="AI38" s="2297"/>
      <c r="AJ38" s="2297"/>
      <c r="AK38" s="2297"/>
      <c r="AL38" s="2297"/>
      <c r="AM38" s="2297" t="s">
        <v>313</v>
      </c>
      <c r="AS38" s="1325">
        <v>14</v>
      </c>
    </row>
    <row customHeight="1" ht="14.699999999999998">
      <c r="Q39" s="546"/>
      <c r="R39" s="546"/>
      <c r="S39" s="2443" t="s">
        <v>91</v>
      </c>
      <c r="T39" s="2379" t="s">
        <v>438</v>
      </c>
      <c r="U39" s="471"/>
      <c r="V39" s="2444" t="s">
        <v>439</v>
      </c>
      <c r="W39" s="2445"/>
      <c r="X39" s="2461"/>
      <c r="Y39" s="2461"/>
      <c r="Z39" s="2445"/>
      <c r="AA39" s="2445"/>
      <c r="AB39" s="2446"/>
      <c r="AC39" s="2447" t="s">
        <v>440</v>
      </c>
      <c r="AD39" s="2444" t="s">
        <v>439</v>
      </c>
      <c r="AE39" s="2445"/>
      <c r="AF39" s="2461"/>
      <c r="AG39" s="2461"/>
      <c r="AH39" s="2445"/>
      <c r="AI39" s="2445"/>
      <c r="AJ39" s="2446"/>
      <c r="AK39" s="2447" t="s">
        <v>441</v>
      </c>
      <c r="AL39" s="2450" t="s">
        <v>442</v>
      </c>
      <c r="AM39" s="2297"/>
      <c r="AS39" s="1325">
        <v>14</v>
      </c>
    </row>
    <row customHeight="1" ht="24">
      <c r="Q40" s="546"/>
      <c r="R40" s="546"/>
      <c r="S40" s="2443"/>
      <c r="T40" s="2379"/>
      <c r="U40" s="1201"/>
      <c r="V40" s="2462" t="s">
        <v>443</v>
      </c>
      <c r="W40" s="2464" t="s">
        <v>444</v>
      </c>
      <c r="X40" s="1546" t="s">
        <v>445</v>
      </c>
      <c r="Y40" s="1546"/>
      <c r="Z40" s="2439" t="s">
        <v>446</v>
      </c>
      <c r="AA40" s="2439"/>
      <c r="AB40" s="2433"/>
      <c r="AC40" s="2448"/>
      <c r="AD40" s="2462" t="s">
        <v>443</v>
      </c>
      <c r="AE40" s="2464" t="s">
        <v>444</v>
      </c>
      <c r="AF40" s="1546" t="s">
        <v>445</v>
      </c>
      <c r="AG40" s="1546"/>
      <c r="AH40" s="2439" t="s">
        <v>446</v>
      </c>
      <c r="AI40" s="2439"/>
      <c r="AJ40" s="2433"/>
      <c r="AK40" s="2448"/>
      <c r="AL40" s="2451"/>
      <c r="AM40" s="2297"/>
      <c r="AS40" s="1325">
        <v>23</v>
      </c>
    </row>
    <row s="12171" customFormat="1" customHeight="1" ht="24">
      <c r="A41" s="1540"/>
      <c r="B41" s="1540" t="s">
        <v>138</v>
      </c>
      <c r="C41" s="1540" t="s">
        <v>139</v>
      </c>
      <c r="D41" s="1540" t="s">
        <v>140</v>
      </c>
      <c r="E41" s="1534" t="s">
        <v>447</v>
      </c>
      <c r="F41" s="1534" t="s">
        <v>448</v>
      </c>
      <c r="G41" s="1534" t="s">
        <v>449</v>
      </c>
      <c r="H41" s="1534" t="s">
        <v>450</v>
      </c>
      <c r="I41" s="1534" t="s">
        <v>451</v>
      </c>
      <c r="J41" s="1534" t="s">
        <v>452</v>
      </c>
      <c r="K41" s="1534" t="s">
        <v>453</v>
      </c>
      <c r="L41" s="1534" t="s">
        <v>427</v>
      </c>
      <c r="M41" s="1532"/>
      <c r="N41" s="1532"/>
      <c r="O41" s="1532"/>
      <c r="P41" s="1498"/>
      <c r="Q41" s="546"/>
      <c r="R41" s="546"/>
      <c r="S41" s="2443"/>
      <c r="T41" s="2379"/>
      <c r="U41" s="472"/>
      <c r="V41" s="2463"/>
      <c r="W41" s="2465"/>
      <c r="X41" s="1543" t="s">
        <v>454</v>
      </c>
      <c r="Y41" s="1543" t="s">
        <v>455</v>
      </c>
      <c r="Z41" s="1504" t="s">
        <v>456</v>
      </c>
      <c r="AA41" s="2440" t="s">
        <v>457</v>
      </c>
      <c r="AB41" s="2441"/>
      <c r="AC41" s="2449"/>
      <c r="AD41" s="2463"/>
      <c r="AE41" s="2465"/>
      <c r="AF41" s="1543" t="s">
        <v>454</v>
      </c>
      <c r="AG41" s="1543" t="s">
        <v>455</v>
      </c>
      <c r="AH41" s="1504" t="s">
        <v>456</v>
      </c>
      <c r="AI41" s="2440" t="s">
        <v>457</v>
      </c>
      <c r="AJ41" s="2441"/>
      <c r="AK41" s="2449"/>
      <c r="AL41" s="2452"/>
      <c r="AM41" s="2297"/>
      <c r="AN41" s="681"/>
      <c r="AO41" s="670"/>
      <c r="AP41" s="670"/>
      <c r="AQ41" s="670"/>
      <c r="AR41" s="670"/>
      <c r="AS41" s="752">
        <v>23</v>
      </c>
    </row>
    <row s="12668" customFormat="1" customHeight="1" ht="11.25" hidden="1">
      <c r="A42" s="1540"/>
      <c r="B42" s="1540"/>
      <c r="C42" s="1540"/>
      <c r="D42" s="1540"/>
      <c r="E42" s="1540"/>
      <c r="F42" s="1540"/>
      <c r="G42" s="1540"/>
      <c r="H42" s="1540"/>
      <c r="I42" s="1540"/>
      <c r="J42" s="1540"/>
      <c r="K42" s="1540"/>
      <c r="L42" s="1534"/>
      <c r="M42" s="1532"/>
      <c r="N42" s="1532"/>
      <c r="O42" s="1532"/>
      <c r="P42" s="1416"/>
      <c r="Q42" s="1417"/>
      <c r="R42" s="1424">
        <v>1</v>
      </c>
      <c r="S42" s="1447" t="s">
        <v>112</v>
      </c>
      <c r="T42" s="1425" t="s">
        <v>113</v>
      </c>
      <c r="U42" s="1415" t="str">
        <f>OFFSET(U42,0,-1)</f>
        <v>2</v>
      </c>
      <c r="V42" s="1505">
        <f>OFFSET(V42,0,-1)+1</f>
        <v>3</v>
      </c>
      <c r="W42" s="1505"/>
      <c r="X42" s="1511">
        <f>OFFSET(X42,0,-1)+1</f>
        <v>1</v>
      </c>
      <c r="Y42" s="1511">
        <f>OFFSET(Y42,0,-1)+1</f>
        <v>2</v>
      </c>
      <c r="Z42" s="1505">
        <f>OFFSET(Z42,0,-1)+1</f>
        <v>3</v>
      </c>
      <c r="AA42" s="2442">
        <f>OFFSET(AA42,0,-1)+1</f>
        <v>4</v>
      </c>
      <c r="AB42" s="2442"/>
      <c r="AC42" s="1505">
        <f>OFFSET(AC42,0,-2)+1</f>
        <v>5</v>
      </c>
      <c r="AD42" s="1505">
        <f>OFFSET(AD42,0,-1)+1</f>
        <v>6</v>
      </c>
      <c r="AE42" s="1505"/>
      <c r="AF42" s="1511">
        <f>OFFSET(AF42,0,-1)+1</f>
        <v>1</v>
      </c>
      <c r="AG42" s="1511">
        <f>OFFSET(AG42,0,-1)+1</f>
        <v>2</v>
      </c>
      <c r="AH42" s="1505">
        <f>OFFSET(AH42,0,-1)+1</f>
        <v>3</v>
      </c>
      <c r="AI42" s="2442">
        <f>OFFSET(AI42,0,-1)+1</f>
        <v>4</v>
      </c>
      <c r="AJ42" s="2442"/>
      <c r="AK42" s="1505">
        <f>OFFSET(AK42,0,-2)+1</f>
        <v>5</v>
      </c>
      <c r="AL42" s="1415">
        <f>OFFSET(AL42,0,-1)</f>
        <v>5</v>
      </c>
      <c r="AM42" s="1505">
        <f>OFFSET(AM42,0,-1)+1</f>
        <v>6</v>
      </c>
      <c r="AN42" s="681"/>
      <c r="AO42" s="681"/>
      <c r="AP42" s="681"/>
      <c r="AQ42" s="681"/>
      <c r="AR42" s="681"/>
      <c r="AS42" s="666">
        <v>0</v>
      </c>
    </row>
    <row customHeight="1" ht="22.049999999999997">
      <c r="A43" s="1533" t="s">
        <v>206</v>
      </c>
      <c r="B43" s="1533"/>
      <c r="C43" s="1533"/>
      <c r="D43" s="1533"/>
      <c r="E43" s="2428">
        <v>1</v>
      </c>
      <c r="F43" s="1533"/>
      <c r="G43" s="1533"/>
      <c r="H43" s="1533"/>
      <c r="I43" s="1533"/>
      <c r="J43" s="1533"/>
      <c r="K43" s="1533"/>
      <c r="L43" s="1534"/>
      <c r="M43" s="1535"/>
      <c r="N43" s="1535"/>
      <c r="O43" s="1535"/>
      <c r="P43" s="531"/>
      <c r="Q43" s="530"/>
      <c r="R43" s="525"/>
      <c r="S43" s="1506">
        <f>INDEX(PT_DIFFERENTIATION_NUM_NTAR,MATCH(A43,PT_DIFFERENTIATION_NTAR_ID,0))</f>
        <v>0</v>
      </c>
      <c r="T43" s="468" t="s">
        <v>126</v>
      </c>
      <c r="U43" s="470"/>
      <c r="V43" s="2412"/>
      <c r="W43" s="2413"/>
      <c r="X43" s="2413"/>
      <c r="Y43" s="2413"/>
      <c r="Z43" s="2413"/>
      <c r="AA43" s="2413"/>
      <c r="AB43" s="2413"/>
      <c r="AC43" s="2414"/>
      <c r="AD43" s="2412" t="str">
        <f>INDEX(PT_DIFFERENTIATION_NTAR,MATCH(A43,PT_DIFFERENTIATION_NTAR_ID,0))</f>
        <v/>
      </c>
      <c r="AE43" s="2413"/>
      <c r="AF43" s="2413"/>
      <c r="AG43" s="2413"/>
      <c r="AH43" s="2413"/>
      <c r="AI43" s="2413"/>
      <c r="AJ43" s="2413"/>
      <c r="AK43" s="2413"/>
      <c r="AL43" s="2414"/>
      <c r="AM43" s="142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70"/>
      <c r="AP43" s="670" t="str">
        <f>IF(T43="","",T43)</f>
        <v>Наименование тарифа</v>
      </c>
      <c r="AQ43" s="670"/>
      <c r="AR43" s="670"/>
      <c r="AS43" s="1325">
        <v>21</v>
      </c>
    </row>
    <row customHeight="1" ht="22.049999999999997">
      <c r="A44" s="1533" t="s">
        <v>206</v>
      </c>
      <c r="B44" s="1533" t="s">
        <v>207</v>
      </c>
      <c r="C44" s="1533"/>
      <c r="D44" s="1533"/>
      <c r="E44" s="2429"/>
      <c r="F44" s="2428">
        <v>1</v>
      </c>
      <c r="G44" s="1533"/>
      <c r="H44" s="1533"/>
      <c r="I44" s="1533"/>
      <c r="J44" s="1533"/>
      <c r="K44" s="1533"/>
      <c r="L44" s="1534"/>
      <c r="M44" s="1535"/>
      <c r="N44" s="1535"/>
      <c r="O44" s="1535"/>
      <c r="P44" s="1502"/>
      <c r="Q44" s="522"/>
      <c r="R44" s="523"/>
      <c r="S44" s="1506" t="str">
        <f>INDEX(PT_DIFFERENTIATION_NUM_TER,MATCH(B44,PT_DIFFERENTIATION_TER_ID,0))</f>
        <v>.</v>
      </c>
      <c r="T44" s="478" t="s">
        <v>409</v>
      </c>
      <c r="U44" s="470"/>
      <c r="V44" s="2412"/>
      <c r="W44" s="2413"/>
      <c r="X44" s="2413"/>
      <c r="Y44" s="2413"/>
      <c r="Z44" s="2413"/>
      <c r="AA44" s="2413"/>
      <c r="AB44" s="2413"/>
      <c r="AC44" s="2414"/>
      <c r="AD44" s="2412" t="str">
        <f>INDEX(PT_DIFFERENTIATION_TER,MATCH(B44,PT_DIFFERENTIATION_TER_ID,0))</f>
        <v/>
      </c>
      <c r="AE44" s="2413"/>
      <c r="AF44" s="2413"/>
      <c r="AG44" s="2413"/>
      <c r="AH44" s="2413"/>
      <c r="AI44" s="2413"/>
      <c r="AJ44" s="2413"/>
      <c r="AK44" s="2413"/>
      <c r="AL44" s="2414"/>
      <c r="AM44" s="1428" t="s">
        <v>410</v>
      </c>
      <c r="AO44" s="670"/>
      <c r="AP44" s="670" t="str">
        <f>IF(T44="","",T44)</f>
        <v>Территория действия тарифа</v>
      </c>
      <c r="AQ44" s="670"/>
      <c r="AR44" s="670"/>
      <c r="AS44" s="1325">
        <v>21</v>
      </c>
    </row>
    <row customHeight="1" ht="24">
      <c r="A45" s="1533" t="s">
        <v>206</v>
      </c>
      <c r="B45" s="1533" t="s">
        <v>207</v>
      </c>
      <c r="C45" s="1533" t="s">
        <v>208</v>
      </c>
      <c r="D45" s="1533"/>
      <c r="E45" s="2429"/>
      <c r="F45" s="2429"/>
      <c r="G45" s="2428">
        <v>1</v>
      </c>
      <c r="H45" s="1533"/>
      <c r="I45" s="1533"/>
      <c r="J45" s="1533"/>
      <c r="K45" s="1533"/>
      <c r="L45" s="1534"/>
      <c r="M45" s="1535"/>
      <c r="N45" s="1535"/>
      <c r="O45" s="1535"/>
      <c r="P45" s="524"/>
      <c r="Q45" s="522"/>
      <c r="R45" s="523"/>
      <c r="S45" s="1506" t="str">
        <f>INDEX(PT_DIFFERENTIATION_NUM_CS,MATCH(C45,PT_DIFFERENTIATION_CS_ID,0))</f>
        <v>..</v>
      </c>
      <c r="T45" s="479" t="s">
        <v>411</v>
      </c>
      <c r="U45" s="470"/>
      <c r="V45" s="2412"/>
      <c r="W45" s="2413"/>
      <c r="X45" s="2413"/>
      <c r="Y45" s="2413"/>
      <c r="Z45" s="2413"/>
      <c r="AA45" s="2413"/>
      <c r="AB45" s="2413"/>
      <c r="AC45" s="2414"/>
      <c r="AD45" s="2412" t="str">
        <f>INDEX(PT_DIFFERENTIATION_CS,MATCH(C45,PT_DIFFERENTIATION_CS_ID,0))</f>
        <v/>
      </c>
      <c r="AE45" s="2413"/>
      <c r="AF45" s="2413"/>
      <c r="AG45" s="2413"/>
      <c r="AH45" s="2413"/>
      <c r="AI45" s="2413"/>
      <c r="AJ45" s="2413"/>
      <c r="AK45" s="2413"/>
      <c r="AL45" s="2414"/>
      <c r="AM45" s="1428" t="s">
        <v>412</v>
      </c>
      <c r="AO45" s="670"/>
      <c r="AP45" s="670" t="str">
        <f>IF(T45="","",T45)</f>
        <v>Наименование системы теплоснабжения </v>
      </c>
      <c r="AQ45" s="670"/>
      <c r="AR45" s="670"/>
      <c r="AS45" s="1325">
        <v>23</v>
      </c>
    </row>
    <row customHeight="1" ht="22.049999999999997">
      <c r="A46" s="1533" t="s">
        <v>206</v>
      </c>
      <c r="B46" s="1533" t="s">
        <v>207</v>
      </c>
      <c r="C46" s="1533" t="s">
        <v>208</v>
      </c>
      <c r="D46" s="1533" t="s">
        <v>209</v>
      </c>
      <c r="E46" s="2429"/>
      <c r="F46" s="2429"/>
      <c r="G46" s="2429"/>
      <c r="H46" s="2428">
        <v>1</v>
      </c>
      <c r="I46" s="1533"/>
      <c r="J46" s="1533"/>
      <c r="K46" s="1533"/>
      <c r="L46" s="1534"/>
      <c r="M46" s="1535"/>
      <c r="N46" s="1535"/>
      <c r="O46" s="1535"/>
      <c r="P46" s="524"/>
      <c r="Q46" s="522"/>
      <c r="R46" s="523"/>
      <c r="S46" s="1506" t="str">
        <f>INDEX(PT_DIFFERENTIATION_NUM_IST_TE,MATCH(D46,PT_DIFFERENTIATION_IST_TE_ID,0))</f>
        <v>...</v>
      </c>
      <c r="T46" s="480" t="s">
        <v>413</v>
      </c>
      <c r="U46" s="470"/>
      <c r="V46" s="2412"/>
      <c r="W46" s="2413"/>
      <c r="X46" s="2413"/>
      <c r="Y46" s="2413"/>
      <c r="Z46" s="2413"/>
      <c r="AA46" s="2413"/>
      <c r="AB46" s="2413"/>
      <c r="AC46" s="2414"/>
      <c r="AD46" s="2412" t="str">
        <f>INDEX(PT_DIFFERENTIATION_IST_TE,MATCH(D46,PT_DIFFERENTIATION_IST_TE_ID,0))</f>
        <v/>
      </c>
      <c r="AE46" s="2413"/>
      <c r="AF46" s="2413"/>
      <c r="AG46" s="2413"/>
      <c r="AH46" s="2413"/>
      <c r="AI46" s="2413"/>
      <c r="AJ46" s="2413"/>
      <c r="AK46" s="2413"/>
      <c r="AL46" s="2414"/>
      <c r="AM46" s="1428" t="s">
        <v>414</v>
      </c>
      <c r="AO46" s="670"/>
      <c r="AP46" s="670" t="str">
        <f>IF(T46="","",T46)</f>
        <v>Источник тепловой энергии  </v>
      </c>
      <c r="AQ46" s="670"/>
      <c r="AR46" s="670"/>
      <c r="AS46" s="1325">
        <v>21</v>
      </c>
    </row>
    <row customHeight="1" ht="49.5">
      <c r="A47" s="1533" t="s">
        <v>206</v>
      </c>
      <c r="B47" s="1533" t="s">
        <v>207</v>
      </c>
      <c r="C47" s="1533" t="s">
        <v>208</v>
      </c>
      <c r="D47" s="1533" t="s">
        <v>209</v>
      </c>
      <c r="E47" s="2429"/>
      <c r="F47" s="2429"/>
      <c r="G47" s="2429"/>
      <c r="H47" s="2429"/>
      <c r="I47" s="2426" t="str">
        <f>S46&amp;".1"</f>
        <v>....1</v>
      </c>
      <c r="J47" s="1533"/>
      <c r="K47" s="1533"/>
      <c r="L47" s="1534" t="s">
        <v>415</v>
      </c>
      <c r="P47" s="2427">
        <v>1</v>
      </c>
      <c r="Q47" s="1501"/>
      <c r="R47" s="526"/>
      <c r="S47" s="1506" t="str">
        <f>$I47</f>
        <v>....1</v>
      </c>
      <c r="T47" s="455" t="s">
        <v>416</v>
      </c>
      <c r="U47" s="470"/>
      <c r="V47" s="2415"/>
      <c r="W47" s="2416"/>
      <c r="X47" s="2416"/>
      <c r="Y47" s="2416"/>
      <c r="Z47" s="2416"/>
      <c r="AA47" s="2416"/>
      <c r="AB47" s="2416"/>
      <c r="AC47" s="2417"/>
      <c r="AD47" s="2415"/>
      <c r="AE47" s="2416"/>
      <c r="AF47" s="2416"/>
      <c r="AG47" s="2416"/>
      <c r="AH47" s="2416"/>
      <c r="AI47" s="2416"/>
      <c r="AJ47" s="2416"/>
      <c r="AK47" s="2416"/>
      <c r="AL47" s="2417"/>
      <c r="AM47" s="1428" t="s">
        <v>417</v>
      </c>
      <c r="AO47" s="670"/>
      <c r="AP47" s="670" t="str">
        <f>IF(T47="","",T47)</f>
        <v>Схема подключения теплопотребляющей установки к коллектору источника тепловой энергии</v>
      </c>
      <c r="AQ47" s="670"/>
      <c r="AR47" s="670"/>
      <c r="AS47" s="1325">
        <v>47</v>
      </c>
    </row>
    <row customHeight="1" ht="22.049999999999997">
      <c r="A48" s="1533" t="s">
        <v>206</v>
      </c>
      <c r="B48" s="1533" t="s">
        <v>207</v>
      </c>
      <c r="C48" s="1533" t="s">
        <v>208</v>
      </c>
      <c r="D48" s="1533" t="s">
        <v>209</v>
      </c>
      <c r="E48" s="2429"/>
      <c r="F48" s="2429"/>
      <c r="G48" s="2429"/>
      <c r="H48" s="2429"/>
      <c r="I48" s="2456"/>
      <c r="J48" s="2426" t="str">
        <f>I47&amp;".1"</f>
        <v>....1.1</v>
      </c>
      <c r="K48" s="1533"/>
      <c r="L48" s="1534" t="s">
        <v>418</v>
      </c>
      <c r="P48" s="2427"/>
      <c r="Q48" s="2427">
        <v>1</v>
      </c>
      <c r="R48" s="527"/>
      <c r="S48" s="1506" t="str">
        <f>$J48</f>
        <v>....1.1</v>
      </c>
      <c r="T48" s="456" t="s">
        <v>419</v>
      </c>
      <c r="U48" s="470"/>
      <c r="V48" s="2415"/>
      <c r="W48" s="2416"/>
      <c r="X48" s="2416"/>
      <c r="Y48" s="2416"/>
      <c r="Z48" s="2416"/>
      <c r="AA48" s="2416"/>
      <c r="AB48" s="2416"/>
      <c r="AC48" s="2417"/>
      <c r="AD48" s="2415"/>
      <c r="AE48" s="2416"/>
      <c r="AF48" s="2416"/>
      <c r="AG48" s="2416"/>
      <c r="AH48" s="2416"/>
      <c r="AI48" s="2416"/>
      <c r="AJ48" s="2416"/>
      <c r="AK48" s="2416"/>
      <c r="AL48" s="2417"/>
      <c r="AM48" s="1428" t="s">
        <v>420</v>
      </c>
      <c r="AO48" s="670"/>
      <c r="AP48" s="670" t="str">
        <f>IF(T48="","",T48)</f>
        <v>Группа потребителей</v>
      </c>
      <c r="AQ48" s="670"/>
      <c r="AR48" s="670"/>
      <c r="AS48" s="1325">
        <v>21</v>
      </c>
    </row>
    <row customHeight="1" ht="22.049999999999997">
      <c r="A49" s="1533" t="s">
        <v>206</v>
      </c>
      <c r="B49" s="1533" t="s">
        <v>207</v>
      </c>
      <c r="C49" s="1533" t="s">
        <v>208</v>
      </c>
      <c r="D49" s="1533" t="s">
        <v>209</v>
      </c>
      <c r="E49" s="2429"/>
      <c r="F49" s="2429"/>
      <c r="G49" s="2429"/>
      <c r="H49" s="2429"/>
      <c r="I49" s="2456"/>
      <c r="J49" s="2456"/>
      <c r="K49" s="2426" t="str">
        <f>J48&amp;".1"</f>
        <v>....1.1.1</v>
      </c>
      <c r="L49" s="1534" t="s">
        <v>421</v>
      </c>
      <c r="P49" s="2427"/>
      <c r="Q49" s="2427"/>
      <c r="R49" s="527">
        <v>1</v>
      </c>
      <c r="S49" s="1506" t="str">
        <f>$K49</f>
        <v>....1.1.1</v>
      </c>
      <c r="T49" s="1517"/>
      <c r="U49" s="470"/>
      <c r="V49" s="495"/>
      <c r="W49" s="921"/>
      <c r="X49" s="495"/>
      <c r="Y49" s="554"/>
      <c r="Z49" s="2435"/>
      <c r="AA49" s="2277" t="s">
        <v>64</v>
      </c>
      <c r="AB49" s="2435"/>
      <c r="AC49" s="2277" t="s">
        <v>64</v>
      </c>
      <c r="AD49" s="495"/>
      <c r="AE49" s="921"/>
      <c r="AF49" s="495"/>
      <c r="AG49" s="554"/>
      <c r="AH49" s="2435"/>
      <c r="AI49" s="2277" t="s">
        <v>64</v>
      </c>
      <c r="AJ49" s="2457"/>
      <c r="AK49" s="2277" t="s">
        <v>64</v>
      </c>
      <c r="AL49" s="1518"/>
      <c r="AM49" s="2423" t="s">
        <v>422</v>
      </c>
      <c r="AN49" s="681">
        <f>STRCHECKDATE(V50:AL50)</f>
      </c>
      <c r="AO49" s="670"/>
      <c r="AP49" s="670" t="str">
        <f>IF(T49="","",T49)</f>
        <v/>
      </c>
      <c r="AQ49" s="670"/>
      <c r="AR49" s="670"/>
      <c r="AS49" s="1325">
        <v>21</v>
      </c>
    </row>
    <row customHeight="1" ht="1.05">
      <c r="A50" s="1533" t="s">
        <v>206</v>
      </c>
      <c r="B50" s="1533" t="s">
        <v>207</v>
      </c>
      <c r="C50" s="1533" t="s">
        <v>208</v>
      </c>
      <c r="D50" s="1533" t="s">
        <v>209</v>
      </c>
      <c r="E50" s="2429"/>
      <c r="F50" s="2429"/>
      <c r="G50" s="2429"/>
      <c r="H50" s="2429"/>
      <c r="I50" s="2456"/>
      <c r="J50" s="2456"/>
      <c r="K50" s="2426"/>
      <c r="L50" s="1534"/>
      <c r="P50" s="2427"/>
      <c r="Q50" s="2427"/>
      <c r="R50" s="527"/>
      <c r="S50" s="1512"/>
      <c r="T50" s="470"/>
      <c r="U50" s="470"/>
      <c r="V50" s="495"/>
      <c r="W50" s="495"/>
      <c r="X50" s="495"/>
      <c r="Y50" s="498" t="str">
        <f>Z49&amp;"-"&amp;AB49</f>
        <v>-</v>
      </c>
      <c r="Z50" s="2436"/>
      <c r="AA50" s="2277"/>
      <c r="AB50" s="2436"/>
      <c r="AC50" s="2277"/>
      <c r="AD50" s="495"/>
      <c r="AE50" s="495"/>
      <c r="AF50" s="495"/>
      <c r="AG50" s="498" t="str">
        <f>AH49&amp;"-"&amp;AJ49</f>
        <v>-</v>
      </c>
      <c r="AH50" s="2436"/>
      <c r="AI50" s="2277"/>
      <c r="AJ50" s="2458"/>
      <c r="AK50" s="2277"/>
      <c r="AL50" s="1519"/>
      <c r="AM50" s="2424"/>
      <c r="AO50" s="670"/>
      <c r="AP50" s="670" t="str">
        <f>IF(T50="","",T50)</f>
        <v/>
      </c>
      <c r="AQ50" s="670"/>
      <c r="AR50" s="670"/>
      <c r="AS50" s="1325">
        <v>1</v>
      </c>
    </row>
    <row customHeight="1" ht="11.549999999999999">
      <c r="A51" s="1533" t="s">
        <v>206</v>
      </c>
      <c r="B51" s="1533" t="s">
        <v>207</v>
      </c>
      <c r="C51" s="1533" t="s">
        <v>208</v>
      </c>
      <c r="D51" s="1533" t="s">
        <v>209</v>
      </c>
      <c r="E51" s="2429"/>
      <c r="F51" s="2429"/>
      <c r="G51" s="2429"/>
      <c r="H51" s="2429"/>
      <c r="I51" s="2456"/>
      <c r="J51" s="2426"/>
      <c r="K51" s="1533"/>
      <c r="L51" s="1534"/>
      <c r="P51" s="2427"/>
      <c r="Q51" s="2427"/>
      <c r="R51" s="526"/>
      <c r="S51" s="1448"/>
      <c r="T51" s="458" t="s">
        <v>423</v>
      </c>
      <c r="U51" s="537"/>
      <c r="V51" s="537"/>
      <c r="W51" s="537"/>
      <c r="X51" s="537"/>
      <c r="Y51" s="537"/>
      <c r="Z51" s="537"/>
      <c r="AA51" s="537"/>
      <c r="AB51" s="537"/>
      <c r="AC51" s="537"/>
      <c r="AD51" s="537"/>
      <c r="AE51" s="537"/>
      <c r="AF51" s="537"/>
      <c r="AG51" s="537"/>
      <c r="AH51" s="537"/>
      <c r="AI51" s="537"/>
      <c r="AJ51" s="537"/>
      <c r="AK51" s="537"/>
      <c r="AL51" s="494"/>
      <c r="AM51" s="2425"/>
      <c r="AO51" s="670"/>
      <c r="AP51" s="670" t="str">
        <f>IF(T51="","",T51)</f>
        <v>Добавить вид теплоносителя (параметры теплоносителя)</v>
      </c>
      <c r="AQ51" s="670"/>
      <c r="AR51" s="670"/>
      <c r="AS51" s="1325">
        <v>11</v>
      </c>
    </row>
    <row customHeight="1" ht="11.549999999999999">
      <c r="A52" s="1533" t="s">
        <v>206</v>
      </c>
      <c r="B52" s="1533" t="s">
        <v>207</v>
      </c>
      <c r="C52" s="1533" t="s">
        <v>208</v>
      </c>
      <c r="D52" s="1533" t="s">
        <v>209</v>
      </c>
      <c r="E52" s="2429"/>
      <c r="F52" s="2429"/>
      <c r="G52" s="2429"/>
      <c r="H52" s="2429"/>
      <c r="I52" s="2426"/>
      <c r="J52" s="1533"/>
      <c r="K52" s="1533"/>
      <c r="L52" s="1534"/>
      <c r="P52" s="2427"/>
      <c r="Q52" s="1501"/>
      <c r="R52" s="526"/>
      <c r="S52" s="1448"/>
      <c r="T52" s="457" t="s">
        <v>424</v>
      </c>
      <c r="U52" s="537"/>
      <c r="V52" s="537"/>
      <c r="W52" s="537"/>
      <c r="X52" s="537"/>
      <c r="Y52" s="537"/>
      <c r="Z52" s="537"/>
      <c r="AA52" s="537"/>
      <c r="AB52" s="537"/>
      <c r="AC52" s="536"/>
      <c r="AD52" s="537"/>
      <c r="AE52" s="537"/>
      <c r="AF52" s="537"/>
      <c r="AG52" s="537"/>
      <c r="AH52" s="537"/>
      <c r="AI52" s="537"/>
      <c r="AJ52" s="537"/>
      <c r="AK52" s="536"/>
      <c r="AL52" s="537"/>
      <c r="AM52" s="473"/>
      <c r="AO52" s="670"/>
      <c r="AP52" s="670" t="str">
        <f>IF(T52="","",T52)</f>
        <v>Добавить группу потребителей</v>
      </c>
      <c r="AQ52" s="670"/>
      <c r="AR52" s="670"/>
      <c r="AS52" s="1325">
        <v>11</v>
      </c>
    </row>
    <row customHeight="1" ht="14.699999999999998">
      <c r="A53" s="1533" t="s">
        <v>206</v>
      </c>
      <c r="B53" s="1533" t="s">
        <v>207</v>
      </c>
      <c r="C53" s="1533" t="s">
        <v>208</v>
      </c>
      <c r="D53" s="1533" t="s">
        <v>209</v>
      </c>
      <c r="E53" s="2429"/>
      <c r="F53" s="2429"/>
      <c r="G53" s="2429"/>
      <c r="H53" s="2428"/>
      <c r="I53" s="1533"/>
      <c r="J53" s="1533"/>
      <c r="K53" s="1533"/>
      <c r="L53" s="1534"/>
      <c r="M53" s="1535"/>
      <c r="N53" s="1535"/>
      <c r="O53" s="707"/>
      <c r="P53" s="530"/>
      <c r="Q53" s="545"/>
      <c r="R53" s="525"/>
      <c r="S53" s="1448"/>
      <c r="T53" s="535" t="s">
        <v>425</v>
      </c>
      <c r="U53" s="537"/>
      <c r="V53" s="537"/>
      <c r="W53" s="537"/>
      <c r="X53" s="537"/>
      <c r="Y53" s="537"/>
      <c r="Z53" s="537"/>
      <c r="AA53" s="537"/>
      <c r="AB53" s="537"/>
      <c r="AC53" s="536"/>
      <c r="AD53" s="537"/>
      <c r="AE53" s="537"/>
      <c r="AF53" s="537"/>
      <c r="AG53" s="537"/>
      <c r="AH53" s="537"/>
      <c r="AI53" s="537"/>
      <c r="AJ53" s="537"/>
      <c r="AK53" s="536"/>
      <c r="AL53" s="537"/>
      <c r="AM53" s="473"/>
      <c r="AO53" s="670"/>
      <c r="AP53" s="670" t="str">
        <f>IF(T53="","",T53)</f>
        <v>Добавить схему подключения</v>
      </c>
      <c r="AQ53" s="670"/>
      <c r="AR53" s="670"/>
      <c r="AS53" s="1325">
        <v>14</v>
      </c>
    </row>
    <row s="11993" customFormat="1" customHeight="1" ht="1.05">
      <c r="A54" s="1513" t="s">
        <v>206</v>
      </c>
      <c r="B54" s="1513" t="s">
        <v>207</v>
      </c>
      <c r="C54" s="1513" t="s">
        <v>208</v>
      </c>
      <c r="D54" s="1484"/>
      <c r="E54" s="2429"/>
      <c r="F54" s="2429"/>
      <c r="G54" s="2428"/>
      <c r="H54" s="1484"/>
      <c r="I54" s="1484"/>
      <c r="J54" s="1484"/>
      <c r="K54" s="1484"/>
      <c r="L54" s="1509"/>
      <c r="M54" s="1485"/>
      <c r="N54" s="1485"/>
      <c r="P54" s="1486"/>
      <c r="Q54" s="1487"/>
      <c r="R54" s="1486"/>
      <c r="S54" s="1492"/>
      <c r="T54" s="1495" t="s">
        <v>165</v>
      </c>
      <c r="U54" s="1494"/>
      <c r="V54" s="1494"/>
      <c r="W54" s="1494"/>
      <c r="X54" s="1494"/>
      <c r="Y54" s="1494"/>
      <c r="Z54" s="1494"/>
      <c r="AA54" s="1494"/>
      <c r="AB54" s="1494"/>
      <c r="AC54" s="1494"/>
      <c r="AD54" s="1494"/>
      <c r="AE54" s="1494"/>
      <c r="AF54" s="1494"/>
      <c r="AG54" s="1494"/>
      <c r="AH54" s="1494"/>
      <c r="AI54" s="1494"/>
      <c r="AJ54" s="1494"/>
      <c r="AK54" s="1494"/>
      <c r="AL54" s="1494"/>
      <c r="AM54" s="1494"/>
      <c r="AO54" s="959"/>
      <c r="AP54" s="959" t="str">
        <f>IF(T54="","",T54)</f>
        <v>Добавить источник для дифференциации</v>
      </c>
      <c r="AQ54" s="959"/>
      <c r="AR54" s="959"/>
      <c r="AS54" s="688">
        <v>1</v>
      </c>
    </row>
    <row s="11993" customFormat="1" customHeight="1" ht="1.05">
      <c r="A55" s="1513" t="s">
        <v>206</v>
      </c>
      <c r="B55" s="1513" t="s">
        <v>207</v>
      </c>
      <c r="C55" s="1484"/>
      <c r="D55" s="1484"/>
      <c r="E55" s="2429"/>
      <c r="F55" s="2428"/>
      <c r="G55" s="1484"/>
      <c r="H55" s="1484"/>
      <c r="I55" s="1484"/>
      <c r="J55" s="1484"/>
      <c r="K55" s="1484"/>
      <c r="L55" s="1509"/>
      <c r="M55" s="1491"/>
      <c r="N55" s="1491"/>
      <c r="P55" s="1486"/>
      <c r="Q55" s="1487"/>
      <c r="R55" s="1486"/>
      <c r="S55" s="1492"/>
      <c r="T55" s="1495" t="s">
        <v>166</v>
      </c>
      <c r="U55" s="1494"/>
      <c r="V55" s="1494"/>
      <c r="W55" s="1494"/>
      <c r="X55" s="1494"/>
      <c r="Y55" s="1494"/>
      <c r="Z55" s="1494"/>
      <c r="AA55" s="1494"/>
      <c r="AB55" s="1494"/>
      <c r="AC55" s="1494"/>
      <c r="AD55" s="1494"/>
      <c r="AE55" s="1494"/>
      <c r="AF55" s="1494"/>
      <c r="AG55" s="1494"/>
      <c r="AH55" s="1494"/>
      <c r="AI55" s="1494"/>
      <c r="AJ55" s="1494"/>
      <c r="AK55" s="1494"/>
      <c r="AL55" s="1494"/>
      <c r="AM55" s="1494"/>
      <c r="AO55" s="959"/>
      <c r="AP55" s="959" t="str">
        <f>IF(T55="","",T55)</f>
        <v>Добавить централизованную систему для дифференциации</v>
      </c>
      <c r="AQ55" s="959"/>
      <c r="AR55" s="959"/>
      <c r="AS55" s="688">
        <v>1</v>
      </c>
    </row>
    <row s="11993" customFormat="1" customHeight="1" ht="1.05">
      <c r="A56" s="1513" t="s">
        <v>206</v>
      </c>
      <c r="B56" s="1513"/>
      <c r="C56" s="1513"/>
      <c r="D56" s="1513"/>
      <c r="E56" s="2428"/>
      <c r="F56" s="1513"/>
      <c r="G56" s="1513"/>
      <c r="H56" s="1513"/>
      <c r="I56" s="1513"/>
      <c r="J56" s="1513"/>
      <c r="K56" s="1513"/>
      <c r="L56" s="1516"/>
      <c r="M56" s="1491"/>
      <c r="N56" s="1491"/>
      <c r="O56" s="688"/>
      <c r="P56" s="550"/>
      <c r="Q56" s="1514"/>
      <c r="R56" s="550"/>
      <c r="S56" s="1492"/>
      <c r="T56" s="1495" t="s">
        <v>167</v>
      </c>
      <c r="U56" s="1494"/>
      <c r="V56" s="1494"/>
      <c r="W56" s="1494"/>
      <c r="X56" s="1494"/>
      <c r="Y56" s="1494"/>
      <c r="Z56" s="1494"/>
      <c r="AA56" s="1494"/>
      <c r="AB56" s="1494"/>
      <c r="AC56" s="1494"/>
      <c r="AD56" s="1494"/>
      <c r="AE56" s="1494"/>
      <c r="AF56" s="1494"/>
      <c r="AG56" s="1494"/>
      <c r="AH56" s="1494"/>
      <c r="AI56" s="1494"/>
      <c r="AJ56" s="1494"/>
      <c r="AK56" s="1494"/>
      <c r="AL56" s="1494"/>
      <c r="AM56" s="1494"/>
      <c r="AO56" s="670"/>
      <c r="AP56" s="670" t="str">
        <f>IF(T56="","",T56)</f>
        <v>Добавить территорию для дифференциации</v>
      </c>
      <c r="AQ56" s="670"/>
      <c r="AR56" s="670"/>
      <c r="AS56" s="681">
        <v>1</v>
      </c>
    </row>
    <row s="11993" customFormat="1" customHeight="1" ht="1.05">
      <c r="A57" s="1484"/>
      <c r="B57" s="1484"/>
      <c r="C57" s="1484"/>
      <c r="D57" s="1484"/>
      <c r="E57" s="1513"/>
      <c r="F57" s="1484"/>
      <c r="G57" s="1484"/>
      <c r="H57" s="1484"/>
      <c r="I57" s="1484"/>
      <c r="J57" s="1484"/>
      <c r="K57" s="1484"/>
      <c r="L57" s="1509"/>
      <c r="M57" s="1491"/>
      <c r="N57" s="1491"/>
      <c r="P57" s="1486"/>
      <c r="Q57" s="1487"/>
      <c r="R57" s="1486"/>
      <c r="S57" s="1492"/>
      <c r="T57" s="1495" t="s">
        <v>168</v>
      </c>
      <c r="U57" s="1494"/>
      <c r="V57" s="1494"/>
      <c r="W57" s="1494"/>
      <c r="X57" s="1494"/>
      <c r="Y57" s="1494"/>
      <c r="Z57" s="1494"/>
      <c r="AA57" s="1494"/>
      <c r="AB57" s="1494"/>
      <c r="AC57" s="1494"/>
      <c r="AD57" s="1494"/>
      <c r="AE57" s="1494"/>
      <c r="AF57" s="1494"/>
      <c r="AG57" s="1494"/>
      <c r="AH57" s="1494"/>
      <c r="AI57" s="1494"/>
      <c r="AJ57" s="1494"/>
      <c r="AK57" s="1494"/>
      <c r="AL57" s="1494"/>
      <c r="AM57" s="1494"/>
      <c r="AO57" s="959"/>
      <c r="AP57" s="959" t="str">
        <f>IF(T57="","",T57)</f>
        <v>Добавить наименование тарифа</v>
      </c>
      <c r="AQ57" s="959"/>
      <c r="AR57" s="959"/>
      <c r="AS57" s="688">
        <v>1</v>
      </c>
    </row>
    <row customHeight="1" ht="11.549999999999999">
      <c r="M58" s="1330"/>
      <c r="N58" s="1330"/>
      <c r="O58" s="707"/>
      <c r="P58" s="1325"/>
      <c r="Q58" s="1325"/>
      <c r="R58" s="1325"/>
      <c r="S58" s="1325"/>
      <c r="AN58" s="1325"/>
      <c r="AO58" s="1325"/>
      <c r="AP58" s="1325"/>
      <c r="AQ58" s="1325"/>
      <c r="AR58" s="1325"/>
      <c r="AS58" s="1325">
        <v>11</v>
      </c>
    </row>
    <row customHeight="1" ht="28.5">
      <c r="O59" s="707"/>
      <c r="S59" s="1423"/>
      <c r="T59" s="2455"/>
      <c r="U59" s="2455"/>
      <c r="V59" s="2455"/>
      <c r="W59" s="2455"/>
      <c r="X59" s="2455"/>
      <c r="Y59" s="2455"/>
      <c r="Z59" s="2455"/>
      <c r="AA59" s="2455"/>
      <c r="AB59" s="2455"/>
      <c r="AC59" s="2455"/>
      <c r="AD59" s="2455"/>
      <c r="AE59" s="2455"/>
      <c r="AF59" s="2455"/>
      <c r="AG59" s="2455"/>
      <c r="AH59" s="2455"/>
      <c r="AI59" s="2455"/>
      <c r="AJ59" s="2455"/>
      <c r="AK59" s="2455"/>
      <c r="AL59" s="2455"/>
      <c r="AM59" s="2455"/>
      <c r="AS59" s="1325">
        <v>27</v>
      </c>
    </row>
    <row customHeight="1" ht="78.75">
      <c r="O60" s="707"/>
      <c r="T60" s="2455"/>
      <c r="U60" s="2455"/>
      <c r="V60" s="2455"/>
      <c r="W60" s="2455"/>
      <c r="X60" s="2455"/>
      <c r="Y60" s="2455"/>
      <c r="Z60" s="2455"/>
      <c r="AA60" s="2455"/>
      <c r="AB60" s="2455"/>
      <c r="AC60" s="2455"/>
      <c r="AD60" s="2455"/>
      <c r="AE60" s="2455"/>
      <c r="AF60" s="2455"/>
      <c r="AG60" s="2455"/>
      <c r="AH60" s="2455"/>
      <c r="AI60" s="2455"/>
      <c r="AJ60" s="2455"/>
      <c r="AK60" s="2455"/>
      <c r="AL60" s="2455"/>
      <c r="AM60" s="2455"/>
      <c r="AS60" s="1325">
        <v>75</v>
      </c>
    </row>
    <row customHeight="1" ht="14.699999999999998">
      <c r="O61" s="707"/>
      <c r="AS61" s="1325">
        <v>14</v>
      </c>
    </row>
    <row customHeight="1" ht="18.75">
      <c r="O62" s="707"/>
      <c r="S62" s="1423"/>
      <c r="T62" s="2455"/>
      <c r="U62" s="2455"/>
      <c r="V62" s="2455"/>
      <c r="W62" s="2455"/>
      <c r="X62" s="2455"/>
      <c r="Y62" s="2455"/>
      <c r="Z62" s="2455"/>
      <c r="AA62" s="2455"/>
      <c r="AB62" s="2455"/>
      <c r="AC62" s="2455"/>
      <c r="AD62" s="2455"/>
      <c r="AE62" s="2455"/>
      <c r="AF62" s="2455"/>
      <c r="AG62" s="2455"/>
      <c r="AH62" s="2455"/>
      <c r="AI62" s="2455"/>
      <c r="AJ62" s="2455"/>
      <c r="AK62" s="2455"/>
      <c r="AL62" s="2455"/>
      <c r="AM62" s="2455"/>
      <c r="AS62" s="1325">
        <v>18</v>
      </c>
    </row>
    <row customHeight="1" ht="18.75">
      <c r="O63" s="707"/>
      <c r="T63" s="2455"/>
      <c r="U63" s="2455"/>
      <c r="V63" s="2455"/>
      <c r="W63" s="2455"/>
      <c r="X63" s="2455"/>
      <c r="Y63" s="2455"/>
      <c r="Z63" s="2455"/>
      <c r="AA63" s="2455"/>
      <c r="AB63" s="2455"/>
      <c r="AC63" s="2455"/>
      <c r="AD63" s="2455"/>
      <c r="AE63" s="2455"/>
      <c r="AF63" s="2455"/>
      <c r="AG63" s="2455"/>
      <c r="AH63" s="2455"/>
      <c r="AI63" s="2455"/>
      <c r="AJ63" s="2455"/>
      <c r="AK63" s="2455"/>
      <c r="AL63" s="2455"/>
      <c r="AM63" s="2455"/>
      <c r="AS63" s="1325">
        <v>18</v>
      </c>
    </row>
    <row customHeight="1" ht="39.75">
      <c r="O64" s="707"/>
      <c r="S64" s="1423"/>
      <c r="T64" s="2455"/>
      <c r="U64" s="2455"/>
      <c r="V64" s="2455"/>
      <c r="W64" s="2455"/>
      <c r="X64" s="2455"/>
      <c r="Y64" s="2455"/>
      <c r="Z64" s="2455"/>
      <c r="AA64" s="2455"/>
      <c r="AB64" s="2455"/>
      <c r="AC64" s="2455"/>
      <c r="AD64" s="2455"/>
      <c r="AE64" s="2455"/>
      <c r="AF64" s="2455"/>
      <c r="AG64" s="2455"/>
      <c r="AH64" s="2455"/>
      <c r="AI64" s="2455"/>
      <c r="AJ64" s="2455"/>
      <c r="AK64" s="2455"/>
      <c r="AL64" s="2455"/>
      <c r="AM64" s="2455"/>
      <c r="AS64" s="1325">
        <v>38</v>
      </c>
    </row>
    <row customHeight="1" ht="22.5" hidden="1">
      <c r="A65" s="1330" t="s">
        <v>85</v>
      </c>
      <c r="B65" s="1330">
        <v>0</v>
      </c>
      <c r="C65" s="1330">
        <v>0</v>
      </c>
      <c r="D65" s="1330">
        <v>0</v>
      </c>
      <c r="E65" s="1330">
        <v>0</v>
      </c>
      <c r="F65" s="1330">
        <v>0</v>
      </c>
      <c r="G65" s="1330">
        <v>0</v>
      </c>
      <c r="H65" s="1330">
        <v>0</v>
      </c>
      <c r="I65" s="1330">
        <v>0</v>
      </c>
      <c r="J65" s="1330">
        <v>0</v>
      </c>
      <c r="K65" s="1330">
        <v>0</v>
      </c>
      <c r="L65" s="1499">
        <v>0</v>
      </c>
      <c r="M65" s="1532">
        <v>0</v>
      </c>
      <c r="N65" s="1532">
        <v>0</v>
      </c>
      <c r="O65" s="1532">
        <v>0</v>
      </c>
      <c r="P65" s="1498">
        <v>3</v>
      </c>
      <c r="Q65" s="514">
        <v>3</v>
      </c>
      <c r="R65" s="514">
        <v>3</v>
      </c>
      <c r="S65" s="751">
        <v>12</v>
      </c>
      <c r="T65" s="1325">
        <v>31</v>
      </c>
      <c r="U65" s="1325">
        <v>0</v>
      </c>
      <c r="V65" s="1325">
        <v>0</v>
      </c>
      <c r="W65" s="1325">
        <v>0</v>
      </c>
      <c r="X65" s="1325">
        <v>0</v>
      </c>
      <c r="Y65" s="1325">
        <v>0</v>
      </c>
      <c r="Z65" s="1325">
        <v>0</v>
      </c>
      <c r="AA65" s="1325">
        <v>0</v>
      </c>
      <c r="AB65" s="1325">
        <v>0</v>
      </c>
      <c r="AC65" s="1325">
        <v>0</v>
      </c>
      <c r="AD65" s="1325">
        <v>0</v>
      </c>
      <c r="AE65" s="1325">
        <v>24</v>
      </c>
      <c r="AF65" s="1325">
        <v>0</v>
      </c>
      <c r="AG65" s="1325">
        <v>0</v>
      </c>
      <c r="AH65" s="1325">
        <v>11</v>
      </c>
      <c r="AI65" s="1325">
        <v>3</v>
      </c>
      <c r="AJ65" s="1325">
        <v>11</v>
      </c>
      <c r="AK65" s="1325">
        <v>0</v>
      </c>
      <c r="AL65" s="1325">
        <v>4</v>
      </c>
      <c r="AM65" s="1325">
        <v>115</v>
      </c>
      <c r="AN65" s="681">
        <v>10</v>
      </c>
      <c r="AO65" s="681">
        <v>10</v>
      </c>
      <c r="AP65" s="681">
        <v>10</v>
      </c>
      <c r="AQ65" s="681">
        <v>10</v>
      </c>
      <c r="AR65" s="681">
        <v>10</v>
      </c>
      <c r="AS65" s="132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3B318C-179C-3365-1E92-5C7D7CB91E59}" mc:Ignorable="x14ac xr xr2 xr3">
  <sheetPr>
    <tabColor theme="6" tint="0.4"/>
  </sheetPr>
  <dimension ref="A1:DM66"/>
  <sheetViews>
    <sheetView topLeftCell="A1" showGridLines="0" zoomScale="90" workbookViewId="0">
      <selection activeCell="AD49" sqref="AD49"/>
    </sheetView>
  </sheetViews>
  <sheetFormatPr defaultColWidth="10.57421875" customHeight="1" defaultRowHeight="14.25"/>
  <cols>
    <col min="1" max="1" style="11992" width="10.57421875" hidden="1"/>
    <col min="2" max="2" style="11992" width="11.00390625" hidden="1" customWidth="1"/>
    <col min="3" max="3" style="11992" width="10.57421875" hidden="1"/>
    <col min="4" max="4" style="11992" width="11.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2.00390625" hidden="1" customWidth="1"/>
    <col min="10" max="10" style="11992" width="9.8515625" hidden="1" customWidth="1"/>
    <col min="11" max="11" style="11992" width="11.421875" hidden="1" customWidth="1"/>
    <col min="12" max="12" style="13388" width="19.140625" hidden="1" customWidth="1"/>
    <col min="13" max="14" style="13389" width="12.28125" hidden="1" customWidth="1"/>
    <col min="15" max="15" style="13389" width="23.421875" hidden="1" customWidth="1"/>
    <col min="16" max="16" style="13390" width="3.7109375" hidden="1" customWidth="1"/>
    <col min="17" max="18" style="13391" width="3.00390625" customWidth="1"/>
    <col min="19" max="19" style="13392" width="12.00390625" customWidth="1"/>
    <col min="20" max="20" style="11913" width="31.00390625" customWidth="1"/>
    <col min="21" max="21" style="11913" width="0.140625" customWidth="1"/>
    <col min="22" max="22" style="11913" width="24.7109375" hidden="1" customWidth="1"/>
    <col min="23" max="23" style="11913" width="0.140625" hidden="1" customWidth="1"/>
    <col min="24" max="25" style="11913" width="24.7109375" hidden="1" customWidth="1"/>
    <col min="26" max="26" style="11913" width="11.7109375" hidden="1" customWidth="1"/>
    <col min="27" max="27" style="11913" width="3.7109375" hidden="1" customWidth="1"/>
    <col min="28" max="28" style="11913" width="11.7109375" hidden="1" customWidth="1"/>
    <col min="29" max="29" style="11913" width="8.57421875" hidden="1" customWidth="1"/>
    <col min="30" max="30" style="11913" width="24.7109375" customWidth="1"/>
    <col min="31" max="31" style="11913" width="0.140625" customWidth="1"/>
    <col min="32" max="33" style="11913" width="24.00390625" customWidth="1"/>
    <col min="34" max="34" style="11913" width="11.00390625" customWidth="1"/>
    <col min="35" max="35" style="11913" width="3.7109375" customWidth="1"/>
    <col min="36" max="36" style="11913" width="11.00390625" customWidth="1"/>
    <col min="37" max="37" style="11913" width="8.57421875" customWidth="1"/>
    <col min="109" max="109" style="62" width="10.57421875" hidden="1"/>
    <col min="110" max="110" style="11913" width="4.00390625" customWidth="1"/>
    <col min="111" max="111" style="11913" width="115.00390625" customWidth="1"/>
    <col min="112" max="116" style="11993" width="10.00390625" customWidth="1"/>
    <col min="117" max="117" style="11913" width="8.421875" hidden="1" customWidth="1"/>
  </cols>
  <sheetData>
    <row customHeight="1" ht="22.5" hidden="1">
      <c r="Y1" s="497"/>
      <c r="Z1" s="497"/>
      <c r="AG1" s="497"/>
      <c r="AH1" s="497"/>
      <c r="AL1" s="8724"/>
      <c r="AM1" s="8724"/>
      <c r="AN1" s="8724"/>
      <c r="AO1" s="8724"/>
      <c r="AP1" s="8724"/>
      <c r="AQ1" s="8724"/>
      <c r="AR1" s="8724"/>
      <c r="AS1" s="8724"/>
      <c r="AT1" s="8724"/>
      <c r="AU1" s="8724"/>
      <c r="AV1" s="8724"/>
      <c r="AW1" s="8724"/>
      <c r="AX1" s="8724"/>
      <c r="AY1" s="8724"/>
      <c r="AZ1" s="8724"/>
      <c r="BA1" s="8724"/>
      <c r="BB1" s="8724"/>
      <c r="BC1" s="8724"/>
      <c r="BD1" s="8724"/>
      <c r="BE1" s="8724"/>
      <c r="BF1" s="8724"/>
      <c r="BG1" s="8724"/>
      <c r="BH1" s="8724"/>
      <c r="BI1" s="8724"/>
      <c r="BJ1" s="8724"/>
      <c r="BK1" s="8724"/>
      <c r="BL1" s="8724"/>
      <c r="BM1" s="8724"/>
      <c r="BN1" s="8724"/>
      <c r="BO1" s="8724"/>
      <c r="BP1" s="8724"/>
      <c r="BQ1" s="8724"/>
      <c r="BR1" s="8724"/>
      <c r="BS1" s="8724"/>
      <c r="BT1" s="8724"/>
      <c r="BU1" s="8724"/>
      <c r="BV1" s="8724"/>
      <c r="BW1" s="8724"/>
      <c r="BX1" s="8724"/>
      <c r="BY1" s="8724"/>
      <c r="BZ1" s="8724"/>
      <c r="CA1" s="8724"/>
      <c r="CB1" s="8724"/>
      <c r="CC1" s="8724"/>
      <c r="CD1" s="8724"/>
      <c r="CE1" s="8724"/>
      <c r="CF1" s="8724"/>
      <c r="CG1" s="8724"/>
      <c r="CH1" s="8724"/>
      <c r="CI1" s="8724"/>
      <c r="CJ1" s="8724"/>
      <c r="CK1" s="8724"/>
      <c r="CL1" s="8724"/>
      <c r="CM1" s="8724"/>
      <c r="CN1" s="8724"/>
      <c r="CO1" s="8724"/>
      <c r="CP1" s="8724"/>
      <c r="CQ1" s="8724"/>
      <c r="CR1" s="8724"/>
      <c r="CS1" s="8724"/>
      <c r="CT1" s="8724"/>
      <c r="CU1" s="8724"/>
      <c r="CV1" s="8724"/>
      <c r="CW1" s="8724"/>
      <c r="CX1" s="8724"/>
      <c r="CY1" s="8724"/>
      <c r="CZ1" s="8724"/>
      <c r="DA1" s="8724"/>
      <c r="DB1" s="8724"/>
      <c r="DC1" s="8724"/>
      <c r="DD1" s="8724"/>
      <c r="DE1" s="8724"/>
      <c r="DM1" s="1325" t="s">
        <v>14</v>
      </c>
    </row>
    <row customHeight="1" ht="21" hidden="1">
      <c r="A2" s="1533"/>
      <c r="B2" s="1533"/>
      <c r="C2" s="1533"/>
      <c r="D2" s="1533"/>
      <c r="E2" s="2428">
        <v>1</v>
      </c>
      <c r="F2" s="1533"/>
      <c r="G2" s="1533"/>
      <c r="H2" s="1533"/>
      <c r="I2" s="1533"/>
      <c r="J2" s="1533"/>
      <c r="K2" s="1533"/>
      <c r="L2" s="1534"/>
      <c r="M2" s="1535"/>
      <c r="N2" s="1535"/>
      <c r="O2" s="1535"/>
      <c r="P2" s="531"/>
      <c r="Q2" s="530"/>
      <c r="R2" s="525"/>
      <c r="S2" s="1506">
        <f>INDEX(PT_DIFFERENTIATION_NUM_NTAR,MATCH(A2,PT_DIFFERENTIATION_NTAR_ID,0))</f>
      </c>
      <c r="T2" s="468" t="s">
        <v>126</v>
      </c>
      <c r="U2" s="470"/>
      <c r="V2" s="2412"/>
      <c r="W2" s="2413"/>
      <c r="X2" s="2413"/>
      <c r="Y2" s="2413"/>
      <c r="Z2" s="2413"/>
      <c r="AA2" s="2413"/>
      <c r="AB2" s="2413"/>
      <c r="AC2" s="2414"/>
      <c r="AD2" s="2412">
        <f>INDEX(PT_DIFFERENTIATION_NTAR,MATCH(A2,PT_DIFFERENTIATION_NTAR_ID,0))</f>
      </c>
      <c r="AE2" s="2413"/>
      <c r="AF2" s="2413"/>
      <c r="AG2" s="2413"/>
      <c r="AH2" s="2413"/>
      <c r="AI2" s="2413"/>
      <c r="AJ2" s="2413"/>
      <c r="AK2" s="2413"/>
      <c r="AL2" s="8738"/>
      <c r="AM2" s="8739"/>
      <c r="AN2" s="8739"/>
      <c r="AO2" s="8739"/>
      <c r="AP2" s="8739"/>
      <c r="AQ2" s="8739"/>
      <c r="AR2" s="8739"/>
      <c r="AS2" s="8740"/>
      <c r="AT2" s="8738"/>
      <c r="AU2" s="8739"/>
      <c r="AV2" s="8739"/>
      <c r="AW2" s="8739"/>
      <c r="AX2" s="8739"/>
      <c r="AY2" s="8739"/>
      <c r="AZ2" s="8739"/>
      <c r="BA2" s="8740"/>
      <c r="BB2" s="8738"/>
      <c r="BC2" s="8739"/>
      <c r="BD2" s="8739"/>
      <c r="BE2" s="8739"/>
      <c r="BF2" s="8739"/>
      <c r="BG2" s="8739"/>
      <c r="BH2" s="8739"/>
      <c r="BI2" s="8740"/>
      <c r="BJ2" s="8738"/>
      <c r="BK2" s="8739"/>
      <c r="BL2" s="8739"/>
      <c r="BM2" s="8739"/>
      <c r="BN2" s="8739"/>
      <c r="BO2" s="8739"/>
      <c r="BP2" s="8739"/>
      <c r="BQ2" s="8740"/>
      <c r="BR2" s="8738"/>
      <c r="BS2" s="8739"/>
      <c r="BT2" s="8739"/>
      <c r="BU2" s="8739"/>
      <c r="BV2" s="8739"/>
      <c r="BW2" s="8739"/>
      <c r="BX2" s="8739"/>
      <c r="BY2" s="8740"/>
      <c r="BZ2" s="8738"/>
      <c r="CA2" s="8739"/>
      <c r="CB2" s="8739"/>
      <c r="CC2" s="8739"/>
      <c r="CD2" s="8739"/>
      <c r="CE2" s="8739"/>
      <c r="CF2" s="8739"/>
      <c r="CG2" s="8740"/>
      <c r="CH2" s="8738"/>
      <c r="CI2" s="8739"/>
      <c r="CJ2" s="8739"/>
      <c r="CK2" s="8739"/>
      <c r="CL2" s="8739"/>
      <c r="CM2" s="8739"/>
      <c r="CN2" s="8739"/>
      <c r="CO2" s="8740"/>
      <c r="CP2" s="8738"/>
      <c r="CQ2" s="8739"/>
      <c r="CR2" s="8739"/>
      <c r="CS2" s="8739"/>
      <c r="CT2" s="8739"/>
      <c r="CU2" s="8739"/>
      <c r="CV2" s="8739"/>
      <c r="CW2" s="8740"/>
      <c r="CX2" s="8738"/>
      <c r="CY2" s="8739"/>
      <c r="CZ2" s="8739"/>
      <c r="DA2" s="8739"/>
      <c r="DB2" s="8739"/>
      <c r="DC2" s="8739"/>
      <c r="DD2" s="8739"/>
      <c r="DE2" s="8740"/>
      <c r="DF2" s="2414"/>
      <c r="DG2" s="1428" t="s">
        <v>408</v>
      </c>
      <c r="DI2" s="670"/>
      <c r="DJ2" s="670" t="str">
        <f>IF(T2="","",T2)</f>
        <v>Наименование тарифа</v>
      </c>
      <c r="DK2" s="670"/>
      <c r="DL2" s="670"/>
      <c r="DM2" s="1325">
        <v>0</v>
      </c>
    </row>
    <row customHeight="1" ht="21" hidden="1">
      <c r="A3" s="1533"/>
      <c r="B3" s="1533"/>
      <c r="C3" s="1533"/>
      <c r="D3" s="1533"/>
      <c r="E3" s="2429"/>
      <c r="F3" s="2428">
        <v>1</v>
      </c>
      <c r="G3" s="1533"/>
      <c r="H3" s="1533"/>
      <c r="I3" s="1533"/>
      <c r="J3" s="1533"/>
      <c r="K3" s="1533"/>
      <c r="L3" s="1534"/>
      <c r="M3" s="1535"/>
      <c r="N3" s="1535"/>
      <c r="O3" s="1535"/>
      <c r="P3" s="1502"/>
      <c r="Q3" s="522"/>
      <c r="R3" s="523"/>
      <c r="S3" s="1506">
        <f>INDEX(PT_DIFFERENTIATION_NUM_TER,MATCH(B3,PT_DIFFERENTIATION_TER_ID,0))</f>
      </c>
      <c r="T3" s="478" t="s">
        <v>409</v>
      </c>
      <c r="U3" s="470"/>
      <c r="V3" s="2412"/>
      <c r="W3" s="2413"/>
      <c r="X3" s="2413"/>
      <c r="Y3" s="2413"/>
      <c r="Z3" s="2413"/>
      <c r="AA3" s="2413"/>
      <c r="AB3" s="2413"/>
      <c r="AC3" s="2414"/>
      <c r="AD3" s="2412">
        <f>INDEX(PT_DIFFERENTIATION_TER,MATCH(B3,PT_DIFFERENTIATION_TER_ID,0))</f>
      </c>
      <c r="AE3" s="2413"/>
      <c r="AF3" s="2413"/>
      <c r="AG3" s="2413"/>
      <c r="AH3" s="2413"/>
      <c r="AI3" s="2413"/>
      <c r="AJ3" s="2413"/>
      <c r="AK3" s="2413"/>
      <c r="AL3" s="8738"/>
      <c r="AM3" s="8739"/>
      <c r="AN3" s="8739"/>
      <c r="AO3" s="8739"/>
      <c r="AP3" s="8739"/>
      <c r="AQ3" s="8739"/>
      <c r="AR3" s="8739"/>
      <c r="AS3" s="8740"/>
      <c r="AT3" s="8738"/>
      <c r="AU3" s="8739"/>
      <c r="AV3" s="8739"/>
      <c r="AW3" s="8739"/>
      <c r="AX3" s="8739"/>
      <c r="AY3" s="8739"/>
      <c r="AZ3" s="8739"/>
      <c r="BA3" s="8740"/>
      <c r="BB3" s="8738"/>
      <c r="BC3" s="8739"/>
      <c r="BD3" s="8739"/>
      <c r="BE3" s="8739"/>
      <c r="BF3" s="8739"/>
      <c r="BG3" s="8739"/>
      <c r="BH3" s="8739"/>
      <c r="BI3" s="8740"/>
      <c r="BJ3" s="8738"/>
      <c r="BK3" s="8739"/>
      <c r="BL3" s="8739"/>
      <c r="BM3" s="8739"/>
      <c r="BN3" s="8739"/>
      <c r="BO3" s="8739"/>
      <c r="BP3" s="8739"/>
      <c r="BQ3" s="8740"/>
      <c r="BR3" s="8738"/>
      <c r="BS3" s="8739"/>
      <c r="BT3" s="8739"/>
      <c r="BU3" s="8739"/>
      <c r="BV3" s="8739"/>
      <c r="BW3" s="8739"/>
      <c r="BX3" s="8739"/>
      <c r="BY3" s="8740"/>
      <c r="BZ3" s="8738"/>
      <c r="CA3" s="8739"/>
      <c r="CB3" s="8739"/>
      <c r="CC3" s="8739"/>
      <c r="CD3" s="8739"/>
      <c r="CE3" s="8739"/>
      <c r="CF3" s="8739"/>
      <c r="CG3" s="8740"/>
      <c r="CH3" s="8738"/>
      <c r="CI3" s="8739"/>
      <c r="CJ3" s="8739"/>
      <c r="CK3" s="8739"/>
      <c r="CL3" s="8739"/>
      <c r="CM3" s="8739"/>
      <c r="CN3" s="8739"/>
      <c r="CO3" s="8740"/>
      <c r="CP3" s="8738"/>
      <c r="CQ3" s="8739"/>
      <c r="CR3" s="8739"/>
      <c r="CS3" s="8739"/>
      <c r="CT3" s="8739"/>
      <c r="CU3" s="8739"/>
      <c r="CV3" s="8739"/>
      <c r="CW3" s="8740"/>
      <c r="CX3" s="8738"/>
      <c r="CY3" s="8739"/>
      <c r="CZ3" s="8739"/>
      <c r="DA3" s="8739"/>
      <c r="DB3" s="8739"/>
      <c r="DC3" s="8739"/>
      <c r="DD3" s="8739"/>
      <c r="DE3" s="8740"/>
      <c r="DF3" s="2414"/>
      <c r="DG3" s="1428" t="s">
        <v>410</v>
      </c>
      <c r="DI3" s="670"/>
      <c r="DJ3" s="670" t="str">
        <f>IF(T3="","",T3)</f>
        <v>Территория действия тарифа</v>
      </c>
      <c r="DK3" s="670"/>
      <c r="DL3" s="670"/>
      <c r="DM3" s="1325">
        <v>0</v>
      </c>
    </row>
    <row customHeight="1" ht="23.25" hidden="1">
      <c r="A4" s="1533"/>
      <c r="B4" s="1533"/>
      <c r="C4" s="1533"/>
      <c r="D4" s="1533"/>
      <c r="E4" s="2429"/>
      <c r="F4" s="2429"/>
      <c r="G4" s="2428">
        <v>1</v>
      </c>
      <c r="H4" s="1533"/>
      <c r="I4" s="1533"/>
      <c r="J4" s="1533"/>
      <c r="K4" s="1533"/>
      <c r="L4" s="1534"/>
      <c r="M4" s="1535"/>
      <c r="N4" s="1535"/>
      <c r="O4" s="1535"/>
      <c r="P4" s="524"/>
      <c r="Q4" s="522"/>
      <c r="R4" s="523"/>
      <c r="S4" s="1506">
        <f>INDEX(PT_DIFFERENTIATION_NUM_CS,MATCH(C4,PT_DIFFERENTIATION_CS_ID,0))</f>
      </c>
      <c r="T4" s="479" t="s">
        <v>411</v>
      </c>
      <c r="U4" s="470"/>
      <c r="V4" s="2412"/>
      <c r="W4" s="2413"/>
      <c r="X4" s="2413"/>
      <c r="Y4" s="2413"/>
      <c r="Z4" s="2413"/>
      <c r="AA4" s="2413"/>
      <c r="AB4" s="2413"/>
      <c r="AC4" s="2414"/>
      <c r="AD4" s="2412">
        <f>INDEX(PT_DIFFERENTIATION_CS,MATCH(C4,PT_DIFFERENTIATION_CS_ID,0))</f>
      </c>
      <c r="AE4" s="2413"/>
      <c r="AF4" s="2413"/>
      <c r="AG4" s="2413"/>
      <c r="AH4" s="2413"/>
      <c r="AI4" s="2413"/>
      <c r="AJ4" s="2413"/>
      <c r="AK4" s="2413"/>
      <c r="AL4" s="8738"/>
      <c r="AM4" s="8739"/>
      <c r="AN4" s="8739"/>
      <c r="AO4" s="8739"/>
      <c r="AP4" s="8739"/>
      <c r="AQ4" s="8739"/>
      <c r="AR4" s="8739"/>
      <c r="AS4" s="8740"/>
      <c r="AT4" s="8738"/>
      <c r="AU4" s="8739"/>
      <c r="AV4" s="8739"/>
      <c r="AW4" s="8739"/>
      <c r="AX4" s="8739"/>
      <c r="AY4" s="8739"/>
      <c r="AZ4" s="8739"/>
      <c r="BA4" s="8740"/>
      <c r="BB4" s="8738"/>
      <c r="BC4" s="8739"/>
      <c r="BD4" s="8739"/>
      <c r="BE4" s="8739"/>
      <c r="BF4" s="8739"/>
      <c r="BG4" s="8739"/>
      <c r="BH4" s="8739"/>
      <c r="BI4" s="8740"/>
      <c r="BJ4" s="8738"/>
      <c r="BK4" s="8739"/>
      <c r="BL4" s="8739"/>
      <c r="BM4" s="8739"/>
      <c r="BN4" s="8739"/>
      <c r="BO4" s="8739"/>
      <c r="BP4" s="8739"/>
      <c r="BQ4" s="8740"/>
      <c r="BR4" s="8738"/>
      <c r="BS4" s="8739"/>
      <c r="BT4" s="8739"/>
      <c r="BU4" s="8739"/>
      <c r="BV4" s="8739"/>
      <c r="BW4" s="8739"/>
      <c r="BX4" s="8739"/>
      <c r="BY4" s="8740"/>
      <c r="BZ4" s="8738"/>
      <c r="CA4" s="8739"/>
      <c r="CB4" s="8739"/>
      <c r="CC4" s="8739"/>
      <c r="CD4" s="8739"/>
      <c r="CE4" s="8739"/>
      <c r="CF4" s="8739"/>
      <c r="CG4" s="8740"/>
      <c r="CH4" s="8738"/>
      <c r="CI4" s="8739"/>
      <c r="CJ4" s="8739"/>
      <c r="CK4" s="8739"/>
      <c r="CL4" s="8739"/>
      <c r="CM4" s="8739"/>
      <c r="CN4" s="8739"/>
      <c r="CO4" s="8740"/>
      <c r="CP4" s="8738"/>
      <c r="CQ4" s="8739"/>
      <c r="CR4" s="8739"/>
      <c r="CS4" s="8739"/>
      <c r="CT4" s="8739"/>
      <c r="CU4" s="8739"/>
      <c r="CV4" s="8739"/>
      <c r="CW4" s="8740"/>
      <c r="CX4" s="8738"/>
      <c r="CY4" s="8739"/>
      <c r="CZ4" s="8739"/>
      <c r="DA4" s="8739"/>
      <c r="DB4" s="8739"/>
      <c r="DC4" s="8739"/>
      <c r="DD4" s="8739"/>
      <c r="DE4" s="8740"/>
      <c r="DF4" s="2414"/>
      <c r="DG4" s="1428" t="s">
        <v>412</v>
      </c>
      <c r="DI4" s="670"/>
      <c r="DJ4" s="670" t="str">
        <f>IF(T4="","",T4)</f>
        <v>Наименование системы теплоснабжения </v>
      </c>
      <c r="DK4" s="670"/>
      <c r="DL4" s="670"/>
      <c r="DM4" s="1325">
        <v>0</v>
      </c>
    </row>
    <row customHeight="1" ht="21" hidden="1">
      <c r="A5" s="1533"/>
      <c r="B5" s="1533"/>
      <c r="C5" s="1533"/>
      <c r="D5" s="1533"/>
      <c r="E5" s="2429"/>
      <c r="F5" s="2429"/>
      <c r="G5" s="2429"/>
      <c r="H5" s="2428">
        <v>1</v>
      </c>
      <c r="I5" s="1533"/>
      <c r="J5" s="1533"/>
      <c r="K5" s="1533"/>
      <c r="L5" s="1534"/>
      <c r="M5" s="1535"/>
      <c r="N5" s="1535"/>
      <c r="O5" s="1535"/>
      <c r="P5" s="524"/>
      <c r="Q5" s="522"/>
      <c r="R5" s="523"/>
      <c r="S5" s="1506">
        <f>INDEX(PT_DIFFERENTIATION_NUM_IST_TE,MATCH(D5,PT_DIFFERENTIATION_IST_TE_ID,0))</f>
      </c>
      <c r="T5" s="480" t="s">
        <v>413</v>
      </c>
      <c r="U5" s="470"/>
      <c r="V5" s="2412"/>
      <c r="W5" s="2413"/>
      <c r="X5" s="2413"/>
      <c r="Y5" s="2413"/>
      <c r="Z5" s="2413"/>
      <c r="AA5" s="2413"/>
      <c r="AB5" s="2413"/>
      <c r="AC5" s="2414"/>
      <c r="AD5" s="2412">
        <f>INDEX(PT_DIFFERENTIATION_IST_TE,MATCH(D5,PT_DIFFERENTIATION_IST_TE_ID,0))</f>
      </c>
      <c r="AE5" s="2413"/>
      <c r="AF5" s="2413"/>
      <c r="AG5" s="2413"/>
      <c r="AH5" s="2413"/>
      <c r="AI5" s="2413"/>
      <c r="AJ5" s="2413"/>
      <c r="AK5" s="2413"/>
      <c r="AL5" s="8738"/>
      <c r="AM5" s="8739"/>
      <c r="AN5" s="8739"/>
      <c r="AO5" s="8739"/>
      <c r="AP5" s="8739"/>
      <c r="AQ5" s="8739"/>
      <c r="AR5" s="8739"/>
      <c r="AS5" s="8740"/>
      <c r="AT5" s="8738"/>
      <c r="AU5" s="8739"/>
      <c r="AV5" s="8739"/>
      <c r="AW5" s="8739"/>
      <c r="AX5" s="8739"/>
      <c r="AY5" s="8739"/>
      <c r="AZ5" s="8739"/>
      <c r="BA5" s="8740"/>
      <c r="BB5" s="8738"/>
      <c r="BC5" s="8739"/>
      <c r="BD5" s="8739"/>
      <c r="BE5" s="8739"/>
      <c r="BF5" s="8739"/>
      <c r="BG5" s="8739"/>
      <c r="BH5" s="8739"/>
      <c r="BI5" s="8740"/>
      <c r="BJ5" s="8738"/>
      <c r="BK5" s="8739"/>
      <c r="BL5" s="8739"/>
      <c r="BM5" s="8739"/>
      <c r="BN5" s="8739"/>
      <c r="BO5" s="8739"/>
      <c r="BP5" s="8739"/>
      <c r="BQ5" s="8740"/>
      <c r="BR5" s="8738"/>
      <c r="BS5" s="8739"/>
      <c r="BT5" s="8739"/>
      <c r="BU5" s="8739"/>
      <c r="BV5" s="8739"/>
      <c r="BW5" s="8739"/>
      <c r="BX5" s="8739"/>
      <c r="BY5" s="8740"/>
      <c r="BZ5" s="8738"/>
      <c r="CA5" s="8739"/>
      <c r="CB5" s="8739"/>
      <c r="CC5" s="8739"/>
      <c r="CD5" s="8739"/>
      <c r="CE5" s="8739"/>
      <c r="CF5" s="8739"/>
      <c r="CG5" s="8740"/>
      <c r="CH5" s="8738"/>
      <c r="CI5" s="8739"/>
      <c r="CJ5" s="8739"/>
      <c r="CK5" s="8739"/>
      <c r="CL5" s="8739"/>
      <c r="CM5" s="8739"/>
      <c r="CN5" s="8739"/>
      <c r="CO5" s="8740"/>
      <c r="CP5" s="8738"/>
      <c r="CQ5" s="8739"/>
      <c r="CR5" s="8739"/>
      <c r="CS5" s="8739"/>
      <c r="CT5" s="8739"/>
      <c r="CU5" s="8739"/>
      <c r="CV5" s="8739"/>
      <c r="CW5" s="8740"/>
      <c r="CX5" s="8738"/>
      <c r="CY5" s="8739"/>
      <c r="CZ5" s="8739"/>
      <c r="DA5" s="8739"/>
      <c r="DB5" s="8739"/>
      <c r="DC5" s="8739"/>
      <c r="DD5" s="8739"/>
      <c r="DE5" s="8740"/>
      <c r="DF5" s="2414"/>
      <c r="DG5" s="1428" t="s">
        <v>414</v>
      </c>
      <c r="DI5" s="670"/>
      <c r="DJ5" s="670" t="str">
        <f>IF(T5="","",T5)</f>
        <v>Источник тепловой энергии  </v>
      </c>
      <c r="DK5" s="670"/>
      <c r="DL5" s="670"/>
      <c r="DM5" s="1325">
        <v>0</v>
      </c>
    </row>
    <row customHeight="1" ht="14.25" hidden="1">
      <c r="A6" s="1533"/>
      <c r="B6" s="1533"/>
      <c r="C6" s="1533"/>
      <c r="D6" s="1533"/>
      <c r="E6" s="2429"/>
      <c r="F6" s="2429"/>
      <c r="G6" s="2429"/>
      <c r="H6" s="2429"/>
      <c r="I6" s="2426">
        <f>S5&amp;".1"</f>
      </c>
      <c r="J6" s="1533"/>
      <c r="K6" s="1533"/>
      <c r="L6" s="1534" t="s">
        <v>415</v>
      </c>
      <c r="M6" s="707"/>
      <c r="P6" s="2427">
        <v>1</v>
      </c>
      <c r="Q6" s="1501"/>
      <c r="R6" s="526"/>
      <c r="S6" s="1212"/>
      <c r="T6" s="1553"/>
      <c r="U6" s="1554"/>
      <c r="V6" s="2466"/>
      <c r="W6" s="2467"/>
      <c r="X6" s="2467"/>
      <c r="Y6" s="2467"/>
      <c r="Z6" s="2467"/>
      <c r="AA6" s="2467"/>
      <c r="AB6" s="2467"/>
      <c r="AC6" s="2468"/>
      <c r="AD6" s="2466"/>
      <c r="AE6" s="2467"/>
      <c r="AF6" s="2467"/>
      <c r="AG6" s="2467"/>
      <c r="AH6" s="2467"/>
      <c r="AI6" s="2467"/>
      <c r="AJ6" s="2467"/>
      <c r="AK6" s="2467"/>
      <c r="AL6" s="9849"/>
      <c r="AM6" s="9850"/>
      <c r="AN6" s="9850"/>
      <c r="AO6" s="9850"/>
      <c r="AP6" s="9850"/>
      <c r="AQ6" s="9850"/>
      <c r="AR6" s="9850"/>
      <c r="AS6" s="9851"/>
      <c r="AT6" s="9849"/>
      <c r="AU6" s="9850"/>
      <c r="AV6" s="9850"/>
      <c r="AW6" s="9850"/>
      <c r="AX6" s="9850"/>
      <c r="AY6" s="9850"/>
      <c r="AZ6" s="9850"/>
      <c r="BA6" s="9851"/>
      <c r="BB6" s="9849"/>
      <c r="BC6" s="9850"/>
      <c r="BD6" s="9850"/>
      <c r="BE6" s="9850"/>
      <c r="BF6" s="9850"/>
      <c r="BG6" s="9850"/>
      <c r="BH6" s="9850"/>
      <c r="BI6" s="9851"/>
      <c r="BJ6" s="9849"/>
      <c r="BK6" s="9850"/>
      <c r="BL6" s="9850"/>
      <c r="BM6" s="9850"/>
      <c r="BN6" s="9850"/>
      <c r="BO6" s="9850"/>
      <c r="BP6" s="9850"/>
      <c r="BQ6" s="9851"/>
      <c r="BR6" s="9849"/>
      <c r="BS6" s="9850"/>
      <c r="BT6" s="9850"/>
      <c r="BU6" s="9850"/>
      <c r="BV6" s="9850"/>
      <c r="BW6" s="9850"/>
      <c r="BX6" s="9850"/>
      <c r="BY6" s="9851"/>
      <c r="BZ6" s="9849"/>
      <c r="CA6" s="9850"/>
      <c r="CB6" s="9850"/>
      <c r="CC6" s="9850"/>
      <c r="CD6" s="9850"/>
      <c r="CE6" s="9850"/>
      <c r="CF6" s="9850"/>
      <c r="CG6" s="9851"/>
      <c r="CH6" s="9849"/>
      <c r="CI6" s="9850"/>
      <c r="CJ6" s="9850"/>
      <c r="CK6" s="9850"/>
      <c r="CL6" s="9850"/>
      <c r="CM6" s="9850"/>
      <c r="CN6" s="9850"/>
      <c r="CO6" s="9851"/>
      <c r="CP6" s="9849"/>
      <c r="CQ6" s="9850"/>
      <c r="CR6" s="9850"/>
      <c r="CS6" s="9850"/>
      <c r="CT6" s="9850"/>
      <c r="CU6" s="9850"/>
      <c r="CV6" s="9850"/>
      <c r="CW6" s="9851"/>
      <c r="CX6" s="9849"/>
      <c r="CY6" s="9850"/>
      <c r="CZ6" s="9850"/>
      <c r="DA6" s="9850"/>
      <c r="DB6" s="9850"/>
      <c r="DC6" s="9850"/>
      <c r="DD6" s="9850"/>
      <c r="DE6" s="9851"/>
      <c r="DF6" s="2468"/>
      <c r="DG6" s="1555"/>
      <c r="DI6" s="670"/>
      <c r="DJ6" s="670" t="str">
        <f>IF(T6="","",T6)</f>
        <v/>
      </c>
      <c r="DK6" s="670"/>
      <c r="DL6" s="670"/>
      <c r="DM6" s="1325">
        <v>0</v>
      </c>
    </row>
    <row customHeight="1" ht="21" hidden="1">
      <c r="A7" s="1533"/>
      <c r="B7" s="1533"/>
      <c r="C7" s="1533"/>
      <c r="D7" s="1533"/>
      <c r="E7" s="2429"/>
      <c r="F7" s="2429"/>
      <c r="G7" s="2429"/>
      <c r="H7" s="2429"/>
      <c r="I7" s="2456"/>
      <c r="J7" s="2426">
        <f>I6&amp;".1"</f>
      </c>
      <c r="K7" s="1533"/>
      <c r="L7" s="1534" t="s">
        <v>418</v>
      </c>
      <c r="M7" s="707"/>
      <c r="N7" s="1536"/>
      <c r="P7" s="2427"/>
      <c r="Q7" s="2427">
        <v>1</v>
      </c>
      <c r="R7" s="527"/>
      <c r="S7" s="1506">
        <f>$J7</f>
      </c>
      <c r="T7" s="456" t="s">
        <v>419</v>
      </c>
      <c r="U7" s="470"/>
      <c r="V7" s="2415"/>
      <c r="W7" s="2416"/>
      <c r="X7" s="2416"/>
      <c r="Y7" s="2416"/>
      <c r="Z7" s="2416"/>
      <c r="AA7" s="2416"/>
      <c r="AB7" s="2416"/>
      <c r="AC7" s="2417"/>
      <c r="AD7" s="2415"/>
      <c r="AE7" s="2416"/>
      <c r="AF7" s="2416"/>
      <c r="AG7" s="2416"/>
      <c r="AH7" s="2416"/>
      <c r="AI7" s="2416"/>
      <c r="AJ7" s="2416"/>
      <c r="AK7" s="2416"/>
      <c r="AL7" s="8759"/>
      <c r="AM7" s="8760"/>
      <c r="AN7" s="8760"/>
      <c r="AO7" s="8760"/>
      <c r="AP7" s="8760"/>
      <c r="AQ7" s="8760"/>
      <c r="AR7" s="8760"/>
      <c r="AS7" s="8761"/>
      <c r="AT7" s="8759"/>
      <c r="AU7" s="8760"/>
      <c r="AV7" s="8760"/>
      <c r="AW7" s="8760"/>
      <c r="AX7" s="8760"/>
      <c r="AY7" s="8760"/>
      <c r="AZ7" s="8760"/>
      <c r="BA7" s="8761"/>
      <c r="BB7" s="8759"/>
      <c r="BC7" s="8760"/>
      <c r="BD7" s="8760"/>
      <c r="BE7" s="8760"/>
      <c r="BF7" s="8760"/>
      <c r="BG7" s="8760"/>
      <c r="BH7" s="8760"/>
      <c r="BI7" s="8761"/>
      <c r="BJ7" s="8759"/>
      <c r="BK7" s="8760"/>
      <c r="BL7" s="8760"/>
      <c r="BM7" s="8760"/>
      <c r="BN7" s="8760"/>
      <c r="BO7" s="8760"/>
      <c r="BP7" s="8760"/>
      <c r="BQ7" s="8761"/>
      <c r="BR7" s="8759"/>
      <c r="BS7" s="8760"/>
      <c r="BT7" s="8760"/>
      <c r="BU7" s="8760"/>
      <c r="BV7" s="8760"/>
      <c r="BW7" s="8760"/>
      <c r="BX7" s="8760"/>
      <c r="BY7" s="8761"/>
      <c r="BZ7" s="8759"/>
      <c r="CA7" s="8760"/>
      <c r="CB7" s="8760"/>
      <c r="CC7" s="8760"/>
      <c r="CD7" s="8760"/>
      <c r="CE7" s="8760"/>
      <c r="CF7" s="8760"/>
      <c r="CG7" s="8761"/>
      <c r="CH7" s="8759"/>
      <c r="CI7" s="8760"/>
      <c r="CJ7" s="8760"/>
      <c r="CK7" s="8760"/>
      <c r="CL7" s="8760"/>
      <c r="CM7" s="8760"/>
      <c r="CN7" s="8760"/>
      <c r="CO7" s="8761"/>
      <c r="CP7" s="8759"/>
      <c r="CQ7" s="8760"/>
      <c r="CR7" s="8760"/>
      <c r="CS7" s="8760"/>
      <c r="CT7" s="8760"/>
      <c r="CU7" s="8760"/>
      <c r="CV7" s="8760"/>
      <c r="CW7" s="8761"/>
      <c r="CX7" s="8759"/>
      <c r="CY7" s="8760"/>
      <c r="CZ7" s="8760"/>
      <c r="DA7" s="8760"/>
      <c r="DB7" s="8760"/>
      <c r="DC7" s="8760"/>
      <c r="DD7" s="8760"/>
      <c r="DE7" s="8761"/>
      <c r="DF7" s="2417"/>
      <c r="DG7" s="1428" t="s">
        <v>420</v>
      </c>
      <c r="DI7" s="670"/>
      <c r="DJ7" s="670" t="str">
        <f>IF(T7="","",T7)</f>
        <v>Группа потребителей</v>
      </c>
      <c r="DK7" s="670"/>
      <c r="DL7" s="670"/>
      <c r="DM7" s="1325">
        <v>0</v>
      </c>
    </row>
    <row customHeight="1" ht="21" hidden="1">
      <c r="A8" s="1533"/>
      <c r="B8" s="1533"/>
      <c r="C8" s="1533"/>
      <c r="D8" s="1533"/>
      <c r="E8" s="2429"/>
      <c r="F8" s="2429"/>
      <c r="G8" s="2429"/>
      <c r="H8" s="2429"/>
      <c r="I8" s="2456"/>
      <c r="J8" s="2456"/>
      <c r="K8" s="2426">
        <f>J7&amp;".1"</f>
      </c>
      <c r="L8" s="1534" t="s">
        <v>421</v>
      </c>
      <c r="M8" s="707"/>
      <c r="N8" s="1536"/>
      <c r="O8" s="1536"/>
      <c r="P8" s="2427"/>
      <c r="Q8" s="2427"/>
      <c r="R8" s="527">
        <v>1</v>
      </c>
      <c r="S8" s="1506">
        <f>$K8</f>
      </c>
      <c r="T8" s="1517"/>
      <c r="U8" s="470"/>
      <c r="V8" s="921"/>
      <c r="W8" s="495"/>
      <c r="X8" s="921"/>
      <c r="Y8" s="1427"/>
      <c r="Z8" s="2435"/>
      <c r="AA8" s="2277" t="s">
        <v>64</v>
      </c>
      <c r="AB8" s="2435"/>
      <c r="AC8" s="2277" t="s">
        <v>64</v>
      </c>
      <c r="AD8" s="921"/>
      <c r="AE8" s="495"/>
      <c r="AF8" s="921"/>
      <c r="AG8" s="1427"/>
      <c r="AH8" s="2435"/>
      <c r="AI8" s="2277" t="s">
        <v>64</v>
      </c>
      <c r="AJ8" s="2435"/>
      <c r="AK8" s="2277" t="s">
        <v>64</v>
      </c>
      <c r="AL8" s="8771"/>
      <c r="AM8" s="8772"/>
      <c r="AN8" s="8771"/>
      <c r="AO8" s="8773"/>
      <c r="AP8" s="8774"/>
      <c r="AQ8" s="8192" t="s">
        <v>64</v>
      </c>
      <c r="AR8" s="8774"/>
      <c r="AS8" s="8192" t="s">
        <v>64</v>
      </c>
      <c r="AT8" s="8771"/>
      <c r="AU8" s="8772"/>
      <c r="AV8" s="8771"/>
      <c r="AW8" s="8773"/>
      <c r="AX8" s="8774"/>
      <c r="AY8" s="8192" t="s">
        <v>64</v>
      </c>
      <c r="AZ8" s="8774"/>
      <c r="BA8" s="8192" t="s">
        <v>64</v>
      </c>
      <c r="BB8" s="8771"/>
      <c r="BC8" s="8772"/>
      <c r="BD8" s="8771"/>
      <c r="BE8" s="8773"/>
      <c r="BF8" s="8774"/>
      <c r="BG8" s="8192" t="s">
        <v>64</v>
      </c>
      <c r="BH8" s="8774"/>
      <c r="BI8" s="8192" t="s">
        <v>64</v>
      </c>
      <c r="BJ8" s="8771"/>
      <c r="BK8" s="8772"/>
      <c r="BL8" s="8771"/>
      <c r="BM8" s="8773"/>
      <c r="BN8" s="8774"/>
      <c r="BO8" s="8192" t="s">
        <v>64</v>
      </c>
      <c r="BP8" s="8774"/>
      <c r="BQ8" s="8192" t="s">
        <v>64</v>
      </c>
      <c r="BR8" s="8771"/>
      <c r="BS8" s="8772"/>
      <c r="BT8" s="8771"/>
      <c r="BU8" s="8773"/>
      <c r="BV8" s="8774"/>
      <c r="BW8" s="8192" t="s">
        <v>64</v>
      </c>
      <c r="BX8" s="8774"/>
      <c r="BY8" s="8192" t="s">
        <v>64</v>
      </c>
      <c r="BZ8" s="8771"/>
      <c r="CA8" s="8772"/>
      <c r="CB8" s="8771"/>
      <c r="CC8" s="8773"/>
      <c r="CD8" s="8774"/>
      <c r="CE8" s="8192" t="s">
        <v>64</v>
      </c>
      <c r="CF8" s="8774"/>
      <c r="CG8" s="8192" t="s">
        <v>64</v>
      </c>
      <c r="CH8" s="8771"/>
      <c r="CI8" s="8772"/>
      <c r="CJ8" s="8771"/>
      <c r="CK8" s="8773"/>
      <c r="CL8" s="8774"/>
      <c r="CM8" s="8192" t="s">
        <v>64</v>
      </c>
      <c r="CN8" s="8774"/>
      <c r="CO8" s="8192" t="s">
        <v>64</v>
      </c>
      <c r="CP8" s="8771"/>
      <c r="CQ8" s="8772"/>
      <c r="CR8" s="8771"/>
      <c r="CS8" s="8773"/>
      <c r="CT8" s="8774"/>
      <c r="CU8" s="8192" t="s">
        <v>64</v>
      </c>
      <c r="CV8" s="8774"/>
      <c r="CW8" s="8192" t="s">
        <v>64</v>
      </c>
      <c r="CX8" s="8771"/>
      <c r="CY8" s="8772"/>
      <c r="CZ8" s="8771"/>
      <c r="DA8" s="8773"/>
      <c r="DB8" s="8774"/>
      <c r="DC8" s="8192" t="s">
        <v>64</v>
      </c>
      <c r="DD8" s="8774"/>
      <c r="DE8" s="8192" t="s">
        <v>64</v>
      </c>
      <c r="DF8" s="495"/>
      <c r="DG8" s="2423" t="s">
        <v>422</v>
      </c>
      <c r="DH8" s="681">
        <f>STRCHECKDATE(V9:DF9)</f>
      </c>
      <c r="DI8" s="670"/>
      <c r="DJ8" s="670" t="str">
        <f>IF(T8="","",T8)</f>
        <v/>
      </c>
      <c r="DK8" s="670"/>
      <c r="DL8" s="670"/>
      <c r="DM8" s="1325">
        <v>0</v>
      </c>
    </row>
    <row customHeight="1" ht="0.75" hidden="1">
      <c r="A9" s="1533"/>
      <c r="B9" s="1533"/>
      <c r="C9" s="1533"/>
      <c r="D9" s="1533"/>
      <c r="E9" s="2429"/>
      <c r="F9" s="2429"/>
      <c r="G9" s="2429"/>
      <c r="H9" s="2429"/>
      <c r="I9" s="2456"/>
      <c r="J9" s="2456"/>
      <c r="K9" s="2426"/>
      <c r="L9" s="1534"/>
      <c r="M9" s="707"/>
      <c r="N9" s="1536"/>
      <c r="O9" s="1536"/>
      <c r="P9" s="2427"/>
      <c r="Q9" s="2427"/>
      <c r="R9" s="527"/>
      <c r="S9" s="1512"/>
      <c r="T9" s="470"/>
      <c r="U9" s="470"/>
      <c r="V9" s="495"/>
      <c r="W9" s="495"/>
      <c r="X9" s="495"/>
      <c r="Y9" s="498" t="str">
        <f>Z8&amp;"-"&amp;AB8</f>
        <v>-</v>
      </c>
      <c r="Z9" s="2436"/>
      <c r="AA9" s="2277"/>
      <c r="AB9" s="2436"/>
      <c r="AC9" s="2277"/>
      <c r="AD9" s="495"/>
      <c r="AE9" s="495"/>
      <c r="AF9" s="495"/>
      <c r="AG9" s="498" t="str">
        <f>AH8&amp;"-"&amp;AJ8</f>
        <v>-</v>
      </c>
      <c r="AH9" s="2436"/>
      <c r="AI9" s="2277"/>
      <c r="AJ9" s="2436"/>
      <c r="AK9" s="2277"/>
      <c r="AL9" s="8772"/>
      <c r="AM9" s="8772"/>
      <c r="AN9" s="8772"/>
      <c r="AO9" s="8779" t="str">
        <f>AP8&amp;"-"&amp;AR8</f>
        <v>-</v>
      </c>
      <c r="AP9" s="8780"/>
      <c r="AQ9" s="8192"/>
      <c r="AR9" s="8780"/>
      <c r="AS9" s="8192"/>
      <c r="AT9" s="8772"/>
      <c r="AU9" s="8772"/>
      <c r="AV9" s="8772"/>
      <c r="AW9" s="8779" t="str">
        <f>AX8&amp;"-"&amp;AZ8</f>
        <v>-</v>
      </c>
      <c r="AX9" s="8780"/>
      <c r="AY9" s="8192"/>
      <c r="AZ9" s="8780"/>
      <c r="BA9" s="8192"/>
      <c r="BB9" s="8772"/>
      <c r="BC9" s="8772"/>
      <c r="BD9" s="8772"/>
      <c r="BE9" s="8779" t="str">
        <f>BF8&amp;"-"&amp;BH8</f>
        <v>-</v>
      </c>
      <c r="BF9" s="8780"/>
      <c r="BG9" s="8192"/>
      <c r="BH9" s="8780"/>
      <c r="BI9" s="8192"/>
      <c r="BJ9" s="8772"/>
      <c r="BK9" s="8772"/>
      <c r="BL9" s="8772"/>
      <c r="BM9" s="8779" t="str">
        <f>BN8&amp;"-"&amp;BP8</f>
        <v>-</v>
      </c>
      <c r="BN9" s="8780"/>
      <c r="BO9" s="8192"/>
      <c r="BP9" s="8780"/>
      <c r="BQ9" s="8192"/>
      <c r="BR9" s="8772"/>
      <c r="BS9" s="8772"/>
      <c r="BT9" s="8772"/>
      <c r="BU9" s="8779" t="str">
        <f>BV8&amp;"-"&amp;BX8</f>
        <v>-</v>
      </c>
      <c r="BV9" s="8780"/>
      <c r="BW9" s="8192"/>
      <c r="BX9" s="8780"/>
      <c r="BY9" s="8192"/>
      <c r="BZ9" s="8772"/>
      <c r="CA9" s="8772"/>
      <c r="CB9" s="8772"/>
      <c r="CC9" s="8779" t="str">
        <f>CD8&amp;"-"&amp;CF8</f>
        <v>-</v>
      </c>
      <c r="CD9" s="8780"/>
      <c r="CE9" s="8192"/>
      <c r="CF9" s="8780"/>
      <c r="CG9" s="8192"/>
      <c r="CH9" s="8772"/>
      <c r="CI9" s="8772"/>
      <c r="CJ9" s="8772"/>
      <c r="CK9" s="8779" t="str">
        <f>CL8&amp;"-"&amp;CN8</f>
        <v>-</v>
      </c>
      <c r="CL9" s="8780"/>
      <c r="CM9" s="8192"/>
      <c r="CN9" s="8780"/>
      <c r="CO9" s="8192"/>
      <c r="CP9" s="8772"/>
      <c r="CQ9" s="8772"/>
      <c r="CR9" s="8772"/>
      <c r="CS9" s="8779" t="str">
        <f>CT8&amp;"-"&amp;CV8</f>
        <v>-</v>
      </c>
      <c r="CT9" s="8780"/>
      <c r="CU9" s="8192"/>
      <c r="CV9" s="8780"/>
      <c r="CW9" s="8192"/>
      <c r="CX9" s="8772"/>
      <c r="CY9" s="8772"/>
      <c r="CZ9" s="8772"/>
      <c r="DA9" s="8779" t="str">
        <f>DB8&amp;"-"&amp;DD8</f>
        <v>-</v>
      </c>
      <c r="DB9" s="8780"/>
      <c r="DC9" s="8192"/>
      <c r="DD9" s="8780"/>
      <c r="DE9" s="8192"/>
      <c r="DF9" s="495"/>
      <c r="DG9" s="2424"/>
      <c r="DI9" s="670"/>
      <c r="DJ9" s="670" t="str">
        <f>IF(T9="","",T9)</f>
        <v/>
      </c>
      <c r="DK9" s="670"/>
      <c r="DL9" s="670"/>
      <c r="DM9" s="1325">
        <v>0</v>
      </c>
    </row>
    <row customHeight="1" ht="15" hidden="1">
      <c r="A10" s="1533"/>
      <c r="B10" s="1533"/>
      <c r="C10" s="1533"/>
      <c r="D10" s="1533"/>
      <c r="E10" s="2429"/>
      <c r="F10" s="2429"/>
      <c r="G10" s="2429"/>
      <c r="H10" s="2429"/>
      <c r="I10" s="2456"/>
      <c r="J10" s="2426"/>
      <c r="K10" s="1533"/>
      <c r="L10" s="1534"/>
      <c r="M10" s="707"/>
      <c r="N10" s="1536"/>
      <c r="P10" s="2427"/>
      <c r="Q10" s="2427"/>
      <c r="R10" s="526"/>
      <c r="S10" s="1448"/>
      <c r="T10" s="457" t="s">
        <v>423</v>
      </c>
      <c r="U10" s="537"/>
      <c r="V10" s="537"/>
      <c r="W10" s="537"/>
      <c r="X10" s="537"/>
      <c r="Y10" s="537"/>
      <c r="Z10" s="537"/>
      <c r="AA10" s="537"/>
      <c r="AB10" s="537"/>
      <c r="AC10" s="537"/>
      <c r="AD10" s="537"/>
      <c r="AE10" s="537"/>
      <c r="AF10" s="537"/>
      <c r="AG10" s="537"/>
      <c r="AH10" s="537"/>
      <c r="AI10" s="537"/>
      <c r="AJ10" s="537"/>
      <c r="AK10" s="537"/>
      <c r="AL10" s="9853"/>
      <c r="AM10" s="9854"/>
      <c r="AN10" s="9855"/>
      <c r="AO10" s="9856"/>
      <c r="AP10" s="9857"/>
      <c r="AQ10" s="9858"/>
      <c r="AR10" s="9859"/>
      <c r="AS10" s="9860"/>
      <c r="AT10" s="9861"/>
      <c r="AU10" s="9862"/>
      <c r="AV10" s="9863"/>
      <c r="AW10" s="9864"/>
      <c r="AX10" s="9865"/>
      <c r="AY10" s="9866"/>
      <c r="AZ10" s="9867"/>
      <c r="BA10" s="9868"/>
      <c r="BB10" s="9869"/>
      <c r="BC10" s="9870"/>
      <c r="BD10" s="9871"/>
      <c r="BE10" s="9872"/>
      <c r="BF10" s="9873"/>
      <c r="BG10" s="9874"/>
      <c r="BH10" s="9875"/>
      <c r="BI10" s="9876"/>
      <c r="BJ10" s="9877"/>
      <c r="BK10" s="9878"/>
      <c r="BL10" s="9879"/>
      <c r="BM10" s="9880"/>
      <c r="BN10" s="9881"/>
      <c r="BO10" s="9882"/>
      <c r="BP10" s="9883"/>
      <c r="BQ10" s="9884"/>
      <c r="BR10" s="9885"/>
      <c r="BS10" s="9886"/>
      <c r="BT10" s="9887"/>
      <c r="BU10" s="9888"/>
      <c r="BV10" s="9889"/>
      <c r="BW10" s="9890"/>
      <c r="BX10" s="9891"/>
      <c r="BY10" s="9892"/>
      <c r="BZ10" s="9893"/>
      <c r="CA10" s="9894"/>
      <c r="CB10" s="9895"/>
      <c r="CC10" s="9896"/>
      <c r="CD10" s="9897"/>
      <c r="CE10" s="9898"/>
      <c r="CF10" s="9899"/>
      <c r="CG10" s="9900"/>
      <c r="CH10" s="9901"/>
      <c r="CI10" s="9902"/>
      <c r="CJ10" s="9903"/>
      <c r="CK10" s="9904"/>
      <c r="CL10" s="9905"/>
      <c r="CM10" s="9906"/>
      <c r="CN10" s="9907"/>
      <c r="CO10" s="9908"/>
      <c r="CP10" s="9909"/>
      <c r="CQ10" s="9910"/>
      <c r="CR10" s="9911"/>
      <c r="CS10" s="9912"/>
      <c r="CT10" s="9913"/>
      <c r="CU10" s="9914"/>
      <c r="CV10" s="9915"/>
      <c r="CW10" s="9916"/>
      <c r="CX10" s="9917"/>
      <c r="CY10" s="9918"/>
      <c r="CZ10" s="9919"/>
      <c r="DA10" s="9920"/>
      <c r="DB10" s="9921"/>
      <c r="DC10" s="9922"/>
      <c r="DD10" s="9923"/>
      <c r="DE10" s="9924"/>
      <c r="DF10" s="494"/>
      <c r="DG10" s="2425"/>
      <c r="DI10" s="670"/>
      <c r="DJ10" s="670" t="str">
        <f>IF(T10="","",T10)</f>
        <v>Добавить вид теплоносителя (параметры теплоносителя)</v>
      </c>
      <c r="DK10" s="670"/>
      <c r="DL10" s="670"/>
      <c r="DM10" s="1325">
        <v>0</v>
      </c>
    </row>
    <row customHeight="1" ht="15" hidden="1">
      <c r="A11" s="1533"/>
      <c r="B11" s="1533"/>
      <c r="C11" s="1533"/>
      <c r="D11" s="1533"/>
      <c r="E11" s="2429"/>
      <c r="F11" s="2429"/>
      <c r="G11" s="2429"/>
      <c r="H11" s="2429"/>
      <c r="I11" s="2426"/>
      <c r="J11" s="1533"/>
      <c r="K11" s="1533"/>
      <c r="L11" s="1534"/>
      <c r="M11" s="707"/>
      <c r="P11" s="2427"/>
      <c r="Q11" s="1501"/>
      <c r="R11" s="526"/>
      <c r="S11" s="1448"/>
      <c r="T11" s="535" t="s">
        <v>424</v>
      </c>
      <c r="U11" s="537"/>
      <c r="V11" s="537"/>
      <c r="W11" s="537"/>
      <c r="X11" s="537"/>
      <c r="Y11" s="537"/>
      <c r="Z11" s="537"/>
      <c r="AA11" s="537"/>
      <c r="AB11" s="537"/>
      <c r="AC11" s="536"/>
      <c r="AD11" s="537"/>
      <c r="AE11" s="537"/>
      <c r="AF11" s="537"/>
      <c r="AG11" s="537"/>
      <c r="AH11" s="537"/>
      <c r="AI11" s="537"/>
      <c r="AJ11" s="537"/>
      <c r="AK11" s="536"/>
      <c r="AL11" s="9925"/>
      <c r="AM11" s="9926"/>
      <c r="AN11" s="9927"/>
      <c r="AO11" s="9928"/>
      <c r="AP11" s="9929"/>
      <c r="AQ11" s="9930"/>
      <c r="AR11" s="9931"/>
      <c r="AS11" s="9932"/>
      <c r="AT11" s="9933"/>
      <c r="AU11" s="9934"/>
      <c r="AV11" s="9935"/>
      <c r="AW11" s="9936"/>
      <c r="AX11" s="9937"/>
      <c r="AY11" s="9938"/>
      <c r="AZ11" s="9939"/>
      <c r="BA11" s="9940"/>
      <c r="BB11" s="9941"/>
      <c r="BC11" s="9942"/>
      <c r="BD11" s="9943"/>
      <c r="BE11" s="9944"/>
      <c r="BF11" s="9945"/>
      <c r="BG11" s="9946"/>
      <c r="BH11" s="9947"/>
      <c r="BI11" s="9948"/>
      <c r="BJ11" s="9949"/>
      <c r="BK11" s="9950"/>
      <c r="BL11" s="9951"/>
      <c r="BM11" s="9952"/>
      <c r="BN11" s="9953"/>
      <c r="BO11" s="9954"/>
      <c r="BP11" s="9955"/>
      <c r="BQ11" s="9956"/>
      <c r="BR11" s="9957"/>
      <c r="BS11" s="9958"/>
      <c r="BT11" s="9959"/>
      <c r="BU11" s="9960"/>
      <c r="BV11" s="9961"/>
      <c r="BW11" s="9962"/>
      <c r="BX11" s="9963"/>
      <c r="BY11" s="9964"/>
      <c r="BZ11" s="9965"/>
      <c r="CA11" s="9966"/>
      <c r="CB11" s="9967"/>
      <c r="CC11" s="9968"/>
      <c r="CD11" s="9969"/>
      <c r="CE11" s="9970"/>
      <c r="CF11" s="9971"/>
      <c r="CG11" s="9972"/>
      <c r="CH11" s="9973"/>
      <c r="CI11" s="9974"/>
      <c r="CJ11" s="9975"/>
      <c r="CK11" s="9976"/>
      <c r="CL11" s="9977"/>
      <c r="CM11" s="9978"/>
      <c r="CN11" s="9979"/>
      <c r="CO11" s="9980"/>
      <c r="CP11" s="9981"/>
      <c r="CQ11" s="9982"/>
      <c r="CR11" s="9983"/>
      <c r="CS11" s="9984"/>
      <c r="CT11" s="9985"/>
      <c r="CU11" s="9986"/>
      <c r="CV11" s="9987"/>
      <c r="CW11" s="9988"/>
      <c r="CX11" s="9989"/>
      <c r="CY11" s="9990"/>
      <c r="CZ11" s="9991"/>
      <c r="DA11" s="9992"/>
      <c r="DB11" s="9993"/>
      <c r="DC11" s="9994"/>
      <c r="DD11" s="9995"/>
      <c r="DE11" s="9996"/>
      <c r="DF11" s="537"/>
      <c r="DG11" s="473"/>
      <c r="DI11" s="670"/>
      <c r="DJ11" s="670" t="str">
        <f>IF(T11="","",T11)</f>
        <v>Добавить группу потребителей</v>
      </c>
      <c r="DK11" s="670"/>
      <c r="DL11" s="670"/>
      <c r="DM11" s="1325">
        <v>0</v>
      </c>
    </row>
    <row customHeight="1" ht="14.25" hidden="1">
      <c r="A12" s="1533"/>
      <c r="B12" s="1533"/>
      <c r="C12" s="1533"/>
      <c r="D12" s="1533"/>
      <c r="E12" s="2429"/>
      <c r="F12" s="2429"/>
      <c r="G12" s="2429"/>
      <c r="H12" s="2428"/>
      <c r="I12" s="1533"/>
      <c r="J12" s="1533"/>
      <c r="K12" s="1533"/>
      <c r="L12" s="1534"/>
      <c r="M12" s="1535"/>
      <c r="N12" s="1535"/>
      <c r="O12" s="707"/>
      <c r="P12" s="530"/>
      <c r="Q12" s="545"/>
      <c r="R12" s="525"/>
      <c r="S12" s="1556"/>
      <c r="T12" s="1557"/>
      <c r="U12" s="1558"/>
      <c r="V12" s="1558"/>
      <c r="W12" s="1558"/>
      <c r="X12" s="1558"/>
      <c r="Y12" s="1558"/>
      <c r="Z12" s="1558"/>
      <c r="AA12" s="1558"/>
      <c r="AB12" s="1558"/>
      <c r="AC12" s="1558"/>
      <c r="AD12" s="1558"/>
      <c r="AE12" s="1558"/>
      <c r="AF12" s="1558"/>
      <c r="AG12" s="1558"/>
      <c r="AH12" s="1558"/>
      <c r="AI12" s="1558"/>
      <c r="AJ12" s="1558"/>
      <c r="AK12" s="1558"/>
      <c r="AL12" s="10000"/>
      <c r="AM12" s="10000"/>
      <c r="AN12" s="10000"/>
      <c r="AO12" s="10000"/>
      <c r="AP12" s="10000"/>
      <c r="AQ12" s="10000"/>
      <c r="AR12" s="10000"/>
      <c r="AS12" s="10000"/>
      <c r="AT12" s="10000"/>
      <c r="AU12" s="10000"/>
      <c r="AV12" s="10000"/>
      <c r="AW12" s="10000"/>
      <c r="AX12" s="10000"/>
      <c r="AY12" s="10000"/>
      <c r="AZ12" s="10000"/>
      <c r="BA12" s="10000"/>
      <c r="BB12" s="10000"/>
      <c r="BC12" s="10000"/>
      <c r="BD12" s="10000"/>
      <c r="BE12" s="10000"/>
      <c r="BF12" s="10000"/>
      <c r="BG12" s="10000"/>
      <c r="BH12" s="10000"/>
      <c r="BI12" s="10000"/>
      <c r="BJ12" s="10000"/>
      <c r="BK12" s="10000"/>
      <c r="BL12" s="10000"/>
      <c r="BM12" s="10000"/>
      <c r="BN12" s="10000"/>
      <c r="BO12" s="10000"/>
      <c r="BP12" s="10000"/>
      <c r="BQ12" s="10000"/>
      <c r="BR12" s="10000"/>
      <c r="BS12" s="10000"/>
      <c r="BT12" s="10000"/>
      <c r="BU12" s="10000"/>
      <c r="BV12" s="10000"/>
      <c r="BW12" s="10000"/>
      <c r="BX12" s="10000"/>
      <c r="BY12" s="10000"/>
      <c r="BZ12" s="10000"/>
      <c r="CA12" s="10000"/>
      <c r="CB12" s="10000"/>
      <c r="CC12" s="10000"/>
      <c r="CD12" s="10000"/>
      <c r="CE12" s="10000"/>
      <c r="CF12" s="10000"/>
      <c r="CG12" s="10000"/>
      <c r="CH12" s="10000"/>
      <c r="CI12" s="10000"/>
      <c r="CJ12" s="10000"/>
      <c r="CK12" s="10000"/>
      <c r="CL12" s="10000"/>
      <c r="CM12" s="10000"/>
      <c r="CN12" s="10000"/>
      <c r="CO12" s="10000"/>
      <c r="CP12" s="10000"/>
      <c r="CQ12" s="10000"/>
      <c r="CR12" s="10000"/>
      <c r="CS12" s="10000"/>
      <c r="CT12" s="10000"/>
      <c r="CU12" s="10000"/>
      <c r="CV12" s="10000"/>
      <c r="CW12" s="10000"/>
      <c r="CX12" s="10000"/>
      <c r="CY12" s="10000"/>
      <c r="CZ12" s="10000"/>
      <c r="DA12" s="10000"/>
      <c r="DB12" s="10000"/>
      <c r="DC12" s="10000"/>
      <c r="DD12" s="10000"/>
      <c r="DE12" s="10000"/>
      <c r="DF12" s="1558"/>
      <c r="DG12" s="1559"/>
      <c r="DI12" s="670"/>
      <c r="DJ12" s="670" t="str">
        <f>IF(T12="","",T12)</f>
        <v/>
      </c>
      <c r="DK12" s="670"/>
      <c r="DL12" s="670"/>
      <c r="DM12" s="1325">
        <v>0</v>
      </c>
    </row>
    <row s="11993" customFormat="1" customHeight="1" ht="0.75" hidden="1">
      <c r="A13" s="1484"/>
      <c r="B13" s="1484"/>
      <c r="C13" s="1484"/>
      <c r="D13" s="1484"/>
      <c r="E13" s="2429"/>
      <c r="F13" s="2429"/>
      <c r="G13" s="2428"/>
      <c r="H13" s="1484"/>
      <c r="I13" s="1484"/>
      <c r="J13" s="1484"/>
      <c r="K13" s="1484"/>
      <c r="L13" s="1509"/>
      <c r="M13" s="1485"/>
      <c r="N13" s="1485"/>
      <c r="P13" s="1486"/>
      <c r="Q13" s="1487"/>
      <c r="R13" s="1486"/>
      <c r="S13" s="1488"/>
      <c r="T13" s="1489" t="s">
        <v>165</v>
      </c>
      <c r="U13" s="1490"/>
      <c r="V13" s="1490"/>
      <c r="W13" s="1490"/>
      <c r="X13" s="1490"/>
      <c r="Y13" s="1490"/>
      <c r="Z13" s="1490"/>
      <c r="AA13" s="1490"/>
      <c r="AB13" s="1490"/>
      <c r="AC13" s="1490"/>
      <c r="AD13" s="1490"/>
      <c r="AE13" s="1490"/>
      <c r="AF13" s="1490"/>
      <c r="AG13" s="1490"/>
      <c r="AH13" s="1490"/>
      <c r="AI13" s="1490"/>
      <c r="AJ13" s="1490"/>
      <c r="AK13" s="1490"/>
      <c r="AL13" s="9015"/>
      <c r="AM13" s="9015"/>
      <c r="AN13" s="9015"/>
      <c r="AO13" s="9015"/>
      <c r="AP13" s="9015"/>
      <c r="AQ13" s="9015"/>
      <c r="AR13" s="9015"/>
      <c r="AS13" s="9015"/>
      <c r="AT13" s="9015"/>
      <c r="AU13" s="9015"/>
      <c r="AV13" s="9015"/>
      <c r="AW13" s="9015"/>
      <c r="AX13" s="9015"/>
      <c r="AY13" s="9015"/>
      <c r="AZ13" s="9015"/>
      <c r="BA13" s="9015"/>
      <c r="BB13" s="9015"/>
      <c r="BC13" s="9015"/>
      <c r="BD13" s="9015"/>
      <c r="BE13" s="9015"/>
      <c r="BF13" s="9015"/>
      <c r="BG13" s="9015"/>
      <c r="BH13" s="9015"/>
      <c r="BI13" s="9015"/>
      <c r="BJ13" s="9015"/>
      <c r="BK13" s="9015"/>
      <c r="BL13" s="9015"/>
      <c r="BM13" s="9015"/>
      <c r="BN13" s="9015"/>
      <c r="BO13" s="9015"/>
      <c r="BP13" s="9015"/>
      <c r="BQ13" s="9015"/>
      <c r="BR13" s="9015"/>
      <c r="BS13" s="9015"/>
      <c r="BT13" s="9015"/>
      <c r="BU13" s="9015"/>
      <c r="BV13" s="9015"/>
      <c r="BW13" s="9015"/>
      <c r="BX13" s="9015"/>
      <c r="BY13" s="9015"/>
      <c r="BZ13" s="9015"/>
      <c r="CA13" s="9015"/>
      <c r="CB13" s="9015"/>
      <c r="CC13" s="9015"/>
      <c r="CD13" s="9015"/>
      <c r="CE13" s="9015"/>
      <c r="CF13" s="9015"/>
      <c r="CG13" s="9015"/>
      <c r="CH13" s="9015"/>
      <c r="CI13" s="9015"/>
      <c r="CJ13" s="9015"/>
      <c r="CK13" s="9015"/>
      <c r="CL13" s="9015"/>
      <c r="CM13" s="9015"/>
      <c r="CN13" s="9015"/>
      <c r="CO13" s="9015"/>
      <c r="CP13" s="9015"/>
      <c r="CQ13" s="9015"/>
      <c r="CR13" s="9015"/>
      <c r="CS13" s="9015"/>
      <c r="CT13" s="9015"/>
      <c r="CU13" s="9015"/>
      <c r="CV13" s="9015"/>
      <c r="CW13" s="9015"/>
      <c r="CX13" s="9015"/>
      <c r="CY13" s="9015"/>
      <c r="CZ13" s="9015"/>
      <c r="DA13" s="9015"/>
      <c r="DB13" s="9015"/>
      <c r="DC13" s="9015"/>
      <c r="DD13" s="9015"/>
      <c r="DE13" s="9015"/>
      <c r="DF13" s="1490"/>
      <c r="DG13" s="1490"/>
      <c r="DI13" s="959"/>
      <c r="DJ13" s="959" t="str">
        <f>IF(T13="","",T13)</f>
        <v>Добавить источник для дифференциации</v>
      </c>
      <c r="DK13" s="959"/>
      <c r="DL13" s="959"/>
      <c r="DM13" s="688">
        <v>0</v>
      </c>
    </row>
    <row s="11993" customFormat="1" customHeight="1" ht="0.75" hidden="1">
      <c r="A14" s="1484"/>
      <c r="B14" s="1484"/>
      <c r="C14" s="1484"/>
      <c r="D14" s="1484"/>
      <c r="E14" s="2429"/>
      <c r="F14" s="2428"/>
      <c r="G14" s="1484"/>
      <c r="H14" s="1484"/>
      <c r="I14" s="1484"/>
      <c r="J14" s="1484"/>
      <c r="K14" s="1484"/>
      <c r="L14" s="1509"/>
      <c r="M14" s="1491"/>
      <c r="N14" s="1491"/>
      <c r="P14" s="1486"/>
      <c r="Q14" s="1487"/>
      <c r="R14" s="1486"/>
      <c r="S14" s="1492"/>
      <c r="T14" s="1493" t="s">
        <v>166</v>
      </c>
      <c r="U14" s="1494"/>
      <c r="V14" s="1494"/>
      <c r="W14" s="1494"/>
      <c r="X14" s="1494"/>
      <c r="Y14" s="1494"/>
      <c r="Z14" s="1494"/>
      <c r="AA14" s="1494"/>
      <c r="AB14" s="1494"/>
      <c r="AC14" s="1494"/>
      <c r="AD14" s="1494"/>
      <c r="AE14" s="1494"/>
      <c r="AF14" s="1494"/>
      <c r="AG14" s="1494"/>
      <c r="AH14" s="1494"/>
      <c r="AI14" s="1494"/>
      <c r="AJ14" s="1494"/>
      <c r="AK14" s="1494"/>
      <c r="AL14" s="9021"/>
      <c r="AM14" s="9021"/>
      <c r="AN14" s="9021"/>
      <c r="AO14" s="9021"/>
      <c r="AP14" s="9021"/>
      <c r="AQ14" s="9021"/>
      <c r="AR14" s="9021"/>
      <c r="AS14" s="9021"/>
      <c r="AT14" s="9021"/>
      <c r="AU14" s="9021"/>
      <c r="AV14" s="9021"/>
      <c r="AW14" s="9021"/>
      <c r="AX14" s="9021"/>
      <c r="AY14" s="9021"/>
      <c r="AZ14" s="9021"/>
      <c r="BA14" s="9021"/>
      <c r="BB14" s="9021"/>
      <c r="BC14" s="9021"/>
      <c r="BD14" s="9021"/>
      <c r="BE14" s="9021"/>
      <c r="BF14" s="9021"/>
      <c r="BG14" s="9021"/>
      <c r="BH14" s="9021"/>
      <c r="BI14" s="9021"/>
      <c r="BJ14" s="9021"/>
      <c r="BK14" s="9021"/>
      <c r="BL14" s="9021"/>
      <c r="BM14" s="9021"/>
      <c r="BN14" s="9021"/>
      <c r="BO14" s="9021"/>
      <c r="BP14" s="9021"/>
      <c r="BQ14" s="9021"/>
      <c r="BR14" s="9021"/>
      <c r="BS14" s="9021"/>
      <c r="BT14" s="9021"/>
      <c r="BU14" s="9021"/>
      <c r="BV14" s="9021"/>
      <c r="BW14" s="9021"/>
      <c r="BX14" s="9021"/>
      <c r="BY14" s="9021"/>
      <c r="BZ14" s="9021"/>
      <c r="CA14" s="9021"/>
      <c r="CB14" s="9021"/>
      <c r="CC14" s="9021"/>
      <c r="CD14" s="9021"/>
      <c r="CE14" s="9021"/>
      <c r="CF14" s="9021"/>
      <c r="CG14" s="9021"/>
      <c r="CH14" s="9021"/>
      <c r="CI14" s="9021"/>
      <c r="CJ14" s="9021"/>
      <c r="CK14" s="9021"/>
      <c r="CL14" s="9021"/>
      <c r="CM14" s="9021"/>
      <c r="CN14" s="9021"/>
      <c r="CO14" s="9021"/>
      <c r="CP14" s="9021"/>
      <c r="CQ14" s="9021"/>
      <c r="CR14" s="9021"/>
      <c r="CS14" s="9021"/>
      <c r="CT14" s="9021"/>
      <c r="CU14" s="9021"/>
      <c r="CV14" s="9021"/>
      <c r="CW14" s="9021"/>
      <c r="CX14" s="9021"/>
      <c r="CY14" s="9021"/>
      <c r="CZ14" s="9021"/>
      <c r="DA14" s="9021"/>
      <c r="DB14" s="9021"/>
      <c r="DC14" s="9021"/>
      <c r="DD14" s="9021"/>
      <c r="DE14" s="9021"/>
      <c r="DF14" s="1494"/>
      <c r="DG14" s="1494"/>
      <c r="DI14" s="959"/>
      <c r="DJ14" s="959" t="str">
        <f>IF(T14="","",T14)</f>
        <v>Добавить централизованную систему для дифференциации</v>
      </c>
      <c r="DK14" s="959"/>
      <c r="DL14" s="959"/>
      <c r="DM14" s="688">
        <v>0</v>
      </c>
    </row>
    <row s="11993" customFormat="1" customHeight="1" ht="0.75" hidden="1">
      <c r="A15" s="1484"/>
      <c r="B15" s="1484"/>
      <c r="C15" s="1484"/>
      <c r="D15" s="1484"/>
      <c r="E15" s="2428"/>
      <c r="F15" s="1484"/>
      <c r="G15" s="1484"/>
      <c r="H15" s="1484"/>
      <c r="I15" s="1484"/>
      <c r="J15" s="1484"/>
      <c r="K15" s="1484"/>
      <c r="L15" s="1509"/>
      <c r="M15" s="1491"/>
      <c r="N15" s="1491"/>
      <c r="P15" s="1486"/>
      <c r="Q15" s="1487"/>
      <c r="R15" s="1486"/>
      <c r="S15" s="1492"/>
      <c r="T15" s="1495" t="s">
        <v>167</v>
      </c>
      <c r="U15" s="1494"/>
      <c r="V15" s="1494"/>
      <c r="W15" s="1494"/>
      <c r="X15" s="1494"/>
      <c r="Y15" s="1494"/>
      <c r="Z15" s="1494"/>
      <c r="AA15" s="1494"/>
      <c r="AB15" s="1494"/>
      <c r="AC15" s="1494"/>
      <c r="AD15" s="1494"/>
      <c r="AE15" s="1494"/>
      <c r="AF15" s="1494"/>
      <c r="AG15" s="1494"/>
      <c r="AH15" s="1494"/>
      <c r="AI15" s="1494"/>
      <c r="AJ15" s="1494"/>
      <c r="AK15" s="1494"/>
      <c r="AL15" s="9021"/>
      <c r="AM15" s="9021"/>
      <c r="AN15" s="9021"/>
      <c r="AO15" s="9021"/>
      <c r="AP15" s="9021"/>
      <c r="AQ15" s="9021"/>
      <c r="AR15" s="9021"/>
      <c r="AS15" s="9021"/>
      <c r="AT15" s="9021"/>
      <c r="AU15" s="9021"/>
      <c r="AV15" s="9021"/>
      <c r="AW15" s="9021"/>
      <c r="AX15" s="9021"/>
      <c r="AY15" s="9021"/>
      <c r="AZ15" s="9021"/>
      <c r="BA15" s="9021"/>
      <c r="BB15" s="9021"/>
      <c r="BC15" s="9021"/>
      <c r="BD15" s="9021"/>
      <c r="BE15" s="9021"/>
      <c r="BF15" s="9021"/>
      <c r="BG15" s="9021"/>
      <c r="BH15" s="9021"/>
      <c r="BI15" s="9021"/>
      <c r="BJ15" s="9021"/>
      <c r="BK15" s="9021"/>
      <c r="BL15" s="9021"/>
      <c r="BM15" s="9021"/>
      <c r="BN15" s="9021"/>
      <c r="BO15" s="9021"/>
      <c r="BP15" s="9021"/>
      <c r="BQ15" s="9021"/>
      <c r="BR15" s="9021"/>
      <c r="BS15" s="9021"/>
      <c r="BT15" s="9021"/>
      <c r="BU15" s="9021"/>
      <c r="BV15" s="9021"/>
      <c r="BW15" s="9021"/>
      <c r="BX15" s="9021"/>
      <c r="BY15" s="9021"/>
      <c r="BZ15" s="9021"/>
      <c r="CA15" s="9021"/>
      <c r="CB15" s="9021"/>
      <c r="CC15" s="9021"/>
      <c r="CD15" s="9021"/>
      <c r="CE15" s="9021"/>
      <c r="CF15" s="9021"/>
      <c r="CG15" s="9021"/>
      <c r="CH15" s="9021"/>
      <c r="CI15" s="9021"/>
      <c r="CJ15" s="9021"/>
      <c r="CK15" s="9021"/>
      <c r="CL15" s="9021"/>
      <c r="CM15" s="9021"/>
      <c r="CN15" s="9021"/>
      <c r="CO15" s="9021"/>
      <c r="CP15" s="9021"/>
      <c r="CQ15" s="9021"/>
      <c r="CR15" s="9021"/>
      <c r="CS15" s="9021"/>
      <c r="CT15" s="9021"/>
      <c r="CU15" s="9021"/>
      <c r="CV15" s="9021"/>
      <c r="CW15" s="9021"/>
      <c r="CX15" s="9021"/>
      <c r="CY15" s="9021"/>
      <c r="CZ15" s="9021"/>
      <c r="DA15" s="9021"/>
      <c r="DB15" s="9021"/>
      <c r="DC15" s="9021"/>
      <c r="DD15" s="9021"/>
      <c r="DE15" s="9021"/>
      <c r="DF15" s="1494"/>
      <c r="DG15" s="1494"/>
      <c r="DI15" s="959"/>
      <c r="DJ15" s="959" t="str">
        <f>IF(T15="","",T15)</f>
        <v>Добавить территорию для дифференциации</v>
      </c>
      <c r="DK15" s="959"/>
      <c r="DL15" s="959"/>
      <c r="DM15" s="688">
        <v>0</v>
      </c>
    </row>
    <row customHeight="1" ht="14.25" hidden="1">
      <c r="AC16" s="497"/>
      <c r="AK16" s="497"/>
      <c r="AL16" s="8724"/>
      <c r="AM16" s="8724"/>
      <c r="AN16" s="8724"/>
      <c r="AO16" s="8724"/>
      <c r="AP16" s="8724"/>
      <c r="AQ16" s="8724"/>
      <c r="AR16" s="8724"/>
      <c r="AS16" s="8724"/>
      <c r="AT16" s="8724"/>
      <c r="AU16" s="8724"/>
      <c r="AV16" s="8724"/>
      <c r="AW16" s="8724"/>
      <c r="AX16" s="8724"/>
      <c r="AY16" s="8724"/>
      <c r="AZ16" s="8724"/>
      <c r="BA16" s="8724"/>
      <c r="BB16" s="8724"/>
      <c r="BC16" s="8724"/>
      <c r="BD16" s="8724"/>
      <c r="BE16" s="8724"/>
      <c r="BF16" s="8724"/>
      <c r="BG16" s="8724"/>
      <c r="BH16" s="8724"/>
      <c r="BI16" s="8724"/>
      <c r="BJ16" s="8724"/>
      <c r="BK16" s="8724"/>
      <c r="BL16" s="8724"/>
      <c r="BM16" s="8724"/>
      <c r="BN16" s="8724"/>
      <c r="BO16" s="8724"/>
      <c r="BP16" s="8724"/>
      <c r="BQ16" s="8724"/>
      <c r="BR16" s="8724"/>
      <c r="BS16" s="8724"/>
      <c r="BT16" s="8724"/>
      <c r="BU16" s="8724"/>
      <c r="BV16" s="8724"/>
      <c r="BW16" s="8724"/>
      <c r="BX16" s="8724"/>
      <c r="BY16" s="8724"/>
      <c r="BZ16" s="8724"/>
      <c r="CA16" s="8724"/>
      <c r="CB16" s="8724"/>
      <c r="CC16" s="8724"/>
      <c r="CD16" s="8724"/>
      <c r="CE16" s="8724"/>
      <c r="CF16" s="8724"/>
      <c r="CG16" s="8724"/>
      <c r="CH16" s="8724"/>
      <c r="CI16" s="8724"/>
      <c r="CJ16" s="8724"/>
      <c r="CK16" s="8724"/>
      <c r="CL16" s="8724"/>
      <c r="CM16" s="8724"/>
      <c r="CN16" s="8724"/>
      <c r="CO16" s="8724"/>
      <c r="CP16" s="8724"/>
      <c r="CQ16" s="8724"/>
      <c r="CR16" s="8724"/>
      <c r="CS16" s="8724"/>
      <c r="CT16" s="8724"/>
      <c r="CU16" s="8724"/>
      <c r="CV16" s="8724"/>
      <c r="CW16" s="8724"/>
      <c r="CX16" s="8724"/>
      <c r="CY16" s="8724"/>
      <c r="CZ16" s="8724"/>
      <c r="DA16" s="8724"/>
      <c r="DB16" s="8724"/>
      <c r="DC16" s="8724"/>
      <c r="DD16" s="8724"/>
      <c r="DE16" s="8724"/>
      <c r="DM16" s="1325">
        <v>0</v>
      </c>
    </row>
    <row customHeight="1" ht="14.25" hidden="1">
      <c r="AD17" s="1530"/>
      <c r="AE17" s="1530"/>
      <c r="AF17" s="1530"/>
      <c r="AG17" s="1531"/>
      <c r="AH17" s="2437"/>
      <c r="AI17" s="2438" t="s">
        <v>64</v>
      </c>
      <c r="AJ17" s="2437"/>
      <c r="AK17" s="2438" t="s">
        <v>64</v>
      </c>
      <c r="AL17" s="8724"/>
      <c r="AM17" s="8724"/>
      <c r="AN17" s="8724"/>
      <c r="AO17" s="8724"/>
      <c r="AP17" s="8724"/>
      <c r="AQ17" s="8724"/>
      <c r="AR17" s="8724"/>
      <c r="AS17" s="8724"/>
      <c r="AT17" s="8724"/>
      <c r="AU17" s="8724"/>
      <c r="AV17" s="8724"/>
      <c r="AW17" s="8724"/>
      <c r="AX17" s="8724"/>
      <c r="AY17" s="8724"/>
      <c r="AZ17" s="8724"/>
      <c r="BA17" s="8724"/>
      <c r="BB17" s="8724"/>
      <c r="BC17" s="8724"/>
      <c r="BD17" s="8724"/>
      <c r="BE17" s="8724"/>
      <c r="BF17" s="8724"/>
      <c r="BG17" s="8724"/>
      <c r="BH17" s="8724"/>
      <c r="BI17" s="8724"/>
      <c r="BJ17" s="8724"/>
      <c r="BK17" s="8724"/>
      <c r="BL17" s="8724"/>
      <c r="BM17" s="8724"/>
      <c r="BN17" s="8724"/>
      <c r="BO17" s="8724"/>
      <c r="BP17" s="8724"/>
      <c r="BQ17" s="8724"/>
      <c r="BR17" s="8724"/>
      <c r="BS17" s="8724"/>
      <c r="BT17" s="8724"/>
      <c r="BU17" s="8724"/>
      <c r="BV17" s="8724"/>
      <c r="BW17" s="8724"/>
      <c r="BX17" s="8724"/>
      <c r="BY17" s="8724"/>
      <c r="BZ17" s="8724"/>
      <c r="CA17" s="8724"/>
      <c r="CB17" s="8724"/>
      <c r="CC17" s="8724"/>
      <c r="CD17" s="8724"/>
      <c r="CE17" s="8724"/>
      <c r="CF17" s="8724"/>
      <c r="CG17" s="8724"/>
      <c r="CH17" s="8724"/>
      <c r="CI17" s="8724"/>
      <c r="CJ17" s="8724"/>
      <c r="CK17" s="8724"/>
      <c r="CL17" s="8724"/>
      <c r="CM17" s="8724"/>
      <c r="CN17" s="8724"/>
      <c r="CO17" s="8724"/>
      <c r="CP17" s="8724"/>
      <c r="CQ17" s="8724"/>
      <c r="CR17" s="8724"/>
      <c r="CS17" s="8724"/>
      <c r="CT17" s="8724"/>
      <c r="CU17" s="8724"/>
      <c r="CV17" s="8724"/>
      <c r="CW17" s="8724"/>
      <c r="CX17" s="8724"/>
      <c r="CY17" s="8724"/>
      <c r="CZ17" s="8724"/>
      <c r="DA17" s="8724"/>
      <c r="DB17" s="8724"/>
      <c r="DC17" s="8724"/>
      <c r="DD17" s="8724"/>
      <c r="DE17" s="8724"/>
      <c r="DM17" s="1325">
        <v>0</v>
      </c>
    </row>
    <row customHeight="1" ht="14.25" hidden="1">
      <c r="AD18" s="1530"/>
      <c r="AE18" s="1530"/>
      <c r="AF18" s="1530"/>
      <c r="AG18" s="498" t="str">
        <f>AH17&amp;"-"&amp;AJ17</f>
        <v>-</v>
      </c>
      <c r="AH18" s="2438"/>
      <c r="AI18" s="2438"/>
      <c r="AJ18" s="2438"/>
      <c r="AK18" s="2438"/>
      <c r="AL18" s="8724"/>
      <c r="AM18" s="8724"/>
      <c r="AN18" s="8724"/>
      <c r="AO18" s="8724"/>
      <c r="AP18" s="8724"/>
      <c r="AQ18" s="8724"/>
      <c r="AR18" s="8724"/>
      <c r="AS18" s="8724"/>
      <c r="AT18" s="8724"/>
      <c r="AU18" s="8724"/>
      <c r="AV18" s="8724"/>
      <c r="AW18" s="8724"/>
      <c r="AX18" s="8724"/>
      <c r="AY18" s="8724"/>
      <c r="AZ18" s="8724"/>
      <c r="BA18" s="8724"/>
      <c r="BB18" s="8724"/>
      <c r="BC18" s="8724"/>
      <c r="BD18" s="8724"/>
      <c r="BE18" s="8724"/>
      <c r="BF18" s="8724"/>
      <c r="BG18" s="8724"/>
      <c r="BH18" s="8724"/>
      <c r="BI18" s="8724"/>
      <c r="BJ18" s="8724"/>
      <c r="BK18" s="8724"/>
      <c r="BL18" s="8724"/>
      <c r="BM18" s="8724"/>
      <c r="BN18" s="8724"/>
      <c r="BO18" s="8724"/>
      <c r="BP18" s="8724"/>
      <c r="BQ18" s="8724"/>
      <c r="BR18" s="8724"/>
      <c r="BS18" s="8724"/>
      <c r="BT18" s="8724"/>
      <c r="BU18" s="8724"/>
      <c r="BV18" s="8724"/>
      <c r="BW18" s="8724"/>
      <c r="BX18" s="8724"/>
      <c r="BY18" s="8724"/>
      <c r="BZ18" s="8724"/>
      <c r="CA18" s="8724"/>
      <c r="CB18" s="8724"/>
      <c r="CC18" s="8724"/>
      <c r="CD18" s="8724"/>
      <c r="CE18" s="8724"/>
      <c r="CF18" s="8724"/>
      <c r="CG18" s="8724"/>
      <c r="CH18" s="8724"/>
      <c r="CI18" s="8724"/>
      <c r="CJ18" s="8724"/>
      <c r="CK18" s="8724"/>
      <c r="CL18" s="8724"/>
      <c r="CM18" s="8724"/>
      <c r="CN18" s="8724"/>
      <c r="CO18" s="8724"/>
      <c r="CP18" s="8724"/>
      <c r="CQ18" s="8724"/>
      <c r="CR18" s="8724"/>
      <c r="CS18" s="8724"/>
      <c r="CT18" s="8724"/>
      <c r="CU18" s="8724"/>
      <c r="CV18" s="8724"/>
      <c r="CW18" s="8724"/>
      <c r="CX18" s="8724"/>
      <c r="CY18" s="8724"/>
      <c r="CZ18" s="8724"/>
      <c r="DA18" s="8724"/>
      <c r="DB18" s="8724"/>
      <c r="DC18" s="8724"/>
      <c r="DD18" s="8724"/>
      <c r="DE18" s="8724"/>
      <c r="DM18" s="1325">
        <v>0</v>
      </c>
    </row>
    <row customHeight="1" ht="14.25" hidden="1">
      <c r="AK19" s="497"/>
      <c r="AL19" s="8724"/>
      <c r="AM19" s="8724"/>
      <c r="AN19" s="8724"/>
      <c r="AO19" s="8724"/>
      <c r="AP19" s="8724"/>
      <c r="AQ19" s="8724"/>
      <c r="AR19" s="8724"/>
      <c r="AS19" s="8724"/>
      <c r="AT19" s="8724"/>
      <c r="AU19" s="8724"/>
      <c r="AV19" s="8724"/>
      <c r="AW19" s="8724"/>
      <c r="AX19" s="8724"/>
      <c r="AY19" s="8724"/>
      <c r="AZ19" s="8724"/>
      <c r="BA19" s="8724"/>
      <c r="BB19" s="8724"/>
      <c r="BC19" s="8724"/>
      <c r="BD19" s="8724"/>
      <c r="BE19" s="8724"/>
      <c r="BF19" s="8724"/>
      <c r="BG19" s="8724"/>
      <c r="BH19" s="8724"/>
      <c r="BI19" s="8724"/>
      <c r="BJ19" s="8724"/>
      <c r="BK19" s="8724"/>
      <c r="BL19" s="8724"/>
      <c r="BM19" s="8724"/>
      <c r="BN19" s="8724"/>
      <c r="BO19" s="8724"/>
      <c r="BP19" s="8724"/>
      <c r="BQ19" s="8724"/>
      <c r="BR19" s="8724"/>
      <c r="BS19" s="8724"/>
      <c r="BT19" s="8724"/>
      <c r="BU19" s="8724"/>
      <c r="BV19" s="8724"/>
      <c r="BW19" s="8724"/>
      <c r="BX19" s="8724"/>
      <c r="BY19" s="8724"/>
      <c r="BZ19" s="8724"/>
      <c r="CA19" s="8724"/>
      <c r="CB19" s="8724"/>
      <c r="CC19" s="8724"/>
      <c r="CD19" s="8724"/>
      <c r="CE19" s="8724"/>
      <c r="CF19" s="8724"/>
      <c r="CG19" s="8724"/>
      <c r="CH19" s="8724"/>
      <c r="CI19" s="8724"/>
      <c r="CJ19" s="8724"/>
      <c r="CK19" s="8724"/>
      <c r="CL19" s="8724"/>
      <c r="CM19" s="8724"/>
      <c r="CN19" s="8724"/>
      <c r="CO19" s="8724"/>
      <c r="CP19" s="8724"/>
      <c r="CQ19" s="8724"/>
      <c r="CR19" s="8724"/>
      <c r="CS19" s="8724"/>
      <c r="CT19" s="8724"/>
      <c r="CU19" s="8724"/>
      <c r="CV19" s="8724"/>
      <c r="CW19" s="8724"/>
      <c r="CX19" s="8724"/>
      <c r="CY19" s="8724"/>
      <c r="CZ19" s="8724"/>
      <c r="DA19" s="8724"/>
      <c r="DB19" s="8724"/>
      <c r="DC19" s="8724"/>
      <c r="DD19" s="8724"/>
      <c r="DE19" s="8724"/>
      <c r="DM19" s="1325">
        <v>0</v>
      </c>
    </row>
    <row s="11992" customFormat="1" customHeight="1" ht="22.5" hidden="1">
      <c r="L20" s="1499"/>
      <c r="M20" s="1532"/>
      <c r="N20" s="1532"/>
      <c r="O20" s="1537" t="s">
        <v>426</v>
      </c>
      <c r="P20" s="1532"/>
      <c r="Q20" s="1541"/>
      <c r="R20" s="1541"/>
      <c r="S20" s="899"/>
      <c r="Z20" s="1537"/>
      <c r="AB20" s="1537"/>
      <c r="AC20" s="1536"/>
      <c r="AH20" s="1537"/>
      <c r="AJ20" s="1537"/>
      <c r="AK20" s="1536"/>
      <c r="AL20" s="9033"/>
      <c r="AM20" s="9033"/>
      <c r="AN20" s="9033"/>
      <c r="AO20" s="9033"/>
      <c r="AP20" s="9034"/>
      <c r="AQ20" s="9033"/>
      <c r="AR20" s="9034"/>
      <c r="AS20" s="9033"/>
      <c r="AT20" s="9033"/>
      <c r="AU20" s="9033"/>
      <c r="AV20" s="9033"/>
      <c r="AW20" s="9033"/>
      <c r="AX20" s="9034"/>
      <c r="AY20" s="9033"/>
      <c r="AZ20" s="9034"/>
      <c r="BA20" s="9033"/>
      <c r="BB20" s="9033"/>
      <c r="BC20" s="9033"/>
      <c r="BD20" s="9033"/>
      <c r="BE20" s="9033"/>
      <c r="BF20" s="9034"/>
      <c r="BG20" s="9033"/>
      <c r="BH20" s="9034"/>
      <c r="BI20" s="9033"/>
      <c r="BJ20" s="9033"/>
      <c r="BK20" s="9033"/>
      <c r="BL20" s="9033"/>
      <c r="BM20" s="9033"/>
      <c r="BN20" s="9034"/>
      <c r="BO20" s="9033"/>
      <c r="BP20" s="9034"/>
      <c r="BQ20" s="9033"/>
      <c r="BR20" s="9033"/>
      <c r="BS20" s="9033"/>
      <c r="BT20" s="9033"/>
      <c r="BU20" s="9033"/>
      <c r="BV20" s="9034"/>
      <c r="BW20" s="9033"/>
      <c r="BX20" s="9034"/>
      <c r="BY20" s="9033"/>
      <c r="BZ20" s="9033"/>
      <c r="CA20" s="9033"/>
      <c r="CB20" s="9033"/>
      <c r="CC20" s="9033"/>
      <c r="CD20" s="9034"/>
      <c r="CE20" s="9033"/>
      <c r="CF20" s="9034"/>
      <c r="CG20" s="9033"/>
      <c r="CH20" s="9033"/>
      <c r="CI20" s="9033"/>
      <c r="CJ20" s="9033"/>
      <c r="CK20" s="9033"/>
      <c r="CL20" s="9034"/>
      <c r="CM20" s="9033"/>
      <c r="CN20" s="9034"/>
      <c r="CO20" s="9033"/>
      <c r="CP20" s="9033"/>
      <c r="CQ20" s="9033"/>
      <c r="CR20" s="9033"/>
      <c r="CS20" s="9033"/>
      <c r="CT20" s="9034"/>
      <c r="CU20" s="9033"/>
      <c r="CV20" s="9034"/>
      <c r="CW20" s="9033"/>
      <c r="CX20" s="9033"/>
      <c r="CY20" s="9033"/>
      <c r="CZ20" s="9033"/>
      <c r="DA20" s="9033"/>
      <c r="DB20" s="9034"/>
      <c r="DC20" s="9033"/>
      <c r="DD20" s="9034"/>
      <c r="DE20" s="9033"/>
      <c r="DH20" s="681"/>
      <c r="DI20" s="681"/>
      <c r="DJ20" s="681"/>
      <c r="DK20" s="681"/>
      <c r="DL20" s="681"/>
      <c r="DM20" s="1330">
        <v>0</v>
      </c>
    </row>
    <row s="11992" customFormat="1" customHeight="1" ht="14.25" hidden="1">
      <c r="L21" s="1499"/>
      <c r="M21" s="1532"/>
      <c r="N21" s="1532"/>
      <c r="O21" s="1532"/>
      <c r="P21" s="1532"/>
      <c r="Q21" s="1541"/>
      <c r="R21" s="1541"/>
      <c r="S21" s="899"/>
      <c r="AC21" s="1536"/>
      <c r="AK21" s="1536"/>
      <c r="AL21" s="9033"/>
      <c r="AM21" s="9033"/>
      <c r="AN21" s="9033"/>
      <c r="AO21" s="9033"/>
      <c r="AP21" s="9033"/>
      <c r="AQ21" s="9033"/>
      <c r="AR21" s="9033"/>
      <c r="AS21" s="9033"/>
      <c r="AT21" s="9033"/>
      <c r="AU21" s="9033"/>
      <c r="AV21" s="9033"/>
      <c r="AW21" s="9033"/>
      <c r="AX21" s="9033"/>
      <c r="AY21" s="9033"/>
      <c r="AZ21" s="9033"/>
      <c r="BA21" s="9033"/>
      <c r="BB21" s="9033"/>
      <c r="BC21" s="9033"/>
      <c r="BD21" s="9033"/>
      <c r="BE21" s="9033"/>
      <c r="BF21" s="9033"/>
      <c r="BG21" s="9033"/>
      <c r="BH21" s="9033"/>
      <c r="BI21" s="9033"/>
      <c r="BJ21" s="9033"/>
      <c r="BK21" s="9033"/>
      <c r="BL21" s="9033"/>
      <c r="BM21" s="9033"/>
      <c r="BN21" s="9033"/>
      <c r="BO21" s="9033"/>
      <c r="BP21" s="9033"/>
      <c r="BQ21" s="9033"/>
      <c r="BR21" s="9033"/>
      <c r="BS21" s="9033"/>
      <c r="BT21" s="9033"/>
      <c r="BU21" s="9033"/>
      <c r="BV21" s="9033"/>
      <c r="BW21" s="9033"/>
      <c r="BX21" s="9033"/>
      <c r="BY21" s="9033"/>
      <c r="BZ21" s="9033"/>
      <c r="CA21" s="9033"/>
      <c r="CB21" s="9033"/>
      <c r="CC21" s="9033"/>
      <c r="CD21" s="9033"/>
      <c r="CE21" s="9033"/>
      <c r="CF21" s="9033"/>
      <c r="CG21" s="9033"/>
      <c r="CH21" s="9033"/>
      <c r="CI21" s="9033"/>
      <c r="CJ21" s="9033"/>
      <c r="CK21" s="9033"/>
      <c r="CL21" s="9033"/>
      <c r="CM21" s="9033"/>
      <c r="CN21" s="9033"/>
      <c r="CO21" s="9033"/>
      <c r="CP21" s="9033"/>
      <c r="CQ21" s="9033"/>
      <c r="CR21" s="9033"/>
      <c r="CS21" s="9033"/>
      <c r="CT21" s="9033"/>
      <c r="CU21" s="9033"/>
      <c r="CV21" s="9033"/>
      <c r="CW21" s="9033"/>
      <c r="CX21" s="9033"/>
      <c r="CY21" s="9033"/>
      <c r="CZ21" s="9033"/>
      <c r="DA21" s="9033"/>
      <c r="DB21" s="9033"/>
      <c r="DC21" s="9033"/>
      <c r="DD21" s="9033"/>
      <c r="DE21" s="9033"/>
      <c r="DH21" s="681"/>
      <c r="DI21" s="681"/>
      <c r="DJ21" s="681"/>
      <c r="DK21" s="681"/>
      <c r="DL21" s="681"/>
      <c r="DM21" s="1330">
        <v>0</v>
      </c>
    </row>
    <row s="11992" customFormat="1" customHeight="1" ht="14.25" hidden="1">
      <c r="L22" s="1499"/>
      <c r="M22" s="1532"/>
      <c r="N22" s="1532"/>
      <c r="O22" s="1534" t="s">
        <v>427</v>
      </c>
      <c r="P22" s="1532"/>
      <c r="Q22" s="1541"/>
      <c r="R22" s="1541"/>
      <c r="S22" s="899"/>
      <c r="T22" s="1330" t="s">
        <v>428</v>
      </c>
      <c r="AA22" s="356" t="s">
        <v>429</v>
      </c>
      <c r="AC22" s="356" t="s">
        <v>430</v>
      </c>
      <c r="AD22" s="1330" t="s">
        <v>428</v>
      </c>
      <c r="AI22" s="356" t="s">
        <v>431</v>
      </c>
      <c r="AK22" s="356" t="s">
        <v>430</v>
      </c>
      <c r="AL22" s="9033"/>
      <c r="AM22" s="9033"/>
      <c r="AN22" s="9033"/>
      <c r="AO22" s="9033"/>
      <c r="AP22" s="9033"/>
      <c r="AQ22" s="9036" t="s">
        <v>429</v>
      </c>
      <c r="AR22" s="9033"/>
      <c r="AS22" s="9036" t="s">
        <v>430</v>
      </c>
      <c r="AT22" s="9033"/>
      <c r="AU22" s="9033"/>
      <c r="AV22" s="9033"/>
      <c r="AW22" s="9033"/>
      <c r="AX22" s="9033"/>
      <c r="AY22" s="9036" t="s">
        <v>429</v>
      </c>
      <c r="AZ22" s="9033"/>
      <c r="BA22" s="9036" t="s">
        <v>430</v>
      </c>
      <c r="BB22" s="9033"/>
      <c r="BC22" s="9033"/>
      <c r="BD22" s="9033"/>
      <c r="BE22" s="9033"/>
      <c r="BF22" s="9033"/>
      <c r="BG22" s="9036" t="s">
        <v>429</v>
      </c>
      <c r="BH22" s="9033"/>
      <c r="BI22" s="9036" t="s">
        <v>430</v>
      </c>
      <c r="BJ22" s="9033"/>
      <c r="BK22" s="9033"/>
      <c r="BL22" s="9033"/>
      <c r="BM22" s="9033"/>
      <c r="BN22" s="9033"/>
      <c r="BO22" s="9036" t="s">
        <v>429</v>
      </c>
      <c r="BP22" s="9033"/>
      <c r="BQ22" s="9036" t="s">
        <v>430</v>
      </c>
      <c r="BR22" s="9033"/>
      <c r="BS22" s="9033"/>
      <c r="BT22" s="9033"/>
      <c r="BU22" s="9033"/>
      <c r="BV22" s="9033"/>
      <c r="BW22" s="9036" t="s">
        <v>429</v>
      </c>
      <c r="BX22" s="9033"/>
      <c r="BY22" s="9036" t="s">
        <v>430</v>
      </c>
      <c r="BZ22" s="9033"/>
      <c r="CA22" s="9033"/>
      <c r="CB22" s="9033"/>
      <c r="CC22" s="9033"/>
      <c r="CD22" s="9033"/>
      <c r="CE22" s="9036" t="s">
        <v>429</v>
      </c>
      <c r="CF22" s="9033"/>
      <c r="CG22" s="9036" t="s">
        <v>430</v>
      </c>
      <c r="CH22" s="9033"/>
      <c r="CI22" s="9033"/>
      <c r="CJ22" s="9033"/>
      <c r="CK22" s="9033"/>
      <c r="CL22" s="9033"/>
      <c r="CM22" s="9036" t="s">
        <v>429</v>
      </c>
      <c r="CN22" s="9033"/>
      <c r="CO22" s="9036" t="s">
        <v>430</v>
      </c>
      <c r="CP22" s="9033"/>
      <c r="CQ22" s="9033"/>
      <c r="CR22" s="9033"/>
      <c r="CS22" s="9033"/>
      <c r="CT22" s="9033"/>
      <c r="CU22" s="9036" t="s">
        <v>429</v>
      </c>
      <c r="CV22" s="9033"/>
      <c r="CW22" s="9036" t="s">
        <v>430</v>
      </c>
      <c r="CX22" s="9033"/>
      <c r="CY22" s="9033"/>
      <c r="CZ22" s="9033"/>
      <c r="DA22" s="9033"/>
      <c r="DB22" s="9033"/>
      <c r="DC22" s="9036" t="s">
        <v>429</v>
      </c>
      <c r="DD22" s="9033"/>
      <c r="DE22" s="9036" t="s">
        <v>430</v>
      </c>
      <c r="DH22" s="681"/>
      <c r="DI22" s="681"/>
      <c r="DJ22" s="681"/>
      <c r="DK22" s="681"/>
      <c r="DL22" s="681"/>
      <c r="DM22" s="1330">
        <v>0</v>
      </c>
    </row>
    <row customHeight="1" ht="14.25" hidden="1">
      <c r="O23" s="1534"/>
      <c r="AL23" s="8724"/>
      <c r="AM23" s="8724"/>
      <c r="AN23" s="8724"/>
      <c r="AO23" s="8724"/>
      <c r="AP23" s="8724"/>
      <c r="AQ23" s="8724"/>
      <c r="AR23" s="8724"/>
      <c r="AS23" s="8724"/>
      <c r="AT23" s="8724"/>
      <c r="AU23" s="8724"/>
      <c r="AV23" s="8724"/>
      <c r="AW23" s="8724"/>
      <c r="AX23" s="8724"/>
      <c r="AY23" s="8724"/>
      <c r="AZ23" s="8724"/>
      <c r="BA23" s="8724"/>
      <c r="BB23" s="8724"/>
      <c r="BC23" s="8724"/>
      <c r="BD23" s="8724"/>
      <c r="BE23" s="8724"/>
      <c r="BF23" s="8724"/>
      <c r="BG23" s="8724"/>
      <c r="BH23" s="8724"/>
      <c r="BI23" s="8724"/>
      <c r="BJ23" s="8724"/>
      <c r="BK23" s="8724"/>
      <c r="BL23" s="8724"/>
      <c r="BM23" s="8724"/>
      <c r="BN23" s="8724"/>
      <c r="BO23" s="8724"/>
      <c r="BP23" s="8724"/>
      <c r="BQ23" s="8724"/>
      <c r="BR23" s="8724"/>
      <c r="BS23" s="8724"/>
      <c r="BT23" s="8724"/>
      <c r="BU23" s="8724"/>
      <c r="BV23" s="8724"/>
      <c r="BW23" s="8724"/>
      <c r="BX23" s="8724"/>
      <c r="BY23" s="8724"/>
      <c r="BZ23" s="8724"/>
      <c r="CA23" s="8724"/>
      <c r="CB23" s="8724"/>
      <c r="CC23" s="8724"/>
      <c r="CD23" s="8724"/>
      <c r="CE23" s="8724"/>
      <c r="CF23" s="8724"/>
      <c r="CG23" s="8724"/>
      <c r="CH23" s="8724"/>
      <c r="CI23" s="8724"/>
      <c r="CJ23" s="8724"/>
      <c r="CK23" s="8724"/>
      <c r="CL23" s="8724"/>
      <c r="CM23" s="8724"/>
      <c r="CN23" s="8724"/>
      <c r="CO23" s="8724"/>
      <c r="CP23" s="8724"/>
      <c r="CQ23" s="8724"/>
      <c r="CR23" s="8724"/>
      <c r="CS23" s="8724"/>
      <c r="CT23" s="8724"/>
      <c r="CU23" s="8724"/>
      <c r="CV23" s="8724"/>
      <c r="CW23" s="8724"/>
      <c r="CX23" s="8724"/>
      <c r="CY23" s="8724"/>
      <c r="CZ23" s="8724"/>
      <c r="DA23" s="8724"/>
      <c r="DB23" s="8724"/>
      <c r="DC23" s="8724"/>
      <c r="DD23" s="8724"/>
      <c r="DE23" s="8724"/>
      <c r="DM23" s="1325">
        <v>0</v>
      </c>
    </row>
    <row customHeight="1" ht="14.25" hidden="1">
      <c r="O24" s="1534"/>
      <c r="AL24" s="8724"/>
      <c r="AM24" s="8724"/>
      <c r="AN24" s="8724"/>
      <c r="AO24" s="8724"/>
      <c r="AP24" s="8724"/>
      <c r="AQ24" s="8724"/>
      <c r="AR24" s="8724"/>
      <c r="AS24" s="8724"/>
      <c r="AT24" s="8724"/>
      <c r="AU24" s="8724"/>
      <c r="AV24" s="8724"/>
      <c r="AW24" s="8724"/>
      <c r="AX24" s="8724"/>
      <c r="AY24" s="8724"/>
      <c r="AZ24" s="8724"/>
      <c r="BA24" s="8724"/>
      <c r="BB24" s="8724"/>
      <c r="BC24" s="8724"/>
      <c r="BD24" s="8724"/>
      <c r="BE24" s="8724"/>
      <c r="BF24" s="8724"/>
      <c r="BG24" s="8724"/>
      <c r="BH24" s="8724"/>
      <c r="BI24" s="8724"/>
      <c r="BJ24" s="8724"/>
      <c r="BK24" s="8724"/>
      <c r="BL24" s="8724"/>
      <c r="BM24" s="8724"/>
      <c r="BN24" s="8724"/>
      <c r="BO24" s="8724"/>
      <c r="BP24" s="8724"/>
      <c r="BQ24" s="8724"/>
      <c r="BR24" s="8724"/>
      <c r="BS24" s="8724"/>
      <c r="BT24" s="8724"/>
      <c r="BU24" s="8724"/>
      <c r="BV24" s="8724"/>
      <c r="BW24" s="8724"/>
      <c r="BX24" s="8724"/>
      <c r="BY24" s="8724"/>
      <c r="BZ24" s="8724"/>
      <c r="CA24" s="8724"/>
      <c r="CB24" s="8724"/>
      <c r="CC24" s="8724"/>
      <c r="CD24" s="8724"/>
      <c r="CE24" s="8724"/>
      <c r="CF24" s="8724"/>
      <c r="CG24" s="8724"/>
      <c r="CH24" s="8724"/>
      <c r="CI24" s="8724"/>
      <c r="CJ24" s="8724"/>
      <c r="CK24" s="8724"/>
      <c r="CL24" s="8724"/>
      <c r="CM24" s="8724"/>
      <c r="CN24" s="8724"/>
      <c r="CO24" s="8724"/>
      <c r="CP24" s="8724"/>
      <c r="CQ24" s="8724"/>
      <c r="CR24" s="8724"/>
      <c r="CS24" s="8724"/>
      <c r="CT24" s="8724"/>
      <c r="CU24" s="8724"/>
      <c r="CV24" s="8724"/>
      <c r="CW24" s="8724"/>
      <c r="CX24" s="8724"/>
      <c r="CY24" s="8724"/>
      <c r="CZ24" s="8724"/>
      <c r="DA24" s="8724"/>
      <c r="DB24" s="8724"/>
      <c r="DC24" s="8724"/>
      <c r="DD24" s="8724"/>
      <c r="DE24" s="8724"/>
      <c r="DM24" s="1325">
        <v>0</v>
      </c>
    </row>
    <row customHeight="1" ht="14.699999999999998">
      <c r="Q25" s="546"/>
      <c r="R25" s="546"/>
      <c r="S25" s="1445"/>
      <c r="T25" s="533"/>
      <c r="U25" s="533"/>
      <c r="V25" s="679"/>
      <c r="W25" s="679"/>
      <c r="X25" s="679"/>
      <c r="Y25" s="679"/>
      <c r="Z25" s="679"/>
      <c r="AA25" s="679"/>
      <c r="AB25" s="679"/>
      <c r="AC25" s="679"/>
      <c r="AD25" s="679"/>
      <c r="AE25" s="679"/>
      <c r="AF25" s="679"/>
      <c r="AG25" s="679"/>
      <c r="AH25" s="679"/>
      <c r="AI25" s="679"/>
      <c r="AJ25" s="679"/>
      <c r="AK25" s="679"/>
      <c r="AL25" s="8724"/>
      <c r="AM25" s="8724"/>
      <c r="AN25" s="8724"/>
      <c r="AO25" s="8724"/>
      <c r="AP25" s="8724"/>
      <c r="AQ25" s="8724"/>
      <c r="AR25" s="8724"/>
      <c r="AS25" s="8724"/>
      <c r="AT25" s="8724"/>
      <c r="AU25" s="8724"/>
      <c r="AV25" s="8724"/>
      <c r="AW25" s="8724"/>
      <c r="AX25" s="8724"/>
      <c r="AY25" s="8724"/>
      <c r="AZ25" s="8724"/>
      <c r="BA25" s="8724"/>
      <c r="BB25" s="8724"/>
      <c r="BC25" s="8724"/>
      <c r="BD25" s="8724"/>
      <c r="BE25" s="8724"/>
      <c r="BF25" s="8724"/>
      <c r="BG25" s="8724"/>
      <c r="BH25" s="8724"/>
      <c r="BI25" s="8724"/>
      <c r="BJ25" s="8724"/>
      <c r="BK25" s="8724"/>
      <c r="BL25" s="8724"/>
      <c r="BM25" s="8724"/>
      <c r="BN25" s="8724"/>
      <c r="BO25" s="8724"/>
      <c r="BP25" s="8724"/>
      <c r="BQ25" s="8724"/>
      <c r="BR25" s="8724"/>
      <c r="BS25" s="8724"/>
      <c r="BT25" s="8724"/>
      <c r="BU25" s="8724"/>
      <c r="BV25" s="8724"/>
      <c r="BW25" s="8724"/>
      <c r="BX25" s="8724"/>
      <c r="BY25" s="8724"/>
      <c r="BZ25" s="8724"/>
      <c r="CA25" s="8724"/>
      <c r="CB25" s="8724"/>
      <c r="CC25" s="8724"/>
      <c r="CD25" s="8724"/>
      <c r="CE25" s="8724"/>
      <c r="CF25" s="8724"/>
      <c r="CG25" s="8724"/>
      <c r="CH25" s="8724"/>
      <c r="CI25" s="8724"/>
      <c r="CJ25" s="8724"/>
      <c r="CK25" s="8724"/>
      <c r="CL25" s="8724"/>
      <c r="CM25" s="8724"/>
      <c r="CN25" s="8724"/>
      <c r="CO25" s="8724"/>
      <c r="CP25" s="8724"/>
      <c r="CQ25" s="8724"/>
      <c r="CR25" s="8724"/>
      <c r="CS25" s="8724"/>
      <c r="CT25" s="8724"/>
      <c r="CU25" s="8724"/>
      <c r="CV25" s="8724"/>
      <c r="CW25" s="8724"/>
      <c r="CX25" s="8724"/>
      <c r="CY25" s="8724"/>
      <c r="CZ25" s="8724"/>
      <c r="DA25" s="8724"/>
      <c r="DB25" s="8724"/>
      <c r="DC25" s="8724"/>
      <c r="DD25" s="8724"/>
      <c r="DE25" s="8724"/>
      <c r="DM25" s="1325">
        <v>14</v>
      </c>
    </row>
    <row customHeight="1" ht="63">
      <c r="Q26" s="546"/>
      <c r="R26" s="546"/>
      <c r="S26" s="241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18"/>
      <c r="U26" s="2418"/>
      <c r="V26" s="2418"/>
      <c r="W26" s="2418"/>
      <c r="X26" s="2418"/>
      <c r="Y26" s="2418"/>
      <c r="Z26" s="2418"/>
      <c r="AA26" s="2418"/>
      <c r="AB26" s="2418"/>
      <c r="AC26" s="2418"/>
      <c r="AD26" s="2418"/>
      <c r="AE26" s="2418"/>
      <c r="AF26" s="2418"/>
      <c r="AG26" s="2418"/>
      <c r="AH26" s="2418"/>
      <c r="AI26" s="2418"/>
      <c r="AJ26" s="2418"/>
      <c r="AK26" s="1413"/>
      <c r="AL26" s="9042"/>
      <c r="AM26" s="9042"/>
      <c r="AN26" s="9042"/>
      <c r="AO26" s="9042"/>
      <c r="AP26" s="9042"/>
      <c r="AQ26" s="9042"/>
      <c r="AR26" s="9042"/>
      <c r="AS26" s="9042"/>
      <c r="AT26" s="9042"/>
      <c r="AU26" s="9042"/>
      <c r="AV26" s="9042"/>
      <c r="AW26" s="9042"/>
      <c r="AX26" s="9042"/>
      <c r="AY26" s="9042"/>
      <c r="AZ26" s="9042"/>
      <c r="BA26" s="9042"/>
      <c r="BB26" s="9042"/>
      <c r="BC26" s="9042"/>
      <c r="BD26" s="9042"/>
      <c r="BE26" s="9042"/>
      <c r="BF26" s="9042"/>
      <c r="BG26" s="9042"/>
      <c r="BH26" s="9042"/>
      <c r="BI26" s="9042"/>
      <c r="BJ26" s="9042"/>
      <c r="BK26" s="9042"/>
      <c r="BL26" s="9042"/>
      <c r="BM26" s="9042"/>
      <c r="BN26" s="9042"/>
      <c r="BO26" s="9042"/>
      <c r="BP26" s="9042"/>
      <c r="BQ26" s="9042"/>
      <c r="BR26" s="9042"/>
      <c r="BS26" s="9042"/>
      <c r="BT26" s="9042"/>
      <c r="BU26" s="9042"/>
      <c r="BV26" s="9042"/>
      <c r="BW26" s="9042"/>
      <c r="BX26" s="9042"/>
      <c r="BY26" s="9042"/>
      <c r="BZ26" s="9042"/>
      <c r="CA26" s="9042"/>
      <c r="CB26" s="9042"/>
      <c r="CC26" s="9042"/>
      <c r="CD26" s="9042"/>
      <c r="CE26" s="9042"/>
      <c r="CF26" s="9042"/>
      <c r="CG26" s="9042"/>
      <c r="CH26" s="9042"/>
      <c r="CI26" s="9042"/>
      <c r="CJ26" s="9042"/>
      <c r="CK26" s="9042"/>
      <c r="CL26" s="9042"/>
      <c r="CM26" s="9042"/>
      <c r="CN26" s="9042"/>
      <c r="CO26" s="9042"/>
      <c r="CP26" s="9042"/>
      <c r="CQ26" s="9042"/>
      <c r="CR26" s="9042"/>
      <c r="CS26" s="9042"/>
      <c r="CT26" s="9042"/>
      <c r="CU26" s="9042"/>
      <c r="CV26" s="9042"/>
      <c r="CW26" s="9042"/>
      <c r="CX26" s="9042"/>
      <c r="CY26" s="9042"/>
      <c r="CZ26" s="9042"/>
      <c r="DA26" s="9042"/>
      <c r="DB26" s="9042"/>
      <c r="DC26" s="9042"/>
      <c r="DD26" s="9042"/>
      <c r="DE26" s="9042"/>
      <c r="DM26" s="1325">
        <v>60</v>
      </c>
    </row>
    <row customHeight="1" ht="14.699999999999998">
      <c r="Q27" s="546"/>
      <c r="R27" s="546"/>
      <c r="S27" s="2419" t="str">
        <f>IF(org=0,"Не определено",org)</f>
        <v>Филиал "Шатурская ГРЭС" ПАО "Юнипро"</v>
      </c>
      <c r="T27" s="2419"/>
      <c r="U27" s="2419"/>
      <c r="V27" s="2419"/>
      <c r="W27" s="2419"/>
      <c r="X27" s="2419"/>
      <c r="Y27" s="2419"/>
      <c r="Z27" s="2419"/>
      <c r="AA27" s="2419"/>
      <c r="AB27" s="2419"/>
      <c r="AC27" s="2419"/>
      <c r="AD27" s="2419"/>
      <c r="AE27" s="2419"/>
      <c r="AF27" s="2419"/>
      <c r="AG27" s="2419"/>
      <c r="AH27" s="2419"/>
      <c r="AI27" s="2419"/>
      <c r="AJ27" s="2419"/>
      <c r="AK27" s="1413"/>
      <c r="AL27" s="9044"/>
      <c r="AM27" s="9044"/>
      <c r="AN27" s="9044"/>
      <c r="AO27" s="9044"/>
      <c r="AP27" s="9044"/>
      <c r="AQ27" s="9044"/>
      <c r="AR27" s="9044"/>
      <c r="AS27" s="9044"/>
      <c r="AT27" s="9044"/>
      <c r="AU27" s="9044"/>
      <c r="AV27" s="9044"/>
      <c r="AW27" s="9044"/>
      <c r="AX27" s="9044"/>
      <c r="AY27" s="9044"/>
      <c r="AZ27" s="9044"/>
      <c r="BA27" s="9044"/>
      <c r="BB27" s="9044"/>
      <c r="BC27" s="9044"/>
      <c r="BD27" s="9044"/>
      <c r="BE27" s="9044"/>
      <c r="BF27" s="9044"/>
      <c r="BG27" s="9044"/>
      <c r="BH27" s="9044"/>
      <c r="BI27" s="9044"/>
      <c r="BJ27" s="9044"/>
      <c r="BK27" s="9044"/>
      <c r="BL27" s="9044"/>
      <c r="BM27" s="9044"/>
      <c r="BN27" s="9044"/>
      <c r="BO27" s="9044"/>
      <c r="BP27" s="9044"/>
      <c r="BQ27" s="9044"/>
      <c r="BR27" s="9044"/>
      <c r="BS27" s="9044"/>
      <c r="BT27" s="9044"/>
      <c r="BU27" s="9044"/>
      <c r="BV27" s="9044"/>
      <c r="BW27" s="9044"/>
      <c r="BX27" s="9044"/>
      <c r="BY27" s="9044"/>
      <c r="BZ27" s="9044"/>
      <c r="CA27" s="9044"/>
      <c r="CB27" s="9044"/>
      <c r="CC27" s="9044"/>
      <c r="CD27" s="9044"/>
      <c r="CE27" s="9044"/>
      <c r="CF27" s="9044"/>
      <c r="CG27" s="9044"/>
      <c r="CH27" s="9044"/>
      <c r="CI27" s="9044"/>
      <c r="CJ27" s="9044"/>
      <c r="CK27" s="9044"/>
      <c r="CL27" s="9044"/>
      <c r="CM27" s="9044"/>
      <c r="CN27" s="9044"/>
      <c r="CO27" s="9044"/>
      <c r="CP27" s="9044"/>
      <c r="CQ27" s="9044"/>
      <c r="CR27" s="9044"/>
      <c r="CS27" s="9044"/>
      <c r="CT27" s="9044"/>
      <c r="CU27" s="9044"/>
      <c r="CV27" s="9044"/>
      <c r="CW27" s="9044"/>
      <c r="CX27" s="9044"/>
      <c r="CY27" s="9044"/>
      <c r="CZ27" s="9044"/>
      <c r="DA27" s="9044"/>
      <c r="DB27" s="9044"/>
      <c r="DC27" s="9044"/>
      <c r="DD27" s="9044"/>
      <c r="DE27" s="9044"/>
      <c r="DM27" s="1325">
        <v>14</v>
      </c>
    </row>
    <row customHeight="1" ht="14.25">
      <c r="Q28" s="546"/>
      <c r="R28" s="546"/>
      <c r="S28" s="1445"/>
      <c r="T28" s="533"/>
      <c r="U28" s="533"/>
      <c r="V28" s="492"/>
      <c r="W28" s="492"/>
      <c r="X28" s="492"/>
      <c r="Y28" s="492"/>
      <c r="Z28" s="492"/>
      <c r="AA28" s="492"/>
      <c r="AB28" s="492"/>
      <c r="AC28" s="492"/>
      <c r="AD28" s="492"/>
      <c r="AE28" s="492"/>
      <c r="AF28" s="492"/>
      <c r="AG28" s="492"/>
      <c r="AH28" s="492"/>
      <c r="AI28" s="492"/>
      <c r="AJ28" s="492"/>
      <c r="AK28" s="492"/>
      <c r="AL28" s="9046"/>
      <c r="AM28" s="9046"/>
      <c r="AN28" s="9046"/>
      <c r="AO28" s="9046"/>
      <c r="AP28" s="9046"/>
      <c r="AQ28" s="9046"/>
      <c r="AR28" s="9046"/>
      <c r="AS28" s="9046"/>
      <c r="AT28" s="9046"/>
      <c r="AU28" s="9046"/>
      <c r="AV28" s="9046"/>
      <c r="AW28" s="9046"/>
      <c r="AX28" s="9046"/>
      <c r="AY28" s="9046"/>
      <c r="AZ28" s="9046"/>
      <c r="BA28" s="9046"/>
      <c r="BB28" s="9046"/>
      <c r="BC28" s="9046"/>
      <c r="BD28" s="9046"/>
      <c r="BE28" s="9046"/>
      <c r="BF28" s="9046"/>
      <c r="BG28" s="9046"/>
      <c r="BH28" s="9046"/>
      <c r="BI28" s="9046"/>
      <c r="BJ28" s="9046"/>
      <c r="BK28" s="9046"/>
      <c r="BL28" s="9046"/>
      <c r="BM28" s="9046"/>
      <c r="BN28" s="9046"/>
      <c r="BO28" s="9046"/>
      <c r="BP28" s="9046"/>
      <c r="BQ28" s="9046"/>
      <c r="BR28" s="9046"/>
      <c r="BS28" s="9046"/>
      <c r="BT28" s="9046"/>
      <c r="BU28" s="9046"/>
      <c r="BV28" s="9046"/>
      <c r="BW28" s="9046"/>
      <c r="BX28" s="9046"/>
      <c r="BY28" s="9046"/>
      <c r="BZ28" s="9046"/>
      <c r="CA28" s="9046"/>
      <c r="CB28" s="9046"/>
      <c r="CC28" s="9046"/>
      <c r="CD28" s="9046"/>
      <c r="CE28" s="9046"/>
      <c r="CF28" s="9046"/>
      <c r="CG28" s="9046"/>
      <c r="CH28" s="9046"/>
      <c r="CI28" s="9046"/>
      <c r="CJ28" s="9046"/>
      <c r="CK28" s="9046"/>
      <c r="CL28" s="9046"/>
      <c r="CM28" s="9046"/>
      <c r="CN28" s="9046"/>
      <c r="CO28" s="9046"/>
      <c r="CP28" s="9046"/>
      <c r="CQ28" s="9046"/>
      <c r="CR28" s="9046"/>
      <c r="CS28" s="9046"/>
      <c r="CT28" s="9046"/>
      <c r="CU28" s="9046"/>
      <c r="CV28" s="9046"/>
      <c r="CW28" s="9046"/>
      <c r="CX28" s="9046"/>
      <c r="CY28" s="9046"/>
      <c r="CZ28" s="9046"/>
      <c r="DA28" s="9046"/>
      <c r="DB28" s="9046"/>
      <c r="DC28" s="9046"/>
      <c r="DD28" s="9046"/>
      <c r="DE28" s="9046"/>
      <c r="DF28" s="679"/>
      <c r="DM28" s="1325">
        <v>0</v>
      </c>
    </row>
    <row s="12119" customFormat="1" customHeight="1" ht="25.5">
      <c r="A29" s="1538"/>
      <c r="B29" s="1538"/>
      <c r="C29" s="1538"/>
      <c r="D29" s="1538"/>
      <c r="E29" s="1538"/>
      <c r="F29" s="1538"/>
      <c r="G29" s="1538"/>
      <c r="H29" s="1538"/>
      <c r="I29" s="1538"/>
      <c r="J29" s="1538"/>
      <c r="K29" s="1538"/>
      <c r="L29" s="1539"/>
      <c r="M29" s="1538"/>
      <c r="N29" s="1538"/>
      <c r="O29" s="1538"/>
      <c r="S29" s="2420" t="s">
        <v>42</v>
      </c>
      <c r="T29" s="2420"/>
      <c r="U29" s="1542"/>
      <c r="V29" s="2421" t="str">
        <f>IF(TITLE_NAME_OR_PR_CHANGE="",IF(TITLE_NAME_OR_PR="","",TITLE_NAME_OR_PR),TITLE_NAME_OR_PR_CHANGE)</f>
        <v>Комитет по ценам и тарифам Московской области</v>
      </c>
      <c r="W29" s="2421"/>
      <c r="X29" s="2421"/>
      <c r="Y29" s="2421"/>
      <c r="Z29" s="2421"/>
      <c r="AA29" s="2421"/>
      <c r="AB29" s="2421"/>
      <c r="AC29" s="496"/>
      <c r="AD29" s="2421" t="str">
        <f>IF(TITLE_NAME_OR_PR_CHANGE="",IF(TITLE_NAME_OR_PR="","",TITLE_NAME_OR_PR),TITLE_NAME_OR_PR_CHANGE)</f>
        <v>Комитет по ценам и тарифам Московской области</v>
      </c>
      <c r="AE29" s="2421"/>
      <c r="AF29" s="2421"/>
      <c r="AG29" s="2421"/>
      <c r="AH29" s="2421"/>
      <c r="AI29" s="2421"/>
      <c r="AJ29" s="2421"/>
      <c r="AK29" s="496"/>
      <c r="AL29" s="9053" t="str">
        <f>IF(TITLE_NAME_OR_PR_CHANGE="",IF(TITLE_NAME_OR_PR="","",TITLE_NAME_OR_PR),TITLE_NAME_OR_PR_CHANGE)</f>
        <v>Комитет по ценам и тарифам Московской области</v>
      </c>
      <c r="AM29" s="9053"/>
      <c r="AN29" s="9053"/>
      <c r="AO29" s="9053"/>
      <c r="AP29" s="9053"/>
      <c r="AQ29" s="9053"/>
      <c r="AR29" s="9053"/>
      <c r="AS29" s="8724"/>
      <c r="AT29" s="9053" t="str">
        <f>IF(TITLE_NAME_OR_PR_CHANGE="",IF(TITLE_NAME_OR_PR="","",TITLE_NAME_OR_PR),TITLE_NAME_OR_PR_CHANGE)</f>
        <v>Комитет по ценам и тарифам Московской области</v>
      </c>
      <c r="AU29" s="9053"/>
      <c r="AV29" s="9053"/>
      <c r="AW29" s="9053"/>
      <c r="AX29" s="9053"/>
      <c r="AY29" s="9053"/>
      <c r="AZ29" s="9053"/>
      <c r="BA29" s="8724"/>
      <c r="BB29" s="9053" t="str">
        <f>IF(TITLE_NAME_OR_PR_CHANGE="",IF(TITLE_NAME_OR_PR="","",TITLE_NAME_OR_PR),TITLE_NAME_OR_PR_CHANGE)</f>
        <v>Комитет по ценам и тарифам Московской области</v>
      </c>
      <c r="BC29" s="9053"/>
      <c r="BD29" s="9053"/>
      <c r="BE29" s="9053"/>
      <c r="BF29" s="9053"/>
      <c r="BG29" s="9053"/>
      <c r="BH29" s="9053"/>
      <c r="BI29" s="8724"/>
      <c r="BJ29" s="9053" t="str">
        <f>IF(TITLE_NAME_OR_PR_CHANGE="",IF(TITLE_NAME_OR_PR="","",TITLE_NAME_OR_PR),TITLE_NAME_OR_PR_CHANGE)</f>
        <v>Комитет по ценам и тарифам Московской области</v>
      </c>
      <c r="BK29" s="9053"/>
      <c r="BL29" s="9053"/>
      <c r="BM29" s="9053"/>
      <c r="BN29" s="9053"/>
      <c r="BO29" s="9053"/>
      <c r="BP29" s="9053"/>
      <c r="BQ29" s="8724"/>
      <c r="BR29" s="9053" t="str">
        <f>IF(TITLE_NAME_OR_PR_CHANGE="",IF(TITLE_NAME_OR_PR="","",TITLE_NAME_OR_PR),TITLE_NAME_OR_PR_CHANGE)</f>
        <v>Комитет по ценам и тарифам Московской области</v>
      </c>
      <c r="BS29" s="9053"/>
      <c r="BT29" s="9053"/>
      <c r="BU29" s="9053"/>
      <c r="BV29" s="9053"/>
      <c r="BW29" s="9053"/>
      <c r="BX29" s="9053"/>
      <c r="BY29" s="8724"/>
      <c r="BZ29" s="9053" t="str">
        <f>IF(TITLE_NAME_OR_PR_CHANGE="",IF(TITLE_NAME_OR_PR="","",TITLE_NAME_OR_PR),TITLE_NAME_OR_PR_CHANGE)</f>
        <v>Комитет по ценам и тарифам Московской области</v>
      </c>
      <c r="CA29" s="9053"/>
      <c r="CB29" s="9053"/>
      <c r="CC29" s="9053"/>
      <c r="CD29" s="9053"/>
      <c r="CE29" s="9053"/>
      <c r="CF29" s="9053"/>
      <c r="CG29" s="8724"/>
      <c r="CH29" s="9053" t="str">
        <f>IF(TITLE_NAME_OR_PR_CHANGE="",IF(TITLE_NAME_OR_PR="","",TITLE_NAME_OR_PR),TITLE_NAME_OR_PR_CHANGE)</f>
        <v>Комитет по ценам и тарифам Московской области</v>
      </c>
      <c r="CI29" s="9053"/>
      <c r="CJ29" s="9053"/>
      <c r="CK29" s="9053"/>
      <c r="CL29" s="9053"/>
      <c r="CM29" s="9053"/>
      <c r="CN29" s="9053"/>
      <c r="CO29" s="8724"/>
      <c r="CP29" s="9053" t="str">
        <f>IF(TITLE_NAME_OR_PR_CHANGE="",IF(TITLE_NAME_OR_PR="","",TITLE_NAME_OR_PR),TITLE_NAME_OR_PR_CHANGE)</f>
        <v>Комитет по ценам и тарифам Московской области</v>
      </c>
      <c r="CQ29" s="9053"/>
      <c r="CR29" s="9053"/>
      <c r="CS29" s="9053"/>
      <c r="CT29" s="9053"/>
      <c r="CU29" s="9053"/>
      <c r="CV29" s="9053"/>
      <c r="CW29" s="8724"/>
      <c r="CX29" s="9053" t="str">
        <f>IF(TITLE_NAME_OR_PR_CHANGE="",IF(TITLE_NAME_OR_PR="","",TITLE_NAME_OR_PR),TITLE_NAME_OR_PR_CHANGE)</f>
        <v>Комитет по ценам и тарифам Московской области</v>
      </c>
      <c r="CY29" s="9053"/>
      <c r="CZ29" s="9053"/>
      <c r="DA29" s="9053"/>
      <c r="DB29" s="9053"/>
      <c r="DC29" s="9053"/>
      <c r="DD29" s="9053"/>
      <c r="DE29" s="8724"/>
      <c r="DF29" s="496"/>
      <c r="DG29" s="450"/>
      <c r="DH29" s="538"/>
      <c r="DI29" s="538"/>
      <c r="DJ29" s="538"/>
      <c r="DK29" s="538"/>
      <c r="DL29" s="538"/>
      <c r="DM29" s="588">
        <v>0</v>
      </c>
    </row>
    <row s="12119" customFormat="1" customHeight="1" ht="18.75">
      <c r="A30" s="1538"/>
      <c r="B30" s="1538"/>
      <c r="C30" s="1538"/>
      <c r="D30" s="1538"/>
      <c r="E30" s="1538"/>
      <c r="F30" s="1538"/>
      <c r="G30" s="1538"/>
      <c r="H30" s="1538"/>
      <c r="I30" s="1538"/>
      <c r="J30" s="1538"/>
      <c r="K30" s="1538"/>
      <c r="L30" s="1539"/>
      <c r="M30" s="1538"/>
      <c r="N30" s="1538"/>
      <c r="O30" s="1538"/>
      <c r="S30" s="2420" t="s">
        <v>432</v>
      </c>
      <c r="T30" s="2420"/>
      <c r="U30" s="1542"/>
      <c r="V30" s="2434" t="str">
        <f>IF(TITLE_DATE_PR_CHANGE="",IF(TITLE_DATE_PR="","",TITLE_DATE_PR),TITLE_DATE_PR_CHANGE)</f>
        <v>45646.459814814814</v>
      </c>
      <c r="W30" s="2434"/>
      <c r="X30" s="2434"/>
      <c r="Y30" s="2434"/>
      <c r="Z30" s="2434"/>
      <c r="AA30" s="2434"/>
      <c r="AB30" s="2434"/>
      <c r="AC30" s="496"/>
      <c r="AD30" s="2434" t="str">
        <f>IF(TITLE_DATE_PR_CHANGE="",IF(TITLE_DATE_PR="","",TITLE_DATE_PR),TITLE_DATE_PR_CHANGE)</f>
        <v>45646.459814814814</v>
      </c>
      <c r="AE30" s="2434"/>
      <c r="AF30" s="2434"/>
      <c r="AG30" s="2434"/>
      <c r="AH30" s="2434"/>
      <c r="AI30" s="2434"/>
      <c r="AJ30" s="2434"/>
      <c r="AK30" s="496"/>
      <c r="AL30" s="9058" t="str">
        <f>IF(TITLE_DATE_PR_CHANGE="",IF(TITLE_DATE_PR="","",TITLE_DATE_PR),TITLE_DATE_PR_CHANGE)</f>
        <v>45646.459814814814</v>
      </c>
      <c r="AM30" s="9058"/>
      <c r="AN30" s="9058"/>
      <c r="AO30" s="9058"/>
      <c r="AP30" s="9058"/>
      <c r="AQ30" s="9058"/>
      <c r="AR30" s="9058"/>
      <c r="AS30" s="8724"/>
      <c r="AT30" s="9058" t="str">
        <f>IF(TITLE_DATE_PR_CHANGE="",IF(TITLE_DATE_PR="","",TITLE_DATE_PR),TITLE_DATE_PR_CHANGE)</f>
        <v>45646.459814814814</v>
      </c>
      <c r="AU30" s="9058"/>
      <c r="AV30" s="9058"/>
      <c r="AW30" s="9058"/>
      <c r="AX30" s="9058"/>
      <c r="AY30" s="9058"/>
      <c r="AZ30" s="9058"/>
      <c r="BA30" s="8724"/>
      <c r="BB30" s="9058" t="str">
        <f>IF(TITLE_DATE_PR_CHANGE="",IF(TITLE_DATE_PR="","",TITLE_DATE_PR),TITLE_DATE_PR_CHANGE)</f>
        <v>45646.459814814814</v>
      </c>
      <c r="BC30" s="9058"/>
      <c r="BD30" s="9058"/>
      <c r="BE30" s="9058"/>
      <c r="BF30" s="9058"/>
      <c r="BG30" s="9058"/>
      <c r="BH30" s="9058"/>
      <c r="BI30" s="8724"/>
      <c r="BJ30" s="9058" t="str">
        <f>IF(TITLE_DATE_PR_CHANGE="",IF(TITLE_DATE_PR="","",TITLE_DATE_PR),TITLE_DATE_PR_CHANGE)</f>
        <v>45646.459814814814</v>
      </c>
      <c r="BK30" s="9058"/>
      <c r="BL30" s="9058"/>
      <c r="BM30" s="9058"/>
      <c r="BN30" s="9058"/>
      <c r="BO30" s="9058"/>
      <c r="BP30" s="9058"/>
      <c r="BQ30" s="8724"/>
      <c r="BR30" s="9058" t="str">
        <f>IF(TITLE_DATE_PR_CHANGE="",IF(TITLE_DATE_PR="","",TITLE_DATE_PR),TITLE_DATE_PR_CHANGE)</f>
        <v>45646.459814814814</v>
      </c>
      <c r="BS30" s="9058"/>
      <c r="BT30" s="9058"/>
      <c r="BU30" s="9058"/>
      <c r="BV30" s="9058"/>
      <c r="BW30" s="9058"/>
      <c r="BX30" s="9058"/>
      <c r="BY30" s="8724"/>
      <c r="BZ30" s="9058" t="str">
        <f>IF(TITLE_DATE_PR_CHANGE="",IF(TITLE_DATE_PR="","",TITLE_DATE_PR),TITLE_DATE_PR_CHANGE)</f>
        <v>45646.459814814814</v>
      </c>
      <c r="CA30" s="9058"/>
      <c r="CB30" s="9058"/>
      <c r="CC30" s="9058"/>
      <c r="CD30" s="9058"/>
      <c r="CE30" s="9058"/>
      <c r="CF30" s="9058"/>
      <c r="CG30" s="8724"/>
      <c r="CH30" s="9058" t="str">
        <f>IF(TITLE_DATE_PR_CHANGE="",IF(TITLE_DATE_PR="","",TITLE_DATE_PR),TITLE_DATE_PR_CHANGE)</f>
        <v>45646.459814814814</v>
      </c>
      <c r="CI30" s="9058"/>
      <c r="CJ30" s="9058"/>
      <c r="CK30" s="9058"/>
      <c r="CL30" s="9058"/>
      <c r="CM30" s="9058"/>
      <c r="CN30" s="9058"/>
      <c r="CO30" s="8724"/>
      <c r="CP30" s="9058" t="str">
        <f>IF(TITLE_DATE_PR_CHANGE="",IF(TITLE_DATE_PR="","",TITLE_DATE_PR),TITLE_DATE_PR_CHANGE)</f>
        <v>45646.459814814814</v>
      </c>
      <c r="CQ30" s="9058"/>
      <c r="CR30" s="9058"/>
      <c r="CS30" s="9058"/>
      <c r="CT30" s="9058"/>
      <c r="CU30" s="9058"/>
      <c r="CV30" s="9058"/>
      <c r="CW30" s="8724"/>
      <c r="CX30" s="9058" t="str">
        <f>IF(TITLE_DATE_PR_CHANGE="",IF(TITLE_DATE_PR="","",TITLE_DATE_PR),TITLE_DATE_PR_CHANGE)</f>
        <v>45646.459814814814</v>
      </c>
      <c r="CY30" s="9058"/>
      <c r="CZ30" s="9058"/>
      <c r="DA30" s="9058"/>
      <c r="DB30" s="9058"/>
      <c r="DC30" s="9058"/>
      <c r="DD30" s="9058"/>
      <c r="DE30" s="8724"/>
      <c r="DF30" s="496"/>
      <c r="DG30" s="450"/>
      <c r="DH30" s="538"/>
      <c r="DI30" s="538"/>
      <c r="DJ30" s="538"/>
      <c r="DK30" s="538"/>
      <c r="DL30" s="538"/>
      <c r="DM30" s="588">
        <v>0</v>
      </c>
    </row>
    <row s="12119" customFormat="1" customHeight="1" ht="18.75">
      <c r="A31" s="1538"/>
      <c r="B31" s="1538"/>
      <c r="C31" s="1538"/>
      <c r="D31" s="1538"/>
      <c r="E31" s="1538"/>
      <c r="F31" s="1538"/>
      <c r="G31" s="1538"/>
      <c r="H31" s="1538"/>
      <c r="I31" s="1538"/>
      <c r="J31" s="1538"/>
      <c r="K31" s="1538"/>
      <c r="L31" s="1539"/>
      <c r="M31" s="1538"/>
      <c r="N31" s="1538"/>
      <c r="O31" s="1538"/>
      <c r="S31" s="2420" t="s">
        <v>433</v>
      </c>
      <c r="T31" s="2420"/>
      <c r="U31" s="1542"/>
      <c r="V31" s="2421" t="str">
        <f>IF(TITLE_NUMBER_PR_CHANGE="",IF(TITLE_NUMBER_PR="","",TITLE_NUMBER_PR),TITLE_NUMBER_PR_CHANGE)</f>
        <v>329-Р</v>
      </c>
      <c r="W31" s="2421"/>
      <c r="X31" s="2421"/>
      <c r="Y31" s="2421"/>
      <c r="Z31" s="2421"/>
      <c r="AA31" s="2421"/>
      <c r="AB31" s="2421"/>
      <c r="AC31" s="496"/>
      <c r="AD31" s="2421" t="str">
        <f>IF(TITLE_NUMBER_PR_CHANGE="",IF(TITLE_NUMBER_PR="","",TITLE_NUMBER_PR),TITLE_NUMBER_PR_CHANGE)</f>
        <v>329-Р</v>
      </c>
      <c r="AE31" s="2421"/>
      <c r="AF31" s="2421"/>
      <c r="AG31" s="2421"/>
      <c r="AH31" s="2421"/>
      <c r="AI31" s="2421"/>
      <c r="AJ31" s="2421"/>
      <c r="AK31" s="496"/>
      <c r="AL31" s="9053" t="str">
        <f>IF(TITLE_NUMBER_PR_CHANGE="",IF(TITLE_NUMBER_PR="","",TITLE_NUMBER_PR),TITLE_NUMBER_PR_CHANGE)</f>
        <v>329-Р</v>
      </c>
      <c r="AM31" s="9053"/>
      <c r="AN31" s="9053"/>
      <c r="AO31" s="9053"/>
      <c r="AP31" s="9053"/>
      <c r="AQ31" s="9053"/>
      <c r="AR31" s="9053"/>
      <c r="AS31" s="8724"/>
      <c r="AT31" s="9053" t="str">
        <f>IF(TITLE_NUMBER_PR_CHANGE="",IF(TITLE_NUMBER_PR="","",TITLE_NUMBER_PR),TITLE_NUMBER_PR_CHANGE)</f>
        <v>329-Р</v>
      </c>
      <c r="AU31" s="9053"/>
      <c r="AV31" s="9053"/>
      <c r="AW31" s="9053"/>
      <c r="AX31" s="9053"/>
      <c r="AY31" s="9053"/>
      <c r="AZ31" s="9053"/>
      <c r="BA31" s="8724"/>
      <c r="BB31" s="9053" t="str">
        <f>IF(TITLE_NUMBER_PR_CHANGE="",IF(TITLE_NUMBER_PR="","",TITLE_NUMBER_PR),TITLE_NUMBER_PR_CHANGE)</f>
        <v>329-Р</v>
      </c>
      <c r="BC31" s="9053"/>
      <c r="BD31" s="9053"/>
      <c r="BE31" s="9053"/>
      <c r="BF31" s="9053"/>
      <c r="BG31" s="9053"/>
      <c r="BH31" s="9053"/>
      <c r="BI31" s="8724"/>
      <c r="BJ31" s="9053" t="str">
        <f>IF(TITLE_NUMBER_PR_CHANGE="",IF(TITLE_NUMBER_PR="","",TITLE_NUMBER_PR),TITLE_NUMBER_PR_CHANGE)</f>
        <v>329-Р</v>
      </c>
      <c r="BK31" s="9053"/>
      <c r="BL31" s="9053"/>
      <c r="BM31" s="9053"/>
      <c r="BN31" s="9053"/>
      <c r="BO31" s="9053"/>
      <c r="BP31" s="9053"/>
      <c r="BQ31" s="8724"/>
      <c r="BR31" s="9053" t="str">
        <f>IF(TITLE_NUMBER_PR_CHANGE="",IF(TITLE_NUMBER_PR="","",TITLE_NUMBER_PR),TITLE_NUMBER_PR_CHANGE)</f>
        <v>329-Р</v>
      </c>
      <c r="BS31" s="9053"/>
      <c r="BT31" s="9053"/>
      <c r="BU31" s="9053"/>
      <c r="BV31" s="9053"/>
      <c r="BW31" s="9053"/>
      <c r="BX31" s="9053"/>
      <c r="BY31" s="8724"/>
      <c r="BZ31" s="9053" t="str">
        <f>IF(TITLE_NUMBER_PR_CHANGE="",IF(TITLE_NUMBER_PR="","",TITLE_NUMBER_PR),TITLE_NUMBER_PR_CHANGE)</f>
        <v>329-Р</v>
      </c>
      <c r="CA31" s="9053"/>
      <c r="CB31" s="9053"/>
      <c r="CC31" s="9053"/>
      <c r="CD31" s="9053"/>
      <c r="CE31" s="9053"/>
      <c r="CF31" s="9053"/>
      <c r="CG31" s="8724"/>
      <c r="CH31" s="9053" t="str">
        <f>IF(TITLE_NUMBER_PR_CHANGE="",IF(TITLE_NUMBER_PR="","",TITLE_NUMBER_PR),TITLE_NUMBER_PR_CHANGE)</f>
        <v>329-Р</v>
      </c>
      <c r="CI31" s="9053"/>
      <c r="CJ31" s="9053"/>
      <c r="CK31" s="9053"/>
      <c r="CL31" s="9053"/>
      <c r="CM31" s="9053"/>
      <c r="CN31" s="9053"/>
      <c r="CO31" s="8724"/>
      <c r="CP31" s="9053" t="str">
        <f>IF(TITLE_NUMBER_PR_CHANGE="",IF(TITLE_NUMBER_PR="","",TITLE_NUMBER_PR),TITLE_NUMBER_PR_CHANGE)</f>
        <v>329-Р</v>
      </c>
      <c r="CQ31" s="9053"/>
      <c r="CR31" s="9053"/>
      <c r="CS31" s="9053"/>
      <c r="CT31" s="9053"/>
      <c r="CU31" s="9053"/>
      <c r="CV31" s="9053"/>
      <c r="CW31" s="8724"/>
      <c r="CX31" s="9053" t="str">
        <f>IF(TITLE_NUMBER_PR_CHANGE="",IF(TITLE_NUMBER_PR="","",TITLE_NUMBER_PR),TITLE_NUMBER_PR_CHANGE)</f>
        <v>329-Р</v>
      </c>
      <c r="CY31" s="9053"/>
      <c r="CZ31" s="9053"/>
      <c r="DA31" s="9053"/>
      <c r="DB31" s="9053"/>
      <c r="DC31" s="9053"/>
      <c r="DD31" s="9053"/>
      <c r="DE31" s="8724"/>
      <c r="DF31" s="496"/>
      <c r="DG31" s="450"/>
      <c r="DH31" s="538"/>
      <c r="DI31" s="538"/>
      <c r="DJ31" s="538"/>
      <c r="DK31" s="538"/>
      <c r="DL31" s="538"/>
      <c r="DM31" s="588">
        <v>0</v>
      </c>
    </row>
    <row s="12119" customFormat="1" customHeight="1" ht="18.75">
      <c r="A32" s="1538"/>
      <c r="B32" s="1538"/>
      <c r="C32" s="1538"/>
      <c r="D32" s="1538"/>
      <c r="E32" s="1538"/>
      <c r="F32" s="1538"/>
      <c r="G32" s="1538"/>
      <c r="H32" s="1538"/>
      <c r="I32" s="1538"/>
      <c r="J32" s="1538"/>
      <c r="K32" s="1538"/>
      <c r="L32" s="1539"/>
      <c r="M32" s="1538"/>
      <c r="N32" s="1538"/>
      <c r="O32" s="1538"/>
      <c r="S32" s="2420" t="s">
        <v>44</v>
      </c>
      <c r="T32" s="2420"/>
      <c r="U32" s="1542"/>
      <c r="V32"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421"/>
      <c r="X32" s="2421"/>
      <c r="Y32" s="2421"/>
      <c r="Z32" s="2421"/>
      <c r="AA32" s="2421"/>
      <c r="AB32" s="2421"/>
      <c r="AC32" s="496"/>
      <c r="AD32"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421"/>
      <c r="AF32" s="2421"/>
      <c r="AG32" s="2421"/>
      <c r="AH32" s="2421"/>
      <c r="AI32" s="2421"/>
      <c r="AJ32" s="2421"/>
      <c r="AK32" s="496"/>
      <c r="AL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M32" s="9053"/>
      <c r="AN32" s="9053"/>
      <c r="AO32" s="9053"/>
      <c r="AP32" s="9053"/>
      <c r="AQ32" s="9053"/>
      <c r="AR32" s="9053"/>
      <c r="AS32" s="8724"/>
      <c r="AT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U32" s="9053"/>
      <c r="AV32" s="9053"/>
      <c r="AW32" s="9053"/>
      <c r="AX32" s="9053"/>
      <c r="AY32" s="9053"/>
      <c r="AZ32" s="9053"/>
      <c r="BA32" s="8724"/>
      <c r="BB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C32" s="9053"/>
      <c r="BD32" s="9053"/>
      <c r="BE32" s="9053"/>
      <c r="BF32" s="9053"/>
      <c r="BG32" s="9053"/>
      <c r="BH32" s="9053"/>
      <c r="BI32" s="8724"/>
      <c r="BJ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K32" s="9053"/>
      <c r="BL32" s="9053"/>
      <c r="BM32" s="9053"/>
      <c r="BN32" s="9053"/>
      <c r="BO32" s="9053"/>
      <c r="BP32" s="9053"/>
      <c r="BQ32" s="8724"/>
      <c r="BR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BS32" s="9053"/>
      <c r="BT32" s="9053"/>
      <c r="BU32" s="9053"/>
      <c r="BV32" s="9053"/>
      <c r="BW32" s="9053"/>
      <c r="BX32" s="9053"/>
      <c r="BY32" s="8724"/>
      <c r="BZ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A32" s="9053"/>
      <c r="CB32" s="9053"/>
      <c r="CC32" s="9053"/>
      <c r="CD32" s="9053"/>
      <c r="CE32" s="9053"/>
      <c r="CF32" s="9053"/>
      <c r="CG32" s="8724"/>
      <c r="CH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I32" s="9053"/>
      <c r="CJ32" s="9053"/>
      <c r="CK32" s="9053"/>
      <c r="CL32" s="9053"/>
      <c r="CM32" s="9053"/>
      <c r="CN32" s="9053"/>
      <c r="CO32" s="8724"/>
      <c r="CP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Q32" s="9053"/>
      <c r="CR32" s="9053"/>
      <c r="CS32" s="9053"/>
      <c r="CT32" s="9053"/>
      <c r="CU32" s="9053"/>
      <c r="CV32" s="9053"/>
      <c r="CW32" s="8724"/>
      <c r="CX32" s="9053"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CY32" s="9053"/>
      <c r="CZ32" s="9053"/>
      <c r="DA32" s="9053"/>
      <c r="DB32" s="9053"/>
      <c r="DC32" s="9053"/>
      <c r="DD32" s="9053"/>
      <c r="DE32" s="8724"/>
      <c r="DF32" s="496"/>
      <c r="DG32" s="450"/>
      <c r="DH32" s="538"/>
      <c r="DI32" s="538"/>
      <c r="DJ32" s="538"/>
      <c r="DK32" s="538"/>
      <c r="DL32" s="538"/>
      <c r="DM32" s="588">
        <v>0</v>
      </c>
    </row>
    <row customHeight="1" ht="14.25" hidden="1">
      <c r="Q33" s="546"/>
      <c r="R33" s="546"/>
      <c r="S33" s="1445"/>
      <c r="T33" s="533"/>
      <c r="U33" s="533"/>
      <c r="V33" s="492"/>
      <c r="W33" s="492"/>
      <c r="X33" s="492"/>
      <c r="Y33" s="492"/>
      <c r="Z33" s="492"/>
      <c r="AA33" s="492"/>
      <c r="AB33" s="492"/>
      <c r="AC33" s="492"/>
      <c r="AD33" s="492"/>
      <c r="AE33" s="492"/>
      <c r="AF33" s="492"/>
      <c r="AG33" s="492"/>
      <c r="AH33" s="492"/>
      <c r="AI33" s="492"/>
      <c r="AJ33" s="492"/>
      <c r="AK33" s="492"/>
      <c r="AL33" s="9046"/>
      <c r="AM33" s="9046"/>
      <c r="AN33" s="9046"/>
      <c r="AO33" s="9046"/>
      <c r="AP33" s="9046"/>
      <c r="AQ33" s="9046"/>
      <c r="AR33" s="9046"/>
      <c r="AS33" s="9046"/>
      <c r="AT33" s="9046"/>
      <c r="AU33" s="9046"/>
      <c r="AV33" s="9046"/>
      <c r="AW33" s="9046"/>
      <c r="AX33" s="9046"/>
      <c r="AY33" s="9046"/>
      <c r="AZ33" s="9046"/>
      <c r="BA33" s="9046"/>
      <c r="BB33" s="9046"/>
      <c r="BC33" s="9046"/>
      <c r="BD33" s="9046"/>
      <c r="BE33" s="9046"/>
      <c r="BF33" s="9046"/>
      <c r="BG33" s="9046"/>
      <c r="BH33" s="9046"/>
      <c r="BI33" s="9046"/>
      <c r="BJ33" s="9046"/>
      <c r="BK33" s="9046"/>
      <c r="BL33" s="9046"/>
      <c r="BM33" s="9046"/>
      <c r="BN33" s="9046"/>
      <c r="BO33" s="9046"/>
      <c r="BP33" s="9046"/>
      <c r="BQ33" s="9046"/>
      <c r="BR33" s="9046"/>
      <c r="BS33" s="9046"/>
      <c r="BT33" s="9046"/>
      <c r="BU33" s="9046"/>
      <c r="BV33" s="9046"/>
      <c r="BW33" s="9046"/>
      <c r="BX33" s="9046"/>
      <c r="BY33" s="9046"/>
      <c r="BZ33" s="9046"/>
      <c r="CA33" s="9046"/>
      <c r="CB33" s="9046"/>
      <c r="CC33" s="9046"/>
      <c r="CD33" s="9046"/>
      <c r="CE33" s="9046"/>
      <c r="CF33" s="9046"/>
      <c r="CG33" s="9046"/>
      <c r="CH33" s="9046"/>
      <c r="CI33" s="9046"/>
      <c r="CJ33" s="9046"/>
      <c r="CK33" s="9046"/>
      <c r="CL33" s="9046"/>
      <c r="CM33" s="9046"/>
      <c r="CN33" s="9046"/>
      <c r="CO33" s="9046"/>
      <c r="CP33" s="9046"/>
      <c r="CQ33" s="9046"/>
      <c r="CR33" s="9046"/>
      <c r="CS33" s="9046"/>
      <c r="CT33" s="9046"/>
      <c r="CU33" s="9046"/>
      <c r="CV33" s="9046"/>
      <c r="CW33" s="9046"/>
      <c r="CX33" s="9046"/>
      <c r="CY33" s="9046"/>
      <c r="CZ33" s="9046"/>
      <c r="DA33" s="9046"/>
      <c r="DB33" s="9046"/>
      <c r="DC33" s="9046"/>
      <c r="DD33" s="9046"/>
      <c r="DE33" s="9046"/>
      <c r="DF33" s="679"/>
      <c r="DM33" s="1325">
        <v>0</v>
      </c>
    </row>
    <row s="12119" customFormat="1" customHeight="1" ht="18.75" hidden="1">
      <c r="A34" s="1538"/>
      <c r="B34" s="1538"/>
      <c r="C34" s="1538"/>
      <c r="D34" s="1538"/>
      <c r="E34" s="1538"/>
      <c r="F34" s="1538"/>
      <c r="G34" s="1538"/>
      <c r="H34" s="1538"/>
      <c r="I34" s="1538"/>
      <c r="J34" s="1538"/>
      <c r="K34" s="1538"/>
      <c r="L34" s="1539"/>
      <c r="M34" s="1538"/>
      <c r="N34" s="1538"/>
      <c r="O34" s="1538"/>
      <c r="S34" s="2420" t="s">
        <v>434</v>
      </c>
      <c r="T34" s="2420"/>
      <c r="U34" s="1542"/>
      <c r="V34" s="2434" t="str">
        <f>IF(TITLE_DATE_PR_CHANGE="",IF(TITLE_DATE_PR="","",TITLE_DATE_PR),TITLE_DATE_PR_CHANGE)</f>
        <v>45646.459814814814</v>
      </c>
      <c r="W34" s="2434"/>
      <c r="X34" s="2434"/>
      <c r="Y34" s="2434"/>
      <c r="Z34" s="2434"/>
      <c r="AA34" s="2434"/>
      <c r="AB34" s="2434"/>
      <c r="AC34" s="496"/>
      <c r="AD34" s="2434" t="str">
        <f>IF(TITLE_DATE_PR_CHANGE="",IF(TITLE_DATE_PR="","",TITLE_DATE_PR),TITLE_DATE_PR_CHANGE)</f>
        <v>45646.459814814814</v>
      </c>
      <c r="AE34" s="2434"/>
      <c r="AF34" s="2434"/>
      <c r="AG34" s="2434"/>
      <c r="AH34" s="2434"/>
      <c r="AI34" s="2434"/>
      <c r="AJ34" s="2434"/>
      <c r="AK34" s="496"/>
      <c r="AL34" s="9058" t="str">
        <f>IF(TITLE_DATE_PR_CHANGE="",IF(TITLE_DATE_PR="","",TITLE_DATE_PR),TITLE_DATE_PR_CHANGE)</f>
        <v>45646.459814814814</v>
      </c>
      <c r="AM34" s="9058"/>
      <c r="AN34" s="9058"/>
      <c r="AO34" s="9058"/>
      <c r="AP34" s="9058"/>
      <c r="AQ34" s="9058"/>
      <c r="AR34" s="9058"/>
      <c r="AS34" s="8724"/>
      <c r="AT34" s="9058" t="str">
        <f>IF(TITLE_DATE_PR_CHANGE="",IF(TITLE_DATE_PR="","",TITLE_DATE_PR),TITLE_DATE_PR_CHANGE)</f>
        <v>45646.459814814814</v>
      </c>
      <c r="AU34" s="9058"/>
      <c r="AV34" s="9058"/>
      <c r="AW34" s="9058"/>
      <c r="AX34" s="9058"/>
      <c r="AY34" s="9058"/>
      <c r="AZ34" s="9058"/>
      <c r="BA34" s="8724"/>
      <c r="BB34" s="9058" t="str">
        <f>IF(TITLE_DATE_PR_CHANGE="",IF(TITLE_DATE_PR="","",TITLE_DATE_PR),TITLE_DATE_PR_CHANGE)</f>
        <v>45646.459814814814</v>
      </c>
      <c r="BC34" s="9058"/>
      <c r="BD34" s="9058"/>
      <c r="BE34" s="9058"/>
      <c r="BF34" s="9058"/>
      <c r="BG34" s="9058"/>
      <c r="BH34" s="9058"/>
      <c r="BI34" s="8724"/>
      <c r="BJ34" s="9058" t="str">
        <f>IF(TITLE_DATE_PR_CHANGE="",IF(TITLE_DATE_PR="","",TITLE_DATE_PR),TITLE_DATE_PR_CHANGE)</f>
        <v>45646.459814814814</v>
      </c>
      <c r="BK34" s="9058"/>
      <c r="BL34" s="9058"/>
      <c r="BM34" s="9058"/>
      <c r="BN34" s="9058"/>
      <c r="BO34" s="9058"/>
      <c r="BP34" s="9058"/>
      <c r="BQ34" s="8724"/>
      <c r="BR34" s="9058" t="str">
        <f>IF(TITLE_DATE_PR_CHANGE="",IF(TITLE_DATE_PR="","",TITLE_DATE_PR),TITLE_DATE_PR_CHANGE)</f>
        <v>45646.459814814814</v>
      </c>
      <c r="BS34" s="9058"/>
      <c r="BT34" s="9058"/>
      <c r="BU34" s="9058"/>
      <c r="BV34" s="9058"/>
      <c r="BW34" s="9058"/>
      <c r="BX34" s="9058"/>
      <c r="BY34" s="8724"/>
      <c r="BZ34" s="9058" t="str">
        <f>IF(TITLE_DATE_PR_CHANGE="",IF(TITLE_DATE_PR="","",TITLE_DATE_PR),TITLE_DATE_PR_CHANGE)</f>
        <v>45646.459814814814</v>
      </c>
      <c r="CA34" s="9058"/>
      <c r="CB34" s="9058"/>
      <c r="CC34" s="9058"/>
      <c r="CD34" s="9058"/>
      <c r="CE34" s="9058"/>
      <c r="CF34" s="9058"/>
      <c r="CG34" s="8724"/>
      <c r="CH34" s="9058" t="str">
        <f>IF(TITLE_DATE_PR_CHANGE="",IF(TITLE_DATE_PR="","",TITLE_DATE_PR),TITLE_DATE_PR_CHANGE)</f>
        <v>45646.459814814814</v>
      </c>
      <c r="CI34" s="9058"/>
      <c r="CJ34" s="9058"/>
      <c r="CK34" s="9058"/>
      <c r="CL34" s="9058"/>
      <c r="CM34" s="9058"/>
      <c r="CN34" s="9058"/>
      <c r="CO34" s="8724"/>
      <c r="CP34" s="9058" t="str">
        <f>IF(TITLE_DATE_PR_CHANGE="",IF(TITLE_DATE_PR="","",TITLE_DATE_PR),TITLE_DATE_PR_CHANGE)</f>
        <v>45646.459814814814</v>
      </c>
      <c r="CQ34" s="9058"/>
      <c r="CR34" s="9058"/>
      <c r="CS34" s="9058"/>
      <c r="CT34" s="9058"/>
      <c r="CU34" s="9058"/>
      <c r="CV34" s="9058"/>
      <c r="CW34" s="8724"/>
      <c r="CX34" s="9058" t="str">
        <f>IF(TITLE_DATE_PR_CHANGE="",IF(TITLE_DATE_PR="","",TITLE_DATE_PR),TITLE_DATE_PR_CHANGE)</f>
        <v>45646.459814814814</v>
      </c>
      <c r="CY34" s="9058"/>
      <c r="CZ34" s="9058"/>
      <c r="DA34" s="9058"/>
      <c r="DB34" s="9058"/>
      <c r="DC34" s="9058"/>
      <c r="DD34" s="9058"/>
      <c r="DE34" s="8724"/>
      <c r="DF34" s="496"/>
      <c r="DG34" s="450"/>
      <c r="DH34" s="538"/>
      <c r="DI34" s="538"/>
      <c r="DJ34" s="538"/>
      <c r="DK34" s="538"/>
      <c r="DL34" s="538"/>
      <c r="DM34" s="588">
        <v>0</v>
      </c>
    </row>
    <row s="12119" customFormat="1" customHeight="1" ht="18.75" hidden="1">
      <c r="A35" s="1538"/>
      <c r="B35" s="1538"/>
      <c r="C35" s="1538"/>
      <c r="D35" s="1538"/>
      <c r="E35" s="1538"/>
      <c r="F35" s="1538"/>
      <c r="G35" s="1538"/>
      <c r="H35" s="1538"/>
      <c r="I35" s="1538"/>
      <c r="J35" s="1538"/>
      <c r="K35" s="1538"/>
      <c r="L35" s="1539"/>
      <c r="M35" s="1538"/>
      <c r="N35" s="1538"/>
      <c r="O35" s="1538"/>
      <c r="S35" s="2420" t="s">
        <v>435</v>
      </c>
      <c r="T35" s="2420"/>
      <c r="U35" s="1542"/>
      <c r="V35" s="2421" t="str">
        <f>IF(TITLE_NUMBER_PR_CHANGE="",IF(TITLE_NUMBER_PR="","",TITLE_NUMBER_PR),TITLE_NUMBER_PR_CHANGE)</f>
        <v>329-Р</v>
      </c>
      <c r="W35" s="2421"/>
      <c r="X35" s="2421"/>
      <c r="Y35" s="2421"/>
      <c r="Z35" s="2421"/>
      <c r="AA35" s="2421"/>
      <c r="AB35" s="2421"/>
      <c r="AC35" s="496"/>
      <c r="AD35" s="2421" t="str">
        <f>IF(TITLE_NUMBER_PR_CHANGE="",IF(TITLE_NUMBER_PR="","",TITLE_NUMBER_PR),TITLE_NUMBER_PR_CHANGE)</f>
        <v>329-Р</v>
      </c>
      <c r="AE35" s="2421"/>
      <c r="AF35" s="2421"/>
      <c r="AG35" s="2421"/>
      <c r="AH35" s="2421"/>
      <c r="AI35" s="2421"/>
      <c r="AJ35" s="2421"/>
      <c r="AK35" s="496"/>
      <c r="AL35" s="9053" t="str">
        <f>IF(TITLE_NUMBER_PR_CHANGE="",IF(TITLE_NUMBER_PR="","",TITLE_NUMBER_PR),TITLE_NUMBER_PR_CHANGE)</f>
        <v>329-Р</v>
      </c>
      <c r="AM35" s="9053"/>
      <c r="AN35" s="9053"/>
      <c r="AO35" s="9053"/>
      <c r="AP35" s="9053"/>
      <c r="AQ35" s="9053"/>
      <c r="AR35" s="9053"/>
      <c r="AS35" s="8724"/>
      <c r="AT35" s="9053" t="str">
        <f>IF(TITLE_NUMBER_PR_CHANGE="",IF(TITLE_NUMBER_PR="","",TITLE_NUMBER_PR),TITLE_NUMBER_PR_CHANGE)</f>
        <v>329-Р</v>
      </c>
      <c r="AU35" s="9053"/>
      <c r="AV35" s="9053"/>
      <c r="AW35" s="9053"/>
      <c r="AX35" s="9053"/>
      <c r="AY35" s="9053"/>
      <c r="AZ35" s="9053"/>
      <c r="BA35" s="8724"/>
      <c r="BB35" s="9053" t="str">
        <f>IF(TITLE_NUMBER_PR_CHANGE="",IF(TITLE_NUMBER_PR="","",TITLE_NUMBER_PR),TITLE_NUMBER_PR_CHANGE)</f>
        <v>329-Р</v>
      </c>
      <c r="BC35" s="9053"/>
      <c r="BD35" s="9053"/>
      <c r="BE35" s="9053"/>
      <c r="BF35" s="9053"/>
      <c r="BG35" s="9053"/>
      <c r="BH35" s="9053"/>
      <c r="BI35" s="8724"/>
      <c r="BJ35" s="9053" t="str">
        <f>IF(TITLE_NUMBER_PR_CHANGE="",IF(TITLE_NUMBER_PR="","",TITLE_NUMBER_PR),TITLE_NUMBER_PR_CHANGE)</f>
        <v>329-Р</v>
      </c>
      <c r="BK35" s="9053"/>
      <c r="BL35" s="9053"/>
      <c r="BM35" s="9053"/>
      <c r="BN35" s="9053"/>
      <c r="BO35" s="9053"/>
      <c r="BP35" s="9053"/>
      <c r="BQ35" s="8724"/>
      <c r="BR35" s="9053" t="str">
        <f>IF(TITLE_NUMBER_PR_CHANGE="",IF(TITLE_NUMBER_PR="","",TITLE_NUMBER_PR),TITLE_NUMBER_PR_CHANGE)</f>
        <v>329-Р</v>
      </c>
      <c r="BS35" s="9053"/>
      <c r="BT35" s="9053"/>
      <c r="BU35" s="9053"/>
      <c r="BV35" s="9053"/>
      <c r="BW35" s="9053"/>
      <c r="BX35" s="9053"/>
      <c r="BY35" s="8724"/>
      <c r="BZ35" s="9053" t="str">
        <f>IF(TITLE_NUMBER_PR_CHANGE="",IF(TITLE_NUMBER_PR="","",TITLE_NUMBER_PR),TITLE_NUMBER_PR_CHANGE)</f>
        <v>329-Р</v>
      </c>
      <c r="CA35" s="9053"/>
      <c r="CB35" s="9053"/>
      <c r="CC35" s="9053"/>
      <c r="CD35" s="9053"/>
      <c r="CE35" s="9053"/>
      <c r="CF35" s="9053"/>
      <c r="CG35" s="8724"/>
      <c r="CH35" s="9053" t="str">
        <f>IF(TITLE_NUMBER_PR_CHANGE="",IF(TITLE_NUMBER_PR="","",TITLE_NUMBER_PR),TITLE_NUMBER_PR_CHANGE)</f>
        <v>329-Р</v>
      </c>
      <c r="CI35" s="9053"/>
      <c r="CJ35" s="9053"/>
      <c r="CK35" s="9053"/>
      <c r="CL35" s="9053"/>
      <c r="CM35" s="9053"/>
      <c r="CN35" s="9053"/>
      <c r="CO35" s="8724"/>
      <c r="CP35" s="9053" t="str">
        <f>IF(TITLE_NUMBER_PR_CHANGE="",IF(TITLE_NUMBER_PR="","",TITLE_NUMBER_PR),TITLE_NUMBER_PR_CHANGE)</f>
        <v>329-Р</v>
      </c>
      <c r="CQ35" s="9053"/>
      <c r="CR35" s="9053"/>
      <c r="CS35" s="9053"/>
      <c r="CT35" s="9053"/>
      <c r="CU35" s="9053"/>
      <c r="CV35" s="9053"/>
      <c r="CW35" s="8724"/>
      <c r="CX35" s="9053" t="str">
        <f>IF(TITLE_NUMBER_PR_CHANGE="",IF(TITLE_NUMBER_PR="","",TITLE_NUMBER_PR),TITLE_NUMBER_PR_CHANGE)</f>
        <v>329-Р</v>
      </c>
      <c r="CY35" s="9053"/>
      <c r="CZ35" s="9053"/>
      <c r="DA35" s="9053"/>
      <c r="DB35" s="9053"/>
      <c r="DC35" s="9053"/>
      <c r="DD35" s="9053"/>
      <c r="DE35" s="8724"/>
      <c r="DF35" s="496"/>
      <c r="DG35" s="450"/>
      <c r="DH35" s="538"/>
      <c r="DI35" s="538"/>
      <c r="DJ35" s="538"/>
      <c r="DK35" s="538"/>
      <c r="DL35" s="538"/>
      <c r="DM35" s="588">
        <v>0</v>
      </c>
    </row>
    <row s="12119" customFormat="1" customHeight="1" ht="0">
      <c r="A36" s="1538"/>
      <c r="B36" s="1538"/>
      <c r="C36" s="1538"/>
      <c r="D36" s="1538"/>
      <c r="E36" s="1538"/>
      <c r="F36" s="1538"/>
      <c r="G36" s="1538"/>
      <c r="H36" s="1538"/>
      <c r="I36" s="1538"/>
      <c r="J36" s="1538"/>
      <c r="K36" s="1538"/>
      <c r="L36" s="1539"/>
      <c r="M36" s="1538"/>
      <c r="N36" s="1538"/>
      <c r="O36" s="1538"/>
      <c r="S36" s="493"/>
      <c r="T36" s="493"/>
      <c r="U36" s="1510"/>
      <c r="V36" s="496"/>
      <c r="W36" s="496"/>
      <c r="X36" s="496"/>
      <c r="Y36" s="496"/>
      <c r="Z36" s="496"/>
      <c r="AA36" s="496"/>
      <c r="AB36" s="496"/>
      <c r="AC36" s="448" t="s">
        <v>436</v>
      </c>
      <c r="AD36" s="496"/>
      <c r="AE36" s="496"/>
      <c r="AF36" s="496"/>
      <c r="AG36" s="496"/>
      <c r="AH36" s="496"/>
      <c r="AI36" s="496"/>
      <c r="AJ36" s="496"/>
      <c r="AK36" s="448" t="s">
        <v>436</v>
      </c>
      <c r="AL36" s="8724"/>
      <c r="AM36" s="8724"/>
      <c r="AN36" s="8724"/>
      <c r="AO36" s="8724"/>
      <c r="AP36" s="8724"/>
      <c r="AQ36" s="8724"/>
      <c r="AR36" s="8724"/>
      <c r="AS36" s="9062" t="s">
        <v>436</v>
      </c>
      <c r="AT36" s="8724"/>
      <c r="AU36" s="8724"/>
      <c r="AV36" s="8724"/>
      <c r="AW36" s="8724"/>
      <c r="AX36" s="8724"/>
      <c r="AY36" s="8724"/>
      <c r="AZ36" s="8724"/>
      <c r="BA36" s="9062" t="s">
        <v>436</v>
      </c>
      <c r="BB36" s="8724"/>
      <c r="BC36" s="8724"/>
      <c r="BD36" s="8724"/>
      <c r="BE36" s="8724"/>
      <c r="BF36" s="8724"/>
      <c r="BG36" s="8724"/>
      <c r="BH36" s="8724"/>
      <c r="BI36" s="9062" t="s">
        <v>436</v>
      </c>
      <c r="BJ36" s="8724"/>
      <c r="BK36" s="8724"/>
      <c r="BL36" s="8724"/>
      <c r="BM36" s="8724"/>
      <c r="BN36" s="8724"/>
      <c r="BO36" s="8724"/>
      <c r="BP36" s="8724"/>
      <c r="BQ36" s="9062" t="s">
        <v>436</v>
      </c>
      <c r="BR36" s="8724"/>
      <c r="BS36" s="8724"/>
      <c r="BT36" s="8724"/>
      <c r="BU36" s="8724"/>
      <c r="BV36" s="8724"/>
      <c r="BW36" s="8724"/>
      <c r="BX36" s="8724"/>
      <c r="BY36" s="9062" t="s">
        <v>436</v>
      </c>
      <c r="BZ36" s="8724"/>
      <c r="CA36" s="8724"/>
      <c r="CB36" s="8724"/>
      <c r="CC36" s="8724"/>
      <c r="CD36" s="8724"/>
      <c r="CE36" s="8724"/>
      <c r="CF36" s="8724"/>
      <c r="CG36" s="9062" t="s">
        <v>436</v>
      </c>
      <c r="CH36" s="8724"/>
      <c r="CI36" s="8724"/>
      <c r="CJ36" s="8724"/>
      <c r="CK36" s="8724"/>
      <c r="CL36" s="8724"/>
      <c r="CM36" s="8724"/>
      <c r="CN36" s="8724"/>
      <c r="CO36" s="9062" t="s">
        <v>436</v>
      </c>
      <c r="CP36" s="8724"/>
      <c r="CQ36" s="8724"/>
      <c r="CR36" s="8724"/>
      <c r="CS36" s="8724"/>
      <c r="CT36" s="8724"/>
      <c r="CU36" s="8724"/>
      <c r="CV36" s="8724"/>
      <c r="CW36" s="9062" t="s">
        <v>436</v>
      </c>
      <c r="CX36" s="8724"/>
      <c r="CY36" s="8724"/>
      <c r="CZ36" s="8724"/>
      <c r="DA36" s="8724"/>
      <c r="DB36" s="8724"/>
      <c r="DC36" s="8724"/>
      <c r="DD36" s="8724"/>
      <c r="DE36" s="9062" t="s">
        <v>436</v>
      </c>
      <c r="DH36" s="538"/>
      <c r="DI36" s="538"/>
      <c r="DJ36" s="538"/>
      <c r="DK36" s="538"/>
      <c r="DL36" s="538"/>
      <c r="DM36" s="588">
        <v>0</v>
      </c>
    </row>
    <row customHeight="1" ht="14.699999999999998">
      <c r="Q37" s="546"/>
      <c r="R37" s="546"/>
      <c r="S37" s="1445"/>
      <c r="T37" s="533"/>
      <c r="U37" s="1414"/>
      <c r="V37" s="2422"/>
      <c r="W37" s="2422"/>
      <c r="X37" s="2422"/>
      <c r="Y37" s="2422"/>
      <c r="Z37" s="2422"/>
      <c r="AA37" s="2422"/>
      <c r="AB37" s="2422"/>
      <c r="AC37" s="2422"/>
      <c r="AD37" s="2422"/>
      <c r="AE37" s="2422"/>
      <c r="AF37" s="2422"/>
      <c r="AG37" s="2422"/>
      <c r="AH37" s="2422"/>
      <c r="AI37" s="2422"/>
      <c r="AJ37" s="2422"/>
      <c r="AK37" s="2422"/>
      <c r="AL37" s="9065" t="s">
        <v>437</v>
      </c>
      <c r="AM37" s="9065"/>
      <c r="AN37" s="9065"/>
      <c r="AO37" s="9065"/>
      <c r="AP37" s="9065"/>
      <c r="AQ37" s="9065"/>
      <c r="AR37" s="9065"/>
      <c r="AS37" s="9065"/>
      <c r="AT37" s="9065" t="s">
        <v>437</v>
      </c>
      <c r="AU37" s="9065"/>
      <c r="AV37" s="9065"/>
      <c r="AW37" s="9065"/>
      <c r="AX37" s="9065"/>
      <c r="AY37" s="9065"/>
      <c r="AZ37" s="9065"/>
      <c r="BA37" s="9065"/>
      <c r="BB37" s="9065" t="s">
        <v>437</v>
      </c>
      <c r="BC37" s="9065"/>
      <c r="BD37" s="9065"/>
      <c r="BE37" s="9065"/>
      <c r="BF37" s="9065"/>
      <c r="BG37" s="9065"/>
      <c r="BH37" s="9065"/>
      <c r="BI37" s="9065"/>
      <c r="BJ37" s="9065" t="s">
        <v>437</v>
      </c>
      <c r="BK37" s="9065"/>
      <c r="BL37" s="9065"/>
      <c r="BM37" s="9065"/>
      <c r="BN37" s="9065"/>
      <c r="BO37" s="9065"/>
      <c r="BP37" s="9065"/>
      <c r="BQ37" s="9065"/>
      <c r="BR37" s="9065" t="s">
        <v>437</v>
      </c>
      <c r="BS37" s="9065"/>
      <c r="BT37" s="9065"/>
      <c r="BU37" s="9065"/>
      <c r="BV37" s="9065"/>
      <c r="BW37" s="9065"/>
      <c r="BX37" s="9065"/>
      <c r="BY37" s="9065"/>
      <c r="BZ37" s="9065" t="s">
        <v>437</v>
      </c>
      <c r="CA37" s="9065"/>
      <c r="CB37" s="9065"/>
      <c r="CC37" s="9065"/>
      <c r="CD37" s="9065"/>
      <c r="CE37" s="9065"/>
      <c r="CF37" s="9065"/>
      <c r="CG37" s="9065"/>
      <c r="CH37" s="9065" t="s">
        <v>437</v>
      </c>
      <c r="CI37" s="9065"/>
      <c r="CJ37" s="9065"/>
      <c r="CK37" s="9065"/>
      <c r="CL37" s="9065"/>
      <c r="CM37" s="9065"/>
      <c r="CN37" s="9065"/>
      <c r="CO37" s="9065"/>
      <c r="CP37" s="9065" t="s">
        <v>437</v>
      </c>
      <c r="CQ37" s="9065"/>
      <c r="CR37" s="9065"/>
      <c r="CS37" s="9065"/>
      <c r="CT37" s="9065"/>
      <c r="CU37" s="9065"/>
      <c r="CV37" s="9065"/>
      <c r="CW37" s="9065"/>
      <c r="CX37" s="9065" t="s">
        <v>437</v>
      </c>
      <c r="CY37" s="9065"/>
      <c r="CZ37" s="9065"/>
      <c r="DA37" s="9065"/>
      <c r="DB37" s="9065"/>
      <c r="DC37" s="9065"/>
      <c r="DD37" s="9065"/>
      <c r="DE37" s="9065"/>
      <c r="DM37" s="1325">
        <v>14</v>
      </c>
    </row>
    <row customHeight="1" ht="15">
      <c r="Q38" s="546"/>
      <c r="R38" s="546"/>
      <c r="S38" s="2297" t="s">
        <v>312</v>
      </c>
      <c r="T38" s="2297"/>
      <c r="U38" s="2297"/>
      <c r="V38" s="2297"/>
      <c r="W38" s="2297"/>
      <c r="X38" s="2297"/>
      <c r="Y38" s="2297"/>
      <c r="Z38" s="2297"/>
      <c r="AA38" s="2297"/>
      <c r="AB38" s="2297"/>
      <c r="AC38" s="2297"/>
      <c r="AD38" s="2297"/>
      <c r="AE38" s="2297"/>
      <c r="AF38" s="2297"/>
      <c r="AG38" s="2297"/>
      <c r="AH38" s="2297"/>
      <c r="AI38" s="2297"/>
      <c r="AJ38" s="2297"/>
      <c r="AK38" s="2297"/>
      <c r="AL38" s="9066" t="s">
        <v>312</v>
      </c>
      <c r="AM38" s="9066"/>
      <c r="AN38" s="9066"/>
      <c r="AO38" s="9066"/>
      <c r="AP38" s="9066"/>
      <c r="AQ38" s="9066"/>
      <c r="AR38" s="9066"/>
      <c r="AS38" s="9066"/>
      <c r="AT38" s="9066" t="s">
        <v>312</v>
      </c>
      <c r="AU38" s="9066"/>
      <c r="AV38" s="9066"/>
      <c r="AW38" s="9066"/>
      <c r="AX38" s="9066"/>
      <c r="AY38" s="9066"/>
      <c r="AZ38" s="9066"/>
      <c r="BA38" s="9066"/>
      <c r="BB38" s="9066" t="s">
        <v>312</v>
      </c>
      <c r="BC38" s="9066"/>
      <c r="BD38" s="9066"/>
      <c r="BE38" s="9066"/>
      <c r="BF38" s="9066"/>
      <c r="BG38" s="9066"/>
      <c r="BH38" s="9066"/>
      <c r="BI38" s="9066"/>
      <c r="BJ38" s="9066" t="s">
        <v>312</v>
      </c>
      <c r="BK38" s="9066"/>
      <c r="BL38" s="9066"/>
      <c r="BM38" s="9066"/>
      <c r="BN38" s="9066"/>
      <c r="BO38" s="9066"/>
      <c r="BP38" s="9066"/>
      <c r="BQ38" s="9066"/>
      <c r="BR38" s="9066" t="s">
        <v>312</v>
      </c>
      <c r="BS38" s="9066"/>
      <c r="BT38" s="9066"/>
      <c r="BU38" s="9066"/>
      <c r="BV38" s="9066"/>
      <c r="BW38" s="9066"/>
      <c r="BX38" s="9066"/>
      <c r="BY38" s="9066"/>
      <c r="BZ38" s="9066" t="s">
        <v>312</v>
      </c>
      <c r="CA38" s="9066"/>
      <c r="CB38" s="9066"/>
      <c r="CC38" s="9066"/>
      <c r="CD38" s="9066"/>
      <c r="CE38" s="9066"/>
      <c r="CF38" s="9066"/>
      <c r="CG38" s="9066"/>
      <c r="CH38" s="9066" t="s">
        <v>312</v>
      </c>
      <c r="CI38" s="9066"/>
      <c r="CJ38" s="9066"/>
      <c r="CK38" s="9066"/>
      <c r="CL38" s="9066"/>
      <c r="CM38" s="9066"/>
      <c r="CN38" s="9066"/>
      <c r="CO38" s="9066"/>
      <c r="CP38" s="9066" t="s">
        <v>312</v>
      </c>
      <c r="CQ38" s="9066"/>
      <c r="CR38" s="9066"/>
      <c r="CS38" s="9066"/>
      <c r="CT38" s="9066"/>
      <c r="CU38" s="9066"/>
      <c r="CV38" s="9066"/>
      <c r="CW38" s="9066"/>
      <c r="CX38" s="9066" t="s">
        <v>312</v>
      </c>
      <c r="CY38" s="9066"/>
      <c r="CZ38" s="9066"/>
      <c r="DA38" s="9066"/>
      <c r="DB38" s="9066"/>
      <c r="DC38" s="9066"/>
      <c r="DD38" s="9066"/>
      <c r="DE38" s="9066"/>
      <c r="DF38" s="2297"/>
      <c r="DG38" s="2297"/>
      <c r="DM38" s="1325"/>
    </row>
    <row customHeight="1" ht="14.699999999999998">
      <c r="Q39" s="546"/>
      <c r="R39" s="546"/>
      <c r="S39" s="2443" t="s">
        <v>91</v>
      </c>
      <c r="T39" s="2379" t="s">
        <v>438</v>
      </c>
      <c r="U39" s="471"/>
      <c r="V39" s="2444" t="s">
        <v>439</v>
      </c>
      <c r="W39" s="2445"/>
      <c r="X39" s="2445"/>
      <c r="Y39" s="2445"/>
      <c r="Z39" s="2445"/>
      <c r="AA39" s="2445"/>
      <c r="AB39" s="2446"/>
      <c r="AC39" s="2447" t="s">
        <v>440</v>
      </c>
      <c r="AD39" s="2444" t="s">
        <v>439</v>
      </c>
      <c r="AE39" s="2445"/>
      <c r="AF39" s="2445"/>
      <c r="AG39" s="2445"/>
      <c r="AH39" s="2445"/>
      <c r="AI39" s="2445"/>
      <c r="AJ39" s="2446"/>
      <c r="AK39" s="2447" t="s">
        <v>441</v>
      </c>
      <c r="AL39" s="9073" t="s">
        <v>439</v>
      </c>
      <c r="AM39" s="9074"/>
      <c r="AN39" s="9074"/>
      <c r="AO39" s="9074"/>
      <c r="AP39" s="9074"/>
      <c r="AQ39" s="9074"/>
      <c r="AR39" s="9075"/>
      <c r="AS39" s="9076" t="s">
        <v>440</v>
      </c>
      <c r="AT39" s="9073" t="s">
        <v>439</v>
      </c>
      <c r="AU39" s="9074"/>
      <c r="AV39" s="9074"/>
      <c r="AW39" s="9074"/>
      <c r="AX39" s="9074"/>
      <c r="AY39" s="9074"/>
      <c r="AZ39" s="9075"/>
      <c r="BA39" s="9076" t="s">
        <v>440</v>
      </c>
      <c r="BB39" s="9073" t="s">
        <v>439</v>
      </c>
      <c r="BC39" s="9074"/>
      <c r="BD39" s="9074"/>
      <c r="BE39" s="9074"/>
      <c r="BF39" s="9074"/>
      <c r="BG39" s="9074"/>
      <c r="BH39" s="9075"/>
      <c r="BI39" s="9076" t="s">
        <v>440</v>
      </c>
      <c r="BJ39" s="9073" t="s">
        <v>439</v>
      </c>
      <c r="BK39" s="9074"/>
      <c r="BL39" s="9074"/>
      <c r="BM39" s="9074"/>
      <c r="BN39" s="9074"/>
      <c r="BO39" s="9074"/>
      <c r="BP39" s="9075"/>
      <c r="BQ39" s="9076" t="s">
        <v>440</v>
      </c>
      <c r="BR39" s="9073" t="s">
        <v>439</v>
      </c>
      <c r="BS39" s="9074"/>
      <c r="BT39" s="9074"/>
      <c r="BU39" s="9074"/>
      <c r="BV39" s="9074"/>
      <c r="BW39" s="9074"/>
      <c r="BX39" s="9075"/>
      <c r="BY39" s="9076" t="s">
        <v>440</v>
      </c>
      <c r="BZ39" s="9073" t="s">
        <v>439</v>
      </c>
      <c r="CA39" s="9074"/>
      <c r="CB39" s="9074"/>
      <c r="CC39" s="9074"/>
      <c r="CD39" s="9074"/>
      <c r="CE39" s="9074"/>
      <c r="CF39" s="9075"/>
      <c r="CG39" s="9076" t="s">
        <v>440</v>
      </c>
      <c r="CH39" s="9073" t="s">
        <v>439</v>
      </c>
      <c r="CI39" s="9074"/>
      <c r="CJ39" s="9074"/>
      <c r="CK39" s="9074"/>
      <c r="CL39" s="9074"/>
      <c r="CM39" s="9074"/>
      <c r="CN39" s="9075"/>
      <c r="CO39" s="9076" t="s">
        <v>440</v>
      </c>
      <c r="CP39" s="9073" t="s">
        <v>439</v>
      </c>
      <c r="CQ39" s="9074"/>
      <c r="CR39" s="9074"/>
      <c r="CS39" s="9074"/>
      <c r="CT39" s="9074"/>
      <c r="CU39" s="9074"/>
      <c r="CV39" s="9075"/>
      <c r="CW39" s="9076" t="s">
        <v>440</v>
      </c>
      <c r="CX39" s="9073" t="s">
        <v>439</v>
      </c>
      <c r="CY39" s="9074"/>
      <c r="CZ39" s="9074"/>
      <c r="DA39" s="9074"/>
      <c r="DB39" s="9074"/>
      <c r="DC39" s="9074"/>
      <c r="DD39" s="9075"/>
      <c r="DE39" s="9076" t="s">
        <v>440</v>
      </c>
      <c r="DF39" s="2450" t="s">
        <v>442</v>
      </c>
      <c r="DG39" s="2297"/>
      <c r="DM39" s="1325">
        <v>14</v>
      </c>
    </row>
    <row customHeight="1" ht="35.699999999999996">
      <c r="Q40" s="546"/>
      <c r="R40" s="546"/>
      <c r="S40" s="2443"/>
      <c r="T40" s="2379"/>
      <c r="U40" s="1201"/>
      <c r="V40" s="2430" t="s">
        <v>443</v>
      </c>
      <c r="W40" s="2453"/>
      <c r="X40" s="2432" t="s">
        <v>445</v>
      </c>
      <c r="Y40" s="2433"/>
      <c r="Z40" s="2432" t="s">
        <v>446</v>
      </c>
      <c r="AA40" s="2439"/>
      <c r="AB40" s="2433"/>
      <c r="AC40" s="2448"/>
      <c r="AD40" s="2430" t="s">
        <v>463</v>
      </c>
      <c r="AE40" s="2453"/>
      <c r="AF40" s="2432" t="s">
        <v>445</v>
      </c>
      <c r="AG40" s="2433"/>
      <c r="AH40" s="2432" t="s">
        <v>446</v>
      </c>
      <c r="AI40" s="2439"/>
      <c r="AJ40" s="2433"/>
      <c r="AK40" s="2448"/>
      <c r="AL40" s="9086" t="s">
        <v>443</v>
      </c>
      <c r="AM40" s="9087"/>
      <c r="AN40" s="9088" t="s">
        <v>445</v>
      </c>
      <c r="AO40" s="9089"/>
      <c r="AP40" s="9088" t="s">
        <v>446</v>
      </c>
      <c r="AQ40" s="9090"/>
      <c r="AR40" s="9089"/>
      <c r="AS40" s="9091"/>
      <c r="AT40" s="9086" t="s">
        <v>443</v>
      </c>
      <c r="AU40" s="9087"/>
      <c r="AV40" s="9088" t="s">
        <v>445</v>
      </c>
      <c r="AW40" s="9089"/>
      <c r="AX40" s="9088" t="s">
        <v>446</v>
      </c>
      <c r="AY40" s="9090"/>
      <c r="AZ40" s="9089"/>
      <c r="BA40" s="9091"/>
      <c r="BB40" s="9086" t="s">
        <v>443</v>
      </c>
      <c r="BC40" s="9087"/>
      <c r="BD40" s="9088" t="s">
        <v>445</v>
      </c>
      <c r="BE40" s="9089"/>
      <c r="BF40" s="9088" t="s">
        <v>446</v>
      </c>
      <c r="BG40" s="9090"/>
      <c r="BH40" s="9089"/>
      <c r="BI40" s="9091"/>
      <c r="BJ40" s="9086" t="s">
        <v>443</v>
      </c>
      <c r="BK40" s="9087"/>
      <c r="BL40" s="9088" t="s">
        <v>445</v>
      </c>
      <c r="BM40" s="9089"/>
      <c r="BN40" s="9088" t="s">
        <v>446</v>
      </c>
      <c r="BO40" s="9090"/>
      <c r="BP40" s="9089"/>
      <c r="BQ40" s="9091"/>
      <c r="BR40" s="9086" t="s">
        <v>443</v>
      </c>
      <c r="BS40" s="9087"/>
      <c r="BT40" s="9088" t="s">
        <v>445</v>
      </c>
      <c r="BU40" s="9089"/>
      <c r="BV40" s="9088" t="s">
        <v>446</v>
      </c>
      <c r="BW40" s="9090"/>
      <c r="BX40" s="9089"/>
      <c r="BY40" s="9091"/>
      <c r="BZ40" s="9086" t="s">
        <v>443</v>
      </c>
      <c r="CA40" s="9087"/>
      <c r="CB40" s="9088" t="s">
        <v>445</v>
      </c>
      <c r="CC40" s="9089"/>
      <c r="CD40" s="9088" t="s">
        <v>446</v>
      </c>
      <c r="CE40" s="9090"/>
      <c r="CF40" s="9089"/>
      <c r="CG40" s="9091"/>
      <c r="CH40" s="9086" t="s">
        <v>443</v>
      </c>
      <c r="CI40" s="9087"/>
      <c r="CJ40" s="9088" t="s">
        <v>445</v>
      </c>
      <c r="CK40" s="9089"/>
      <c r="CL40" s="9088" t="s">
        <v>446</v>
      </c>
      <c r="CM40" s="9090"/>
      <c r="CN40" s="9089"/>
      <c r="CO40" s="9091"/>
      <c r="CP40" s="9086" t="s">
        <v>443</v>
      </c>
      <c r="CQ40" s="9087"/>
      <c r="CR40" s="9088" t="s">
        <v>445</v>
      </c>
      <c r="CS40" s="9089"/>
      <c r="CT40" s="9088" t="s">
        <v>446</v>
      </c>
      <c r="CU40" s="9090"/>
      <c r="CV40" s="9089"/>
      <c r="CW40" s="9091"/>
      <c r="CX40" s="9086" t="s">
        <v>443</v>
      </c>
      <c r="CY40" s="9087"/>
      <c r="CZ40" s="9088" t="s">
        <v>445</v>
      </c>
      <c r="DA40" s="9089"/>
      <c r="DB40" s="9088" t="s">
        <v>446</v>
      </c>
      <c r="DC40" s="9090"/>
      <c r="DD40" s="9089"/>
      <c r="DE40" s="9091"/>
      <c r="DF40" s="2451"/>
      <c r="DG40" s="2297"/>
      <c r="DM40" s="1325">
        <v>34</v>
      </c>
    </row>
    <row customHeight="1" ht="35.699999999999996">
      <c r="A41" s="1540"/>
      <c r="B41" s="1540" t="s">
        <v>138</v>
      </c>
      <c r="C41" s="1540" t="s">
        <v>139</v>
      </c>
      <c r="D41" s="1540" t="s">
        <v>140</v>
      </c>
      <c r="E41" s="1534" t="s">
        <v>447</v>
      </c>
      <c r="F41" s="1534" t="s">
        <v>448</v>
      </c>
      <c r="G41" s="1534" t="s">
        <v>449</v>
      </c>
      <c r="H41" s="1534" t="s">
        <v>450</v>
      </c>
      <c r="I41" s="1534" t="s">
        <v>451</v>
      </c>
      <c r="J41" s="1534" t="s">
        <v>452</v>
      </c>
      <c r="K41" s="1534" t="s">
        <v>453</v>
      </c>
      <c r="L41" s="1534" t="s">
        <v>427</v>
      </c>
      <c r="Q41" s="546"/>
      <c r="R41" s="546"/>
      <c r="S41" s="2443"/>
      <c r="T41" s="2379"/>
      <c r="U41" s="472"/>
      <c r="V41" s="2431"/>
      <c r="W41" s="2454"/>
      <c r="X41" s="1392" t="s">
        <v>454</v>
      </c>
      <c r="Y41" s="1392" t="s">
        <v>455</v>
      </c>
      <c r="Z41" s="1508" t="s">
        <v>456</v>
      </c>
      <c r="AA41" s="2440" t="s">
        <v>457</v>
      </c>
      <c r="AB41" s="2441"/>
      <c r="AC41" s="2449"/>
      <c r="AD41" s="2431"/>
      <c r="AE41" s="2454"/>
      <c r="AF41" s="1392" t="s">
        <v>454</v>
      </c>
      <c r="AG41" s="1392" t="s">
        <v>455</v>
      </c>
      <c r="AH41" s="1508" t="s">
        <v>456</v>
      </c>
      <c r="AI41" s="2440" t="s">
        <v>457</v>
      </c>
      <c r="AJ41" s="2441"/>
      <c r="AK41" s="2449"/>
      <c r="AL41" s="9103"/>
      <c r="AM41" s="9104"/>
      <c r="AN41" s="9105" t="s">
        <v>454</v>
      </c>
      <c r="AO41" s="9105" t="s">
        <v>455</v>
      </c>
      <c r="AP41" s="9105" t="s">
        <v>456</v>
      </c>
      <c r="AQ41" s="9106" t="s">
        <v>457</v>
      </c>
      <c r="AR41" s="9107"/>
      <c r="AS41" s="9108"/>
      <c r="AT41" s="9103"/>
      <c r="AU41" s="9104"/>
      <c r="AV41" s="9105" t="s">
        <v>454</v>
      </c>
      <c r="AW41" s="9105" t="s">
        <v>455</v>
      </c>
      <c r="AX41" s="9105" t="s">
        <v>456</v>
      </c>
      <c r="AY41" s="9106" t="s">
        <v>457</v>
      </c>
      <c r="AZ41" s="9107"/>
      <c r="BA41" s="9108"/>
      <c r="BB41" s="9103"/>
      <c r="BC41" s="9104"/>
      <c r="BD41" s="9105" t="s">
        <v>454</v>
      </c>
      <c r="BE41" s="9105" t="s">
        <v>455</v>
      </c>
      <c r="BF41" s="9105" t="s">
        <v>456</v>
      </c>
      <c r="BG41" s="9106" t="s">
        <v>457</v>
      </c>
      <c r="BH41" s="9107"/>
      <c r="BI41" s="9108"/>
      <c r="BJ41" s="9103"/>
      <c r="BK41" s="9104"/>
      <c r="BL41" s="9105" t="s">
        <v>454</v>
      </c>
      <c r="BM41" s="9105" t="s">
        <v>455</v>
      </c>
      <c r="BN41" s="9105" t="s">
        <v>456</v>
      </c>
      <c r="BO41" s="9106" t="s">
        <v>457</v>
      </c>
      <c r="BP41" s="9107"/>
      <c r="BQ41" s="9108"/>
      <c r="BR41" s="9103"/>
      <c r="BS41" s="9104"/>
      <c r="BT41" s="9105" t="s">
        <v>454</v>
      </c>
      <c r="BU41" s="9105" t="s">
        <v>455</v>
      </c>
      <c r="BV41" s="9105" t="s">
        <v>456</v>
      </c>
      <c r="BW41" s="9106" t="s">
        <v>457</v>
      </c>
      <c r="BX41" s="9107"/>
      <c r="BY41" s="9108"/>
      <c r="BZ41" s="9103"/>
      <c r="CA41" s="9104"/>
      <c r="CB41" s="9105" t="s">
        <v>454</v>
      </c>
      <c r="CC41" s="9105" t="s">
        <v>455</v>
      </c>
      <c r="CD41" s="9105" t="s">
        <v>456</v>
      </c>
      <c r="CE41" s="9106" t="s">
        <v>457</v>
      </c>
      <c r="CF41" s="9107"/>
      <c r="CG41" s="9108"/>
      <c r="CH41" s="9103"/>
      <c r="CI41" s="9104"/>
      <c r="CJ41" s="9105" t="s">
        <v>454</v>
      </c>
      <c r="CK41" s="9105" t="s">
        <v>455</v>
      </c>
      <c r="CL41" s="9105" t="s">
        <v>456</v>
      </c>
      <c r="CM41" s="9106" t="s">
        <v>457</v>
      </c>
      <c r="CN41" s="9107"/>
      <c r="CO41" s="9108"/>
      <c r="CP41" s="9103"/>
      <c r="CQ41" s="9104"/>
      <c r="CR41" s="9105" t="s">
        <v>454</v>
      </c>
      <c r="CS41" s="9105" t="s">
        <v>455</v>
      </c>
      <c r="CT41" s="9105" t="s">
        <v>456</v>
      </c>
      <c r="CU41" s="9106" t="s">
        <v>457</v>
      </c>
      <c r="CV41" s="9107"/>
      <c r="CW41" s="9108"/>
      <c r="CX41" s="9103"/>
      <c r="CY41" s="9104"/>
      <c r="CZ41" s="9105" t="s">
        <v>454</v>
      </c>
      <c r="DA41" s="9105" t="s">
        <v>455</v>
      </c>
      <c r="DB41" s="9105" t="s">
        <v>456</v>
      </c>
      <c r="DC41" s="9106" t="s">
        <v>457</v>
      </c>
      <c r="DD41" s="9107"/>
      <c r="DE41" s="9108"/>
      <c r="DF41" s="2452"/>
      <c r="DG41" s="2297"/>
      <c r="DM41" s="1325">
        <v>34</v>
      </c>
    </row>
    <row s="12668" customFormat="1" customHeight="1" ht="11.25" hidden="1">
      <c r="A42" s="1540"/>
      <c r="B42" s="1540"/>
      <c r="C42" s="1540"/>
      <c r="D42" s="1540"/>
      <c r="E42" s="1540"/>
      <c r="F42" s="1540"/>
      <c r="G42" s="1540"/>
      <c r="H42" s="1540"/>
      <c r="I42" s="1540"/>
      <c r="J42" s="1540"/>
      <c r="K42" s="1540"/>
      <c r="L42" s="1534"/>
      <c r="M42" s="1532"/>
      <c r="N42" s="1532"/>
      <c r="O42" s="1532"/>
      <c r="P42" s="1416"/>
      <c r="Q42" s="1417"/>
      <c r="R42" s="1424">
        <v>1</v>
      </c>
      <c r="S42" s="1447" t="s">
        <v>112</v>
      </c>
      <c r="T42" s="1425" t="s">
        <v>113</v>
      </c>
      <c r="U42" s="1415" t="str">
        <f>OFFSET(U42,0,-1)</f>
        <v>2</v>
      </c>
      <c r="V42" s="1505">
        <f>OFFSET(V42,0,-1)+1</f>
        <v>3</v>
      </c>
      <c r="W42" s="1505"/>
      <c r="X42" s="1505">
        <f>OFFSET(X42,0,-1)+1</f>
        <v>1</v>
      </c>
      <c r="Y42" s="1505">
        <f>OFFSET(Y42,0,-1)+1</f>
        <v>2</v>
      </c>
      <c r="Z42" s="1505">
        <f>OFFSET(Z42,0,-1)+1</f>
        <v>3</v>
      </c>
      <c r="AA42" s="2442">
        <f>OFFSET(AA42,0,-1)+1</f>
        <v>4</v>
      </c>
      <c r="AB42" s="2442"/>
      <c r="AC42" s="1505">
        <f>OFFSET(AC42,0,-2)+1</f>
        <v>5</v>
      </c>
      <c r="AD42" s="1505">
        <f>OFFSET(AD42,0,-1)+1</f>
        <v>6</v>
      </c>
      <c r="AE42" s="1505"/>
      <c r="AF42" s="1505">
        <f>OFFSET(AF42,0,-1)+1</f>
        <v>1</v>
      </c>
      <c r="AG42" s="1505">
        <f>OFFSET(AG42,0,-1)+1</f>
        <v>2</v>
      </c>
      <c r="AH42" s="1505">
        <f>OFFSET(AH42,0,-1)+1</f>
        <v>3</v>
      </c>
      <c r="AI42" s="2442">
        <f>OFFSET(AI42,0,-1)+1</f>
        <v>4</v>
      </c>
      <c r="AJ42" s="2442"/>
      <c r="AK42" s="1505">
        <f>OFFSET(AK42,0,-2)+1</f>
        <v>5</v>
      </c>
      <c r="AL42" s="9119">
        <f>OFFSET(AL42,0,-1)+1</f>
        <v>6</v>
      </c>
      <c r="AM42" s="9119"/>
      <c r="AN42" s="9119">
        <f>OFFSET(AN42,0,-1)+1</f>
        <v>1</v>
      </c>
      <c r="AO42" s="9119">
        <f>OFFSET(AO42,0,-1)+1</f>
        <v>2</v>
      </c>
      <c r="AP42" s="9119">
        <f>OFFSET(AP42,0,-1)+1</f>
        <v>3</v>
      </c>
      <c r="AQ42" s="9119">
        <f>OFFSET(AQ42,0,-1)+1</f>
        <v>4</v>
      </c>
      <c r="AR42" s="9119"/>
      <c r="AS42" s="9119">
        <f>OFFSET(AS42,0,-2)+1</f>
        <v>5</v>
      </c>
      <c r="AT42" s="9119">
        <f>OFFSET(AT42,0,-1)+1</f>
        <v>6</v>
      </c>
      <c r="AU42" s="9119"/>
      <c r="AV42" s="9119">
        <f>OFFSET(AV42,0,-1)+1</f>
        <v>1</v>
      </c>
      <c r="AW42" s="9119">
        <f>OFFSET(AW42,0,-1)+1</f>
        <v>2</v>
      </c>
      <c r="AX42" s="9119">
        <f>OFFSET(AX42,0,-1)+1</f>
        <v>3</v>
      </c>
      <c r="AY42" s="9119">
        <f>OFFSET(AY42,0,-1)+1</f>
        <v>4</v>
      </c>
      <c r="AZ42" s="9119"/>
      <c r="BA42" s="9119">
        <f>OFFSET(BA42,0,-2)+1</f>
        <v>5</v>
      </c>
      <c r="BB42" s="9119">
        <f>OFFSET(BB42,0,-1)+1</f>
        <v>6</v>
      </c>
      <c r="BC42" s="9119"/>
      <c r="BD42" s="9119">
        <f>OFFSET(BD42,0,-1)+1</f>
        <v>1</v>
      </c>
      <c r="BE42" s="9119">
        <f>OFFSET(BE42,0,-1)+1</f>
        <v>2</v>
      </c>
      <c r="BF42" s="9119">
        <f>OFFSET(BF42,0,-1)+1</f>
        <v>3</v>
      </c>
      <c r="BG42" s="9119">
        <f>OFFSET(BG42,0,-1)+1</f>
        <v>4</v>
      </c>
      <c r="BH42" s="9119"/>
      <c r="BI42" s="9119">
        <f>OFFSET(BI42,0,-2)+1</f>
        <v>5</v>
      </c>
      <c r="BJ42" s="9119">
        <f>OFFSET(BJ42,0,-1)+1</f>
        <v>6</v>
      </c>
      <c r="BK42" s="9119"/>
      <c r="BL42" s="9119">
        <f>OFFSET(BL42,0,-1)+1</f>
        <v>1</v>
      </c>
      <c r="BM42" s="9119">
        <f>OFFSET(BM42,0,-1)+1</f>
        <v>2</v>
      </c>
      <c r="BN42" s="9119">
        <f>OFFSET(BN42,0,-1)+1</f>
        <v>3</v>
      </c>
      <c r="BO42" s="9119">
        <f>OFFSET(BO42,0,-1)+1</f>
        <v>4</v>
      </c>
      <c r="BP42" s="9119"/>
      <c r="BQ42" s="9119">
        <f>OFFSET(BQ42,0,-2)+1</f>
        <v>5</v>
      </c>
      <c r="BR42" s="9119">
        <f>OFFSET(BR42,0,-1)+1</f>
        <v>6</v>
      </c>
      <c r="BS42" s="9119"/>
      <c r="BT42" s="9119">
        <f>OFFSET(BT42,0,-1)+1</f>
        <v>1</v>
      </c>
      <c r="BU42" s="9119">
        <f>OFFSET(BU42,0,-1)+1</f>
        <v>2</v>
      </c>
      <c r="BV42" s="9119">
        <f>OFFSET(BV42,0,-1)+1</f>
        <v>3</v>
      </c>
      <c r="BW42" s="9119">
        <f>OFFSET(BW42,0,-1)+1</f>
        <v>4</v>
      </c>
      <c r="BX42" s="9119"/>
      <c r="BY42" s="9119">
        <f>OFFSET(BY42,0,-2)+1</f>
        <v>5</v>
      </c>
      <c r="BZ42" s="9119">
        <f>OFFSET(BZ42,0,-1)+1</f>
        <v>6</v>
      </c>
      <c r="CA42" s="9119"/>
      <c r="CB42" s="9119">
        <f>OFFSET(CB42,0,-1)+1</f>
        <v>1</v>
      </c>
      <c r="CC42" s="9119">
        <f>OFFSET(CC42,0,-1)+1</f>
        <v>2</v>
      </c>
      <c r="CD42" s="9119">
        <f>OFFSET(CD42,0,-1)+1</f>
        <v>3</v>
      </c>
      <c r="CE42" s="9119">
        <f>OFFSET(CE42,0,-1)+1</f>
        <v>4</v>
      </c>
      <c r="CF42" s="9119"/>
      <c r="CG42" s="9119">
        <f>OFFSET(CG42,0,-2)+1</f>
        <v>5</v>
      </c>
      <c r="CH42" s="9119">
        <f>OFFSET(CH42,0,-1)+1</f>
        <v>6</v>
      </c>
      <c r="CI42" s="9119"/>
      <c r="CJ42" s="9119">
        <f>OFFSET(CJ42,0,-1)+1</f>
        <v>1</v>
      </c>
      <c r="CK42" s="9119">
        <f>OFFSET(CK42,0,-1)+1</f>
        <v>2</v>
      </c>
      <c r="CL42" s="9119">
        <f>OFFSET(CL42,0,-1)+1</f>
        <v>3</v>
      </c>
      <c r="CM42" s="9119">
        <f>OFFSET(CM42,0,-1)+1</f>
        <v>4</v>
      </c>
      <c r="CN42" s="9119"/>
      <c r="CO42" s="9119">
        <f>OFFSET(CO42,0,-2)+1</f>
        <v>5</v>
      </c>
      <c r="CP42" s="9119">
        <f>OFFSET(CP42,0,-1)+1</f>
        <v>6</v>
      </c>
      <c r="CQ42" s="9119"/>
      <c r="CR42" s="9119">
        <f>OFFSET(CR42,0,-1)+1</f>
        <v>1</v>
      </c>
      <c r="CS42" s="9119">
        <f>OFFSET(CS42,0,-1)+1</f>
        <v>2</v>
      </c>
      <c r="CT42" s="9119">
        <f>OFFSET(CT42,0,-1)+1</f>
        <v>3</v>
      </c>
      <c r="CU42" s="9119">
        <f>OFFSET(CU42,0,-1)+1</f>
        <v>4</v>
      </c>
      <c r="CV42" s="9119"/>
      <c r="CW42" s="9119">
        <f>OFFSET(CW42,0,-2)+1</f>
        <v>5</v>
      </c>
      <c r="CX42" s="9119">
        <f>OFFSET(CX42,0,-1)+1</f>
        <v>6</v>
      </c>
      <c r="CY42" s="9119"/>
      <c r="CZ42" s="9119">
        <f>OFFSET(CZ42,0,-1)+1</f>
        <v>1</v>
      </c>
      <c r="DA42" s="9119">
        <f>OFFSET(DA42,0,-1)+1</f>
        <v>2</v>
      </c>
      <c r="DB42" s="9119">
        <f>OFFSET(DB42,0,-1)+1</f>
        <v>3</v>
      </c>
      <c r="DC42" s="9119">
        <f>OFFSET(DC42,0,-1)+1</f>
        <v>4</v>
      </c>
      <c r="DD42" s="9119"/>
      <c r="DE42" s="9119">
        <f>OFFSET(DE42,0,-2)+1</f>
        <v>5</v>
      </c>
      <c r="DF42" s="1415">
        <f>OFFSET(DF42,0,-1)</f>
        <v>5</v>
      </c>
      <c r="DG42" s="1505">
        <f>OFFSET(DG42,0,-1)+1</f>
        <v>6</v>
      </c>
      <c r="DH42" s="681"/>
      <c r="DI42" s="681"/>
      <c r="DJ42" s="681"/>
      <c r="DK42" s="681"/>
      <c r="DL42" s="681"/>
      <c r="DM42" s="666">
        <v>0</v>
      </c>
    </row>
    <row customHeight="1" ht="22.049999999999997">
      <c r="A43" s="1533" t="s">
        <v>182</v>
      </c>
      <c r="B43" s="1533"/>
      <c r="C43" s="1533"/>
      <c r="D43" s="1533"/>
      <c r="E43" s="2428">
        <v>1</v>
      </c>
      <c r="F43" s="1533"/>
      <c r="G43" s="1533"/>
      <c r="H43" s="1533"/>
      <c r="I43" s="1533"/>
      <c r="J43" s="1533"/>
      <c r="K43" s="1533"/>
      <c r="L43" s="1534"/>
      <c r="M43" s="1535"/>
      <c r="N43" s="1535"/>
      <c r="O43" s="1535"/>
      <c r="P43" s="531"/>
      <c r="Q43" s="530"/>
      <c r="R43" s="525"/>
      <c r="S43" s="1506">
        <f>INDEX(PT_DIFFERENTIATION_NUM_NTAR,MATCH(A43,PT_DIFFERENTIATION_NTAR_ID,0))</f>
        <v>1</v>
      </c>
      <c r="T43" s="468" t="s">
        <v>126</v>
      </c>
      <c r="U43" s="470"/>
      <c r="V43" s="2412"/>
      <c r="W43" s="2413"/>
      <c r="X43" s="2413"/>
      <c r="Y43" s="2413"/>
      <c r="Z43" s="2413"/>
      <c r="AA43" s="2413"/>
      <c r="AB43" s="2413"/>
      <c r="AC43" s="2414"/>
      <c r="AD43" s="2412" t="str">
        <f>INDEX(PT_DIFFERENTIATION_NTAR,MATCH(A43,PT_DIFFERENTIATION_NTAR_ID,0))</f>
        <v>Тариф на теплоноситель, поставляемый потребителям</v>
      </c>
      <c r="AE43" s="2413"/>
      <c r="AF43" s="2413"/>
      <c r="AG43" s="2413"/>
      <c r="AH43" s="2413"/>
      <c r="AI43" s="2413"/>
      <c r="AJ43" s="2413"/>
      <c r="AK43" s="2413"/>
      <c r="AL43" s="8738"/>
      <c r="AM43" s="8739"/>
      <c r="AN43" s="8739"/>
      <c r="AO43" s="8739"/>
      <c r="AP43" s="8739"/>
      <c r="AQ43" s="8739"/>
      <c r="AR43" s="8739"/>
      <c r="AS43" s="8740"/>
      <c r="AT43" s="8738"/>
      <c r="AU43" s="8739"/>
      <c r="AV43" s="8739"/>
      <c r="AW43" s="8739"/>
      <c r="AX43" s="8739"/>
      <c r="AY43" s="8739"/>
      <c r="AZ43" s="8739"/>
      <c r="BA43" s="8740"/>
      <c r="BB43" s="8738"/>
      <c r="BC43" s="8739"/>
      <c r="BD43" s="8739"/>
      <c r="BE43" s="8739"/>
      <c r="BF43" s="8739"/>
      <c r="BG43" s="8739"/>
      <c r="BH43" s="8739"/>
      <c r="BI43" s="8740"/>
      <c r="BJ43" s="8738"/>
      <c r="BK43" s="8739"/>
      <c r="BL43" s="8739"/>
      <c r="BM43" s="8739"/>
      <c r="BN43" s="8739"/>
      <c r="BO43" s="8739"/>
      <c r="BP43" s="8739"/>
      <c r="BQ43" s="8740"/>
      <c r="BR43" s="8738"/>
      <c r="BS43" s="8739"/>
      <c r="BT43" s="8739"/>
      <c r="BU43" s="8739"/>
      <c r="BV43" s="8739"/>
      <c r="BW43" s="8739"/>
      <c r="BX43" s="8739"/>
      <c r="BY43" s="8740"/>
      <c r="BZ43" s="8738"/>
      <c r="CA43" s="8739"/>
      <c r="CB43" s="8739"/>
      <c r="CC43" s="8739"/>
      <c r="CD43" s="8739"/>
      <c r="CE43" s="8739"/>
      <c r="CF43" s="8739"/>
      <c r="CG43" s="8740"/>
      <c r="CH43" s="8738"/>
      <c r="CI43" s="8739"/>
      <c r="CJ43" s="8739"/>
      <c r="CK43" s="8739"/>
      <c r="CL43" s="8739"/>
      <c r="CM43" s="8739"/>
      <c r="CN43" s="8739"/>
      <c r="CO43" s="8740"/>
      <c r="CP43" s="8738"/>
      <c r="CQ43" s="8739"/>
      <c r="CR43" s="8739"/>
      <c r="CS43" s="8739"/>
      <c r="CT43" s="8739"/>
      <c r="CU43" s="8739"/>
      <c r="CV43" s="8739"/>
      <c r="CW43" s="8740"/>
      <c r="CX43" s="8738"/>
      <c r="CY43" s="8739"/>
      <c r="CZ43" s="8739"/>
      <c r="DA43" s="8739"/>
      <c r="DB43" s="8739"/>
      <c r="DC43" s="8739"/>
      <c r="DD43" s="8739"/>
      <c r="DE43" s="8740"/>
      <c r="DF43" s="2414"/>
      <c r="DG43" s="142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DI43" s="670"/>
      <c r="DJ43" s="670" t="str">
        <f>IF(T43="","",T43)</f>
        <v>Наименование тарифа</v>
      </c>
      <c r="DK43" s="670"/>
      <c r="DL43" s="670"/>
      <c r="DM43" s="1325">
        <v>21</v>
      </c>
    </row>
    <row customHeight="1" ht="22.049999999999997">
      <c r="A44" s="1533" t="s">
        <v>182</v>
      </c>
      <c r="B44" s="1533" t="s">
        <v>183</v>
      </c>
      <c r="C44" s="1533"/>
      <c r="D44" s="1533"/>
      <c r="E44" s="2429"/>
      <c r="F44" s="2428">
        <v>1</v>
      </c>
      <c r="G44" s="1533"/>
      <c r="H44" s="1533"/>
      <c r="I44" s="1533"/>
      <c r="J44" s="1533"/>
      <c r="K44" s="1533"/>
      <c r="L44" s="1534"/>
      <c r="M44" s="1535"/>
      <c r="N44" s="1535"/>
      <c r="O44" s="1535"/>
      <c r="P44" s="1502"/>
      <c r="Q44" s="522"/>
      <c r="R44" s="523"/>
      <c r="S44" s="1506" t="str">
        <f>INDEX(PT_DIFFERENTIATION_NUM_TER,MATCH(B44,PT_DIFFERENTIATION_TER_ID,0))</f>
        <v>1.1</v>
      </c>
      <c r="T44" s="478" t="s">
        <v>409</v>
      </c>
      <c r="U44" s="470"/>
      <c r="V44" s="2412"/>
      <c r="W44" s="2413"/>
      <c r="X44" s="2413"/>
      <c r="Y44" s="2413"/>
      <c r="Z44" s="2413"/>
      <c r="AA44" s="2413"/>
      <c r="AB44" s="2413"/>
      <c r="AC44" s="2414"/>
      <c r="AD44" s="2412" t="str">
        <f>INDEX(PT_DIFFERENTIATION_TER,MATCH(B44,PT_DIFFERENTIATION_TER_ID,0))</f>
        <v>Территория 1</v>
      </c>
      <c r="AE44" s="2413"/>
      <c r="AF44" s="2413"/>
      <c r="AG44" s="2413"/>
      <c r="AH44" s="2413"/>
      <c r="AI44" s="2413"/>
      <c r="AJ44" s="2413"/>
      <c r="AK44" s="2413"/>
      <c r="AL44" s="8738"/>
      <c r="AM44" s="8739"/>
      <c r="AN44" s="8739"/>
      <c r="AO44" s="8739"/>
      <c r="AP44" s="8739"/>
      <c r="AQ44" s="8739"/>
      <c r="AR44" s="8739"/>
      <c r="AS44" s="8740"/>
      <c r="AT44" s="8738"/>
      <c r="AU44" s="8739"/>
      <c r="AV44" s="8739"/>
      <c r="AW44" s="8739"/>
      <c r="AX44" s="8739"/>
      <c r="AY44" s="8739"/>
      <c r="AZ44" s="8739"/>
      <c r="BA44" s="8740"/>
      <c r="BB44" s="8738"/>
      <c r="BC44" s="8739"/>
      <c r="BD44" s="8739"/>
      <c r="BE44" s="8739"/>
      <c r="BF44" s="8739"/>
      <c r="BG44" s="8739"/>
      <c r="BH44" s="8739"/>
      <c r="BI44" s="8740"/>
      <c r="BJ44" s="8738"/>
      <c r="BK44" s="8739"/>
      <c r="BL44" s="8739"/>
      <c r="BM44" s="8739"/>
      <c r="BN44" s="8739"/>
      <c r="BO44" s="8739"/>
      <c r="BP44" s="8739"/>
      <c r="BQ44" s="8740"/>
      <c r="BR44" s="8738"/>
      <c r="BS44" s="8739"/>
      <c r="BT44" s="8739"/>
      <c r="BU44" s="8739"/>
      <c r="BV44" s="8739"/>
      <c r="BW44" s="8739"/>
      <c r="BX44" s="8739"/>
      <c r="BY44" s="8740"/>
      <c r="BZ44" s="8738"/>
      <c r="CA44" s="8739"/>
      <c r="CB44" s="8739"/>
      <c r="CC44" s="8739"/>
      <c r="CD44" s="8739"/>
      <c r="CE44" s="8739"/>
      <c r="CF44" s="8739"/>
      <c r="CG44" s="8740"/>
      <c r="CH44" s="8738"/>
      <c r="CI44" s="8739"/>
      <c r="CJ44" s="8739"/>
      <c r="CK44" s="8739"/>
      <c r="CL44" s="8739"/>
      <c r="CM44" s="8739"/>
      <c r="CN44" s="8739"/>
      <c r="CO44" s="8740"/>
      <c r="CP44" s="8738"/>
      <c r="CQ44" s="8739"/>
      <c r="CR44" s="8739"/>
      <c r="CS44" s="8739"/>
      <c r="CT44" s="8739"/>
      <c r="CU44" s="8739"/>
      <c r="CV44" s="8739"/>
      <c r="CW44" s="8740"/>
      <c r="CX44" s="8738"/>
      <c r="CY44" s="8739"/>
      <c r="CZ44" s="8739"/>
      <c r="DA44" s="8739"/>
      <c r="DB44" s="8739"/>
      <c r="DC44" s="8739"/>
      <c r="DD44" s="8739"/>
      <c r="DE44" s="8740"/>
      <c r="DF44" s="2414"/>
      <c r="DG44" s="1428" t="s">
        <v>410</v>
      </c>
      <c r="DI44" s="670"/>
      <c r="DJ44" s="670" t="str">
        <f>IF(T44="","",T44)</f>
        <v>Территория действия тарифа</v>
      </c>
      <c r="DK44" s="670"/>
      <c r="DL44" s="670"/>
      <c r="DM44" s="1325">
        <v>21</v>
      </c>
    </row>
    <row customHeight="1" ht="24">
      <c r="A45" s="1533" t="s">
        <v>182</v>
      </c>
      <c r="B45" s="1533" t="s">
        <v>183</v>
      </c>
      <c r="C45" s="1533" t="s">
        <v>184</v>
      </c>
      <c r="D45" s="1533"/>
      <c r="E45" s="2429"/>
      <c r="F45" s="2429"/>
      <c r="G45" s="2428">
        <v>1</v>
      </c>
      <c r="H45" s="1533"/>
      <c r="I45" s="1533"/>
      <c r="J45" s="1533"/>
      <c r="K45" s="1533"/>
      <c r="L45" s="1534"/>
      <c r="M45" s="1535"/>
      <c r="N45" s="1535"/>
      <c r="O45" s="1535"/>
      <c r="P45" s="524"/>
      <c r="Q45" s="522"/>
      <c r="R45" s="523"/>
      <c r="S45" s="1506" t="str">
        <f>INDEX(PT_DIFFERENTIATION_NUM_CS,MATCH(C45,PT_DIFFERENTIATION_CS_ID,0))</f>
        <v>1.1.1</v>
      </c>
      <c r="T45" s="479" t="s">
        <v>411</v>
      </c>
      <c r="U45" s="470"/>
      <c r="V45" s="2412"/>
      <c r="W45" s="2413"/>
      <c r="X45" s="2413"/>
      <c r="Y45" s="2413"/>
      <c r="Z45" s="2413"/>
      <c r="AA45" s="2413"/>
      <c r="AB45" s="2413"/>
      <c r="AC45" s="2414"/>
      <c r="AD45" s="2412" t="str">
        <f>INDEX(PT_DIFFERENTIATION_CS,MATCH(C45,PT_DIFFERENTIATION_CS_ID,0))</f>
        <v>без дифференциации</v>
      </c>
      <c r="AE45" s="2413"/>
      <c r="AF45" s="2413"/>
      <c r="AG45" s="2413"/>
      <c r="AH45" s="2413"/>
      <c r="AI45" s="2413"/>
      <c r="AJ45" s="2413"/>
      <c r="AK45" s="2413"/>
      <c r="AL45" s="8738"/>
      <c r="AM45" s="8739"/>
      <c r="AN45" s="8739"/>
      <c r="AO45" s="8739"/>
      <c r="AP45" s="8739"/>
      <c r="AQ45" s="8739"/>
      <c r="AR45" s="8739"/>
      <c r="AS45" s="8740"/>
      <c r="AT45" s="8738"/>
      <c r="AU45" s="8739"/>
      <c r="AV45" s="8739"/>
      <c r="AW45" s="8739"/>
      <c r="AX45" s="8739"/>
      <c r="AY45" s="8739"/>
      <c r="AZ45" s="8739"/>
      <c r="BA45" s="8740"/>
      <c r="BB45" s="8738"/>
      <c r="BC45" s="8739"/>
      <c r="BD45" s="8739"/>
      <c r="BE45" s="8739"/>
      <c r="BF45" s="8739"/>
      <c r="BG45" s="8739"/>
      <c r="BH45" s="8739"/>
      <c r="BI45" s="8740"/>
      <c r="BJ45" s="8738"/>
      <c r="BK45" s="8739"/>
      <c r="BL45" s="8739"/>
      <c r="BM45" s="8739"/>
      <c r="BN45" s="8739"/>
      <c r="BO45" s="8739"/>
      <c r="BP45" s="8739"/>
      <c r="BQ45" s="8740"/>
      <c r="BR45" s="8738"/>
      <c r="BS45" s="8739"/>
      <c r="BT45" s="8739"/>
      <c r="BU45" s="8739"/>
      <c r="BV45" s="8739"/>
      <c r="BW45" s="8739"/>
      <c r="BX45" s="8739"/>
      <c r="BY45" s="8740"/>
      <c r="BZ45" s="8738"/>
      <c r="CA45" s="8739"/>
      <c r="CB45" s="8739"/>
      <c r="CC45" s="8739"/>
      <c r="CD45" s="8739"/>
      <c r="CE45" s="8739"/>
      <c r="CF45" s="8739"/>
      <c r="CG45" s="8740"/>
      <c r="CH45" s="8738"/>
      <c r="CI45" s="8739"/>
      <c r="CJ45" s="8739"/>
      <c r="CK45" s="8739"/>
      <c r="CL45" s="8739"/>
      <c r="CM45" s="8739"/>
      <c r="CN45" s="8739"/>
      <c r="CO45" s="8740"/>
      <c r="CP45" s="8738"/>
      <c r="CQ45" s="8739"/>
      <c r="CR45" s="8739"/>
      <c r="CS45" s="8739"/>
      <c r="CT45" s="8739"/>
      <c r="CU45" s="8739"/>
      <c r="CV45" s="8739"/>
      <c r="CW45" s="8740"/>
      <c r="CX45" s="8738"/>
      <c r="CY45" s="8739"/>
      <c r="CZ45" s="8739"/>
      <c r="DA45" s="8739"/>
      <c r="DB45" s="8739"/>
      <c r="DC45" s="8739"/>
      <c r="DD45" s="8739"/>
      <c r="DE45" s="8740"/>
      <c r="DF45" s="2414"/>
      <c r="DG45" s="1428" t="s">
        <v>412</v>
      </c>
      <c r="DI45" s="670"/>
      <c r="DJ45" s="670" t="str">
        <f>IF(T45="","",T45)</f>
        <v>Наименование системы теплоснабжения </v>
      </c>
      <c r="DK45" s="670"/>
      <c r="DL45" s="670"/>
      <c r="DM45" s="1325">
        <v>23</v>
      </c>
    </row>
    <row customHeight="1" ht="22.049999999999997">
      <c r="A46" s="1533" t="s">
        <v>182</v>
      </c>
      <c r="B46" s="1533" t="s">
        <v>183</v>
      </c>
      <c r="C46" s="1533" t="s">
        <v>184</v>
      </c>
      <c r="D46" s="1533" t="s">
        <v>185</v>
      </c>
      <c r="E46" s="2429"/>
      <c r="F46" s="2429"/>
      <c r="G46" s="2429"/>
      <c r="H46" s="2428">
        <v>1</v>
      </c>
      <c r="I46" s="1533"/>
      <c r="J46" s="1533"/>
      <c r="K46" s="1533"/>
      <c r="L46" s="1534"/>
      <c r="M46" s="1535"/>
      <c r="N46" s="1535"/>
      <c r="O46" s="1535"/>
      <c r="P46" s="524"/>
      <c r="Q46" s="522"/>
      <c r="R46" s="523"/>
      <c r="S46" s="1506" t="str">
        <f>INDEX(PT_DIFFERENTIATION_NUM_IST_TE,MATCH(D46,PT_DIFFERENTIATION_IST_TE_ID,0))</f>
        <v>1.1.1.1</v>
      </c>
      <c r="T46" s="480" t="s">
        <v>413</v>
      </c>
      <c r="U46" s="470"/>
      <c r="V46" s="2412"/>
      <c r="W46" s="2413"/>
      <c r="X46" s="2413"/>
      <c r="Y46" s="2413"/>
      <c r="Z46" s="2413"/>
      <c r="AA46" s="2413"/>
      <c r="AB46" s="2413"/>
      <c r="AC46" s="2414"/>
      <c r="AD46" s="2412" t="str">
        <f>INDEX(PT_DIFFERENTIATION_IST_TE,MATCH(D46,PT_DIFFERENTIATION_IST_TE_ID,0))</f>
        <v>без дифференциации</v>
      </c>
      <c r="AE46" s="2413"/>
      <c r="AF46" s="2413"/>
      <c r="AG46" s="2413"/>
      <c r="AH46" s="2413"/>
      <c r="AI46" s="2413"/>
      <c r="AJ46" s="2413"/>
      <c r="AK46" s="2413"/>
      <c r="AL46" s="8738"/>
      <c r="AM46" s="8739"/>
      <c r="AN46" s="8739"/>
      <c r="AO46" s="8739"/>
      <c r="AP46" s="8739"/>
      <c r="AQ46" s="8739"/>
      <c r="AR46" s="8739"/>
      <c r="AS46" s="8740"/>
      <c r="AT46" s="8738"/>
      <c r="AU46" s="8739"/>
      <c r="AV46" s="8739"/>
      <c r="AW46" s="8739"/>
      <c r="AX46" s="8739"/>
      <c r="AY46" s="8739"/>
      <c r="AZ46" s="8739"/>
      <c r="BA46" s="8740"/>
      <c r="BB46" s="8738"/>
      <c r="BC46" s="8739"/>
      <c r="BD46" s="8739"/>
      <c r="BE46" s="8739"/>
      <c r="BF46" s="8739"/>
      <c r="BG46" s="8739"/>
      <c r="BH46" s="8739"/>
      <c r="BI46" s="8740"/>
      <c r="BJ46" s="8738"/>
      <c r="BK46" s="8739"/>
      <c r="BL46" s="8739"/>
      <c r="BM46" s="8739"/>
      <c r="BN46" s="8739"/>
      <c r="BO46" s="8739"/>
      <c r="BP46" s="8739"/>
      <c r="BQ46" s="8740"/>
      <c r="BR46" s="8738"/>
      <c r="BS46" s="8739"/>
      <c r="BT46" s="8739"/>
      <c r="BU46" s="8739"/>
      <c r="BV46" s="8739"/>
      <c r="BW46" s="8739"/>
      <c r="BX46" s="8739"/>
      <c r="BY46" s="8740"/>
      <c r="BZ46" s="8738"/>
      <c r="CA46" s="8739"/>
      <c r="CB46" s="8739"/>
      <c r="CC46" s="8739"/>
      <c r="CD46" s="8739"/>
      <c r="CE46" s="8739"/>
      <c r="CF46" s="8739"/>
      <c r="CG46" s="8740"/>
      <c r="CH46" s="8738"/>
      <c r="CI46" s="8739"/>
      <c r="CJ46" s="8739"/>
      <c r="CK46" s="8739"/>
      <c r="CL46" s="8739"/>
      <c r="CM46" s="8739"/>
      <c r="CN46" s="8739"/>
      <c r="CO46" s="8740"/>
      <c r="CP46" s="8738"/>
      <c r="CQ46" s="8739"/>
      <c r="CR46" s="8739"/>
      <c r="CS46" s="8739"/>
      <c r="CT46" s="8739"/>
      <c r="CU46" s="8739"/>
      <c r="CV46" s="8739"/>
      <c r="CW46" s="8740"/>
      <c r="CX46" s="8738"/>
      <c r="CY46" s="8739"/>
      <c r="CZ46" s="8739"/>
      <c r="DA46" s="8739"/>
      <c r="DB46" s="8739"/>
      <c r="DC46" s="8739"/>
      <c r="DD46" s="8739"/>
      <c r="DE46" s="8740"/>
      <c r="DF46" s="2414"/>
      <c r="DG46" s="1428" t="s">
        <v>414</v>
      </c>
      <c r="DI46" s="670"/>
      <c r="DJ46" s="670" t="str">
        <f>IF(T46="","",T46)</f>
        <v>Источник тепловой энергии  </v>
      </c>
      <c r="DK46" s="670"/>
      <c r="DL46" s="670"/>
      <c r="DM46" s="1325">
        <v>21</v>
      </c>
    </row>
    <row s="11993" customFormat="1" customHeight="1" ht="0">
      <c r="A47" s="1513" t="s">
        <v>182</v>
      </c>
      <c r="B47" s="1513" t="s">
        <v>183</v>
      </c>
      <c r="C47" s="1513" t="s">
        <v>184</v>
      </c>
      <c r="D47" s="1513" t="s">
        <v>185</v>
      </c>
      <c r="E47" s="2429"/>
      <c r="F47" s="2429"/>
      <c r="G47" s="2429"/>
      <c r="H47" s="2429"/>
      <c r="I47" s="2426" t="str">
        <f>S46&amp;".1"</f>
        <v>1.1.1.1.1</v>
      </c>
      <c r="J47" s="1513"/>
      <c r="K47" s="1513"/>
      <c r="L47" s="1516" t="s">
        <v>415</v>
      </c>
      <c r="M47" s="680"/>
      <c r="N47" s="680"/>
      <c r="O47" s="680"/>
      <c r="P47" s="2427">
        <v>1</v>
      </c>
      <c r="Q47" s="1501"/>
      <c r="R47" s="526"/>
      <c r="S47" s="1212"/>
      <c r="T47" s="1553"/>
      <c r="U47" s="1554"/>
      <c r="V47" s="2466"/>
      <c r="W47" s="2467"/>
      <c r="X47" s="2467"/>
      <c r="Y47" s="2467"/>
      <c r="Z47" s="2467"/>
      <c r="AA47" s="2467"/>
      <c r="AB47" s="2467"/>
      <c r="AC47" s="2468"/>
      <c r="AD47" s="2466"/>
      <c r="AE47" s="2467"/>
      <c r="AF47" s="2467"/>
      <c r="AG47" s="2467"/>
      <c r="AH47" s="2467"/>
      <c r="AI47" s="2467"/>
      <c r="AJ47" s="2467"/>
      <c r="AK47" s="2467"/>
      <c r="AL47" s="9849"/>
      <c r="AM47" s="9850"/>
      <c r="AN47" s="9850"/>
      <c r="AO47" s="9850"/>
      <c r="AP47" s="9850"/>
      <c r="AQ47" s="9850"/>
      <c r="AR47" s="9850"/>
      <c r="AS47" s="9851"/>
      <c r="AT47" s="9849"/>
      <c r="AU47" s="9850"/>
      <c r="AV47" s="9850"/>
      <c r="AW47" s="9850"/>
      <c r="AX47" s="9850"/>
      <c r="AY47" s="9850"/>
      <c r="AZ47" s="9850"/>
      <c r="BA47" s="9851"/>
      <c r="BB47" s="9849"/>
      <c r="BC47" s="9850"/>
      <c r="BD47" s="9850"/>
      <c r="BE47" s="9850"/>
      <c r="BF47" s="9850"/>
      <c r="BG47" s="9850"/>
      <c r="BH47" s="9850"/>
      <c r="BI47" s="9851"/>
      <c r="BJ47" s="9849"/>
      <c r="BK47" s="9850"/>
      <c r="BL47" s="9850"/>
      <c r="BM47" s="9850"/>
      <c r="BN47" s="9850"/>
      <c r="BO47" s="9850"/>
      <c r="BP47" s="9850"/>
      <c r="BQ47" s="9851"/>
      <c r="BR47" s="9849"/>
      <c r="BS47" s="9850"/>
      <c r="BT47" s="9850"/>
      <c r="BU47" s="9850"/>
      <c r="BV47" s="9850"/>
      <c r="BW47" s="9850"/>
      <c r="BX47" s="9850"/>
      <c r="BY47" s="9851"/>
      <c r="BZ47" s="9849"/>
      <c r="CA47" s="9850"/>
      <c r="CB47" s="9850"/>
      <c r="CC47" s="9850"/>
      <c r="CD47" s="9850"/>
      <c r="CE47" s="9850"/>
      <c r="CF47" s="9850"/>
      <c r="CG47" s="9851"/>
      <c r="CH47" s="9849"/>
      <c r="CI47" s="9850"/>
      <c r="CJ47" s="9850"/>
      <c r="CK47" s="9850"/>
      <c r="CL47" s="9850"/>
      <c r="CM47" s="9850"/>
      <c r="CN47" s="9850"/>
      <c r="CO47" s="9851"/>
      <c r="CP47" s="9849"/>
      <c r="CQ47" s="9850"/>
      <c r="CR47" s="9850"/>
      <c r="CS47" s="9850"/>
      <c r="CT47" s="9850"/>
      <c r="CU47" s="9850"/>
      <c r="CV47" s="9850"/>
      <c r="CW47" s="9851"/>
      <c r="CX47" s="9849"/>
      <c r="CY47" s="9850"/>
      <c r="CZ47" s="9850"/>
      <c r="DA47" s="9850"/>
      <c r="DB47" s="9850"/>
      <c r="DC47" s="9850"/>
      <c r="DD47" s="9850"/>
      <c r="DE47" s="9851"/>
      <c r="DF47" s="2468"/>
      <c r="DG47" s="1555"/>
      <c r="DI47" s="670"/>
      <c r="DJ47" s="670" t="str">
        <f>IF(T47="","",T47)</f>
        <v/>
      </c>
      <c r="DK47" s="670"/>
      <c r="DL47" s="670"/>
      <c r="DM47" s="681">
        <v>0</v>
      </c>
    </row>
    <row customHeight="1" ht="22.049999999999997">
      <c r="A48" s="1533" t="s">
        <v>182</v>
      </c>
      <c r="B48" s="1533" t="s">
        <v>183</v>
      </c>
      <c r="C48" s="1533" t="s">
        <v>184</v>
      </c>
      <c r="D48" s="1533" t="s">
        <v>185</v>
      </c>
      <c r="E48" s="2429"/>
      <c r="F48" s="2429"/>
      <c r="G48" s="2429"/>
      <c r="H48" s="2429"/>
      <c r="I48" s="2456"/>
      <c r="J48" s="2426" t="str">
        <f>S46&amp;".1"</f>
        <v>1.1.1.1.1</v>
      </c>
      <c r="K48" s="1533"/>
      <c r="L48" s="1534" t="s">
        <v>418</v>
      </c>
      <c r="P48" s="2427"/>
      <c r="Q48" s="2427">
        <v>1</v>
      </c>
      <c r="R48" s="527"/>
      <c r="S48" s="1506" t="str">
        <f>$J48</f>
        <v>1.1.1.1.1</v>
      </c>
      <c r="T48" s="456" t="s">
        <v>419</v>
      </c>
      <c r="U48" s="470"/>
      <c r="V48" s="2415"/>
      <c r="W48" s="2416"/>
      <c r="X48" s="2416"/>
      <c r="Y48" s="2416"/>
      <c r="Z48" s="2416"/>
      <c r="AA48" s="2416"/>
      <c r="AB48" s="2416"/>
      <c r="AC48" s="2417"/>
      <c r="AD48" s="2415" t="s">
        <v>459</v>
      </c>
      <c r="AE48" s="2416"/>
      <c r="AF48" s="2416"/>
      <c r="AG48" s="2416"/>
      <c r="AH48" s="2416"/>
      <c r="AI48" s="2416"/>
      <c r="AJ48" s="2416"/>
      <c r="AK48" s="2416"/>
      <c r="AL48" s="8759"/>
      <c r="AM48" s="8760"/>
      <c r="AN48" s="8760"/>
      <c r="AO48" s="8760"/>
      <c r="AP48" s="8760"/>
      <c r="AQ48" s="8760"/>
      <c r="AR48" s="8760"/>
      <c r="AS48" s="8761"/>
      <c r="AT48" s="8759"/>
      <c r="AU48" s="8760"/>
      <c r="AV48" s="8760"/>
      <c r="AW48" s="8760"/>
      <c r="AX48" s="8760"/>
      <c r="AY48" s="8760"/>
      <c r="AZ48" s="8760"/>
      <c r="BA48" s="8761"/>
      <c r="BB48" s="8759"/>
      <c r="BC48" s="8760"/>
      <c r="BD48" s="8760"/>
      <c r="BE48" s="8760"/>
      <c r="BF48" s="8760"/>
      <c r="BG48" s="8760"/>
      <c r="BH48" s="8760"/>
      <c r="BI48" s="8761"/>
      <c r="BJ48" s="8759"/>
      <c r="BK48" s="8760"/>
      <c r="BL48" s="8760"/>
      <c r="BM48" s="8760"/>
      <c r="BN48" s="8760"/>
      <c r="BO48" s="8760"/>
      <c r="BP48" s="8760"/>
      <c r="BQ48" s="8761"/>
      <c r="BR48" s="8759"/>
      <c r="BS48" s="8760"/>
      <c r="BT48" s="8760"/>
      <c r="BU48" s="8760"/>
      <c r="BV48" s="8760"/>
      <c r="BW48" s="8760"/>
      <c r="BX48" s="8760"/>
      <c r="BY48" s="8761"/>
      <c r="BZ48" s="8759"/>
      <c r="CA48" s="8760"/>
      <c r="CB48" s="8760"/>
      <c r="CC48" s="8760"/>
      <c r="CD48" s="8760"/>
      <c r="CE48" s="8760"/>
      <c r="CF48" s="8760"/>
      <c r="CG48" s="8761"/>
      <c r="CH48" s="8759"/>
      <c r="CI48" s="8760"/>
      <c r="CJ48" s="8760"/>
      <c r="CK48" s="8760"/>
      <c r="CL48" s="8760"/>
      <c r="CM48" s="8760"/>
      <c r="CN48" s="8760"/>
      <c r="CO48" s="8761"/>
      <c r="CP48" s="8759"/>
      <c r="CQ48" s="8760"/>
      <c r="CR48" s="8760"/>
      <c r="CS48" s="8760"/>
      <c r="CT48" s="8760"/>
      <c r="CU48" s="8760"/>
      <c r="CV48" s="8760"/>
      <c r="CW48" s="8761"/>
      <c r="CX48" s="8759"/>
      <c r="CY48" s="8760"/>
      <c r="CZ48" s="8760"/>
      <c r="DA48" s="8760"/>
      <c r="DB48" s="8760"/>
      <c r="DC48" s="8760"/>
      <c r="DD48" s="8760"/>
      <c r="DE48" s="8761"/>
      <c r="DF48" s="2417"/>
      <c r="DG48" s="1428" t="s">
        <v>420</v>
      </c>
      <c r="DI48" s="670"/>
      <c r="DJ48" s="670" t="str">
        <f>IF(T48="","",T48)</f>
        <v>Группа потребителей</v>
      </c>
      <c r="DK48" s="670"/>
      <c r="DL48" s="670"/>
      <c r="DM48" s="1325">
        <v>21</v>
      </c>
    </row>
    <row customHeight="1" ht="22.049999999999997">
      <c r="A49" s="1533" t="s">
        <v>182</v>
      </c>
      <c r="B49" s="1533" t="s">
        <v>183</v>
      </c>
      <c r="C49" s="1533" t="s">
        <v>184</v>
      </c>
      <c r="D49" s="1533" t="s">
        <v>185</v>
      </c>
      <c r="E49" s="2429"/>
      <c r="F49" s="2429"/>
      <c r="G49" s="2429"/>
      <c r="H49" s="2429"/>
      <c r="I49" s="2456"/>
      <c r="J49" s="2456"/>
      <c r="K49" s="2426" t="str">
        <f>J48&amp;".1"</f>
        <v>1.1.1.1.1.1</v>
      </c>
      <c r="L49" s="1534" t="s">
        <v>421</v>
      </c>
      <c r="P49" s="2427"/>
      <c r="Q49" s="2427"/>
      <c r="R49" s="527">
        <v>1</v>
      </c>
      <c r="S49" s="1506" t="str">
        <f>$K49</f>
        <v>1.1.1.1.1.1</v>
      </c>
      <c r="T49" s="1517" t="s">
        <v>460</v>
      </c>
      <c r="U49" s="470"/>
      <c r="V49" s="921"/>
      <c r="W49" s="495"/>
      <c r="X49" s="921"/>
      <c r="Y49" s="1427"/>
      <c r="Z49" s="2435"/>
      <c r="AA49" s="2277" t="s">
        <v>64</v>
      </c>
      <c r="AB49" s="2435"/>
      <c r="AC49" s="2277" t="s">
        <v>64</v>
      </c>
      <c r="AD49" s="921">
        <v>53.68</v>
      </c>
      <c r="AE49" s="495"/>
      <c r="AF49" s="921"/>
      <c r="AG49" s="1427"/>
      <c r="AH49" s="8774">
        <v>45292</v>
      </c>
      <c r="AI49" s="2277" t="s">
        <v>64</v>
      </c>
      <c r="AJ49" s="9123">
        <v>45473</v>
      </c>
      <c r="AK49" s="2277" t="s">
        <v>64</v>
      </c>
      <c r="AL49" s="8771">
        <v>60.52</v>
      </c>
      <c r="AM49" s="8772"/>
      <c r="AN49" s="8771"/>
      <c r="AO49" s="8773"/>
      <c r="AP49" s="8774">
        <v>45474</v>
      </c>
      <c r="AQ49" s="8192" t="s">
        <v>64</v>
      </c>
      <c r="AR49" s="8774">
        <v>45657</v>
      </c>
      <c r="AS49" s="8192" t="s">
        <v>64</v>
      </c>
      <c r="AT49" s="8771">
        <v>60.52</v>
      </c>
      <c r="AU49" s="8772"/>
      <c r="AV49" s="8771"/>
      <c r="AW49" s="8773"/>
      <c r="AX49" s="8774">
        <v>45658</v>
      </c>
      <c r="AY49" s="8192" t="s">
        <v>64</v>
      </c>
      <c r="AZ49" s="8774">
        <v>45838.566342592596</v>
      </c>
      <c r="BA49" s="8192" t="s">
        <v>64</v>
      </c>
      <c r="BB49" s="8771">
        <v>57.84</v>
      </c>
      <c r="BC49" s="8772"/>
      <c r="BD49" s="8771"/>
      <c r="BE49" s="8773"/>
      <c r="BF49" s="8774">
        <v>45839</v>
      </c>
      <c r="BG49" s="8192" t="s">
        <v>64</v>
      </c>
      <c r="BH49" s="8774">
        <v>46022</v>
      </c>
      <c r="BI49" s="8192" t="s">
        <v>64</v>
      </c>
      <c r="BJ49" s="8771">
        <v>59.42</v>
      </c>
      <c r="BK49" s="8772"/>
      <c r="BL49" s="8771"/>
      <c r="BM49" s="8773"/>
      <c r="BN49" s="8774">
        <v>46023</v>
      </c>
      <c r="BO49" s="8192" t="s">
        <v>64</v>
      </c>
      <c r="BP49" s="8774">
        <v>46203</v>
      </c>
      <c r="BQ49" s="8192" t="s">
        <v>64</v>
      </c>
      <c r="BR49" s="8771">
        <v>59.42</v>
      </c>
      <c r="BS49" s="8772"/>
      <c r="BT49" s="8771"/>
      <c r="BU49" s="8773"/>
      <c r="BV49" s="8774">
        <v>46204</v>
      </c>
      <c r="BW49" s="8192" t="s">
        <v>64</v>
      </c>
      <c r="BX49" s="8774">
        <v>46387</v>
      </c>
      <c r="BY49" s="8192" t="s">
        <v>64</v>
      </c>
      <c r="BZ49" s="8771">
        <v>59.42</v>
      </c>
      <c r="CA49" s="8772"/>
      <c r="CB49" s="8771"/>
      <c r="CC49" s="8773"/>
      <c r="CD49" s="8774">
        <v>46388</v>
      </c>
      <c r="CE49" s="8192" t="s">
        <v>64</v>
      </c>
      <c r="CF49" s="8774">
        <v>46568</v>
      </c>
      <c r="CG49" s="8192" t="s">
        <v>64</v>
      </c>
      <c r="CH49" s="8771">
        <v>62.76</v>
      </c>
      <c r="CI49" s="8772"/>
      <c r="CJ49" s="8771"/>
      <c r="CK49" s="8773"/>
      <c r="CL49" s="8774">
        <v>46569</v>
      </c>
      <c r="CM49" s="8192" t="s">
        <v>64</v>
      </c>
      <c r="CN49" s="8774">
        <v>46752</v>
      </c>
      <c r="CO49" s="8192" t="s">
        <v>64</v>
      </c>
      <c r="CP49" s="8771">
        <v>62.76</v>
      </c>
      <c r="CQ49" s="8772"/>
      <c r="CR49" s="8771"/>
      <c r="CS49" s="8773"/>
      <c r="CT49" s="8774">
        <v>46753</v>
      </c>
      <c r="CU49" s="8192" t="s">
        <v>64</v>
      </c>
      <c r="CV49" s="8774">
        <v>46934</v>
      </c>
      <c r="CW49" s="8192" t="s">
        <v>64</v>
      </c>
      <c r="CX49" s="8771">
        <v>62.9</v>
      </c>
      <c r="CY49" s="8772"/>
      <c r="CZ49" s="8771"/>
      <c r="DA49" s="8773"/>
      <c r="DB49" s="8774">
        <v>46935</v>
      </c>
      <c r="DC49" s="8192" t="s">
        <v>64</v>
      </c>
      <c r="DD49" s="8774">
        <v>47118</v>
      </c>
      <c r="DE49" s="8192" t="s">
        <v>64</v>
      </c>
      <c r="DF49" s="1518"/>
      <c r="DG49" s="2423" t="s">
        <v>464</v>
      </c>
      <c r="DH49" s="681">
        <f>STRCHECKDATE(V50:DF50)</f>
      </c>
      <c r="DI49" s="670"/>
      <c r="DJ49" s="670" t="str">
        <f>IF(T49="","",T49)</f>
        <v>вода</v>
      </c>
      <c r="DK49" s="670"/>
      <c r="DL49" s="670"/>
      <c r="DM49" s="1325">
        <v>21</v>
      </c>
    </row>
    <row customHeight="1" ht="1.05">
      <c r="A50" s="1533" t="s">
        <v>182</v>
      </c>
      <c r="B50" s="1533" t="s">
        <v>183</v>
      </c>
      <c r="C50" s="1533" t="s">
        <v>184</v>
      </c>
      <c r="D50" s="1533" t="s">
        <v>185</v>
      </c>
      <c r="E50" s="2429"/>
      <c r="F50" s="2429"/>
      <c r="G50" s="2429"/>
      <c r="H50" s="2429"/>
      <c r="I50" s="2456"/>
      <c r="J50" s="2456"/>
      <c r="K50" s="2426"/>
      <c r="L50" s="1534"/>
      <c r="P50" s="2427"/>
      <c r="Q50" s="2427"/>
      <c r="R50" s="527"/>
      <c r="S50" s="1512"/>
      <c r="T50" s="470"/>
      <c r="U50" s="470"/>
      <c r="V50" s="495"/>
      <c r="W50" s="495"/>
      <c r="X50" s="495"/>
      <c r="Y50" s="498" t="str">
        <f>Z49&amp;"-"&amp;AB49</f>
        <v>-</v>
      </c>
      <c r="Z50" s="2436"/>
      <c r="AA50" s="2277"/>
      <c r="AB50" s="2436"/>
      <c r="AC50" s="2277"/>
      <c r="AD50" s="495"/>
      <c r="AE50" s="495"/>
      <c r="AF50" s="495"/>
      <c r="AG50" s="498" t="str">
        <f>AH49&amp;"-"&amp;AJ49</f>
        <v>45292-45473</v>
      </c>
      <c r="AH50" s="2436"/>
      <c r="AI50" s="2277"/>
      <c r="AJ50" s="2458"/>
      <c r="AK50" s="2277"/>
      <c r="AL50" s="8772"/>
      <c r="AM50" s="8772"/>
      <c r="AN50" s="8772"/>
      <c r="AO50" s="8779" t="str">
        <f>AP49&amp;"-"&amp;AR49</f>
        <v>45474-45657</v>
      </c>
      <c r="AP50" s="8780"/>
      <c r="AQ50" s="8192"/>
      <c r="AR50" s="8780"/>
      <c r="AS50" s="8192"/>
      <c r="AT50" s="8772"/>
      <c r="AU50" s="8772"/>
      <c r="AV50" s="8772"/>
      <c r="AW50" s="8779" t="str">
        <f>AX49&amp;"-"&amp;AZ49</f>
        <v>45658-45838.566342592596</v>
      </c>
      <c r="AX50" s="8780"/>
      <c r="AY50" s="8192"/>
      <c r="AZ50" s="8780"/>
      <c r="BA50" s="8192"/>
      <c r="BB50" s="8772"/>
      <c r="BC50" s="8772"/>
      <c r="BD50" s="8772"/>
      <c r="BE50" s="8779" t="str">
        <f>BF49&amp;"-"&amp;BH49</f>
        <v>45839-46022</v>
      </c>
      <c r="BF50" s="8780"/>
      <c r="BG50" s="8192"/>
      <c r="BH50" s="8780"/>
      <c r="BI50" s="8192"/>
      <c r="BJ50" s="8772"/>
      <c r="BK50" s="8772"/>
      <c r="BL50" s="8772"/>
      <c r="BM50" s="8779" t="str">
        <f>BN49&amp;"-"&amp;BP49</f>
        <v>46023-46203</v>
      </c>
      <c r="BN50" s="8780"/>
      <c r="BO50" s="8192"/>
      <c r="BP50" s="8780"/>
      <c r="BQ50" s="8192"/>
      <c r="BR50" s="8772"/>
      <c r="BS50" s="8772"/>
      <c r="BT50" s="8772"/>
      <c r="BU50" s="8779" t="str">
        <f>BV49&amp;"-"&amp;BX49</f>
        <v>46204-46387</v>
      </c>
      <c r="BV50" s="8780"/>
      <c r="BW50" s="8192"/>
      <c r="BX50" s="8780"/>
      <c r="BY50" s="8192"/>
      <c r="BZ50" s="8772"/>
      <c r="CA50" s="8772"/>
      <c r="CB50" s="8772"/>
      <c r="CC50" s="8779" t="str">
        <f>CD49&amp;"-"&amp;CF49</f>
        <v>46388-46568</v>
      </c>
      <c r="CD50" s="8780"/>
      <c r="CE50" s="8192"/>
      <c r="CF50" s="8780"/>
      <c r="CG50" s="8192"/>
      <c r="CH50" s="8772"/>
      <c r="CI50" s="8772"/>
      <c r="CJ50" s="8772"/>
      <c r="CK50" s="8779" t="str">
        <f>CL49&amp;"-"&amp;CN49</f>
        <v>46569-46752</v>
      </c>
      <c r="CL50" s="8780"/>
      <c r="CM50" s="8192"/>
      <c r="CN50" s="8780"/>
      <c r="CO50" s="8192"/>
      <c r="CP50" s="8772"/>
      <c r="CQ50" s="8772"/>
      <c r="CR50" s="8772"/>
      <c r="CS50" s="8779" t="str">
        <f>CT49&amp;"-"&amp;CV49</f>
        <v>46753-46934</v>
      </c>
      <c r="CT50" s="8780"/>
      <c r="CU50" s="8192"/>
      <c r="CV50" s="8780"/>
      <c r="CW50" s="8192"/>
      <c r="CX50" s="8772"/>
      <c r="CY50" s="8772"/>
      <c r="CZ50" s="8772"/>
      <c r="DA50" s="8779" t="str">
        <f>DB49&amp;"-"&amp;DD49</f>
        <v>46935-47118</v>
      </c>
      <c r="DB50" s="8780"/>
      <c r="DC50" s="8192"/>
      <c r="DD50" s="8780"/>
      <c r="DE50" s="8192"/>
      <c r="DF50" s="1519"/>
      <c r="DG50" s="2424"/>
      <c r="DI50" s="670"/>
      <c r="DJ50" s="670" t="str">
        <f>IF(T50="","",T50)</f>
        <v/>
      </c>
      <c r="DK50" s="670"/>
      <c r="DL50" s="670"/>
      <c r="DM50" s="1325">
        <v>1</v>
      </c>
    </row>
    <row customHeight="1" ht="11.549999999999999">
      <c r="A51" s="1533" t="s">
        <v>182</v>
      </c>
      <c r="B51" s="1533" t="s">
        <v>183</v>
      </c>
      <c r="C51" s="1533" t="s">
        <v>184</v>
      </c>
      <c r="D51" s="1533" t="s">
        <v>185</v>
      </c>
      <c r="E51" s="2429"/>
      <c r="F51" s="2429"/>
      <c r="G51" s="2429"/>
      <c r="H51" s="2429"/>
      <c r="I51" s="2456"/>
      <c r="J51" s="2426"/>
      <c r="K51" s="1533"/>
      <c r="L51" s="1534"/>
      <c r="P51" s="2427"/>
      <c r="Q51" s="2427"/>
      <c r="R51" s="526"/>
      <c r="S51" s="1448"/>
      <c r="T51" s="457" t="s">
        <v>423</v>
      </c>
      <c r="U51" s="537"/>
      <c r="V51" s="537"/>
      <c r="W51" s="537"/>
      <c r="X51" s="537"/>
      <c r="Y51" s="537"/>
      <c r="Z51" s="537"/>
      <c r="AA51" s="537"/>
      <c r="AB51" s="537"/>
      <c r="AC51" s="537"/>
      <c r="AD51" s="537"/>
      <c r="AE51" s="537"/>
      <c r="AF51" s="537"/>
      <c r="AG51" s="537"/>
      <c r="AH51" s="537"/>
      <c r="AI51" s="537"/>
      <c r="AJ51" s="537"/>
      <c r="AK51" s="537"/>
      <c r="AL51" s="10003"/>
      <c r="AM51" s="10004"/>
      <c r="AN51" s="10005"/>
      <c r="AO51" s="10006"/>
      <c r="AP51" s="10007"/>
      <c r="AQ51" s="10008"/>
      <c r="AR51" s="10009"/>
      <c r="AS51" s="10010"/>
      <c r="AT51" s="10011"/>
      <c r="AU51" s="10012"/>
      <c r="AV51" s="10013"/>
      <c r="AW51" s="10014"/>
      <c r="AX51" s="10015"/>
      <c r="AY51" s="10016"/>
      <c r="AZ51" s="10017"/>
      <c r="BA51" s="10018"/>
      <c r="BB51" s="10019"/>
      <c r="BC51" s="10020"/>
      <c r="BD51" s="10021"/>
      <c r="BE51" s="10022"/>
      <c r="BF51" s="10023"/>
      <c r="BG51" s="10024"/>
      <c r="BH51" s="10025"/>
      <c r="BI51" s="10026"/>
      <c r="BJ51" s="10027"/>
      <c r="BK51" s="10028"/>
      <c r="BL51" s="10029"/>
      <c r="BM51" s="10030"/>
      <c r="BN51" s="10031"/>
      <c r="BO51" s="10032"/>
      <c r="BP51" s="10033"/>
      <c r="BQ51" s="10034"/>
      <c r="BR51" s="10035"/>
      <c r="BS51" s="10036"/>
      <c r="BT51" s="10037"/>
      <c r="BU51" s="10038"/>
      <c r="BV51" s="10039"/>
      <c r="BW51" s="10040"/>
      <c r="BX51" s="10041"/>
      <c r="BY51" s="10042"/>
      <c r="BZ51" s="10043"/>
      <c r="CA51" s="10044"/>
      <c r="CB51" s="10045"/>
      <c r="CC51" s="10046"/>
      <c r="CD51" s="10047"/>
      <c r="CE51" s="10048"/>
      <c r="CF51" s="10049"/>
      <c r="CG51" s="10050"/>
      <c r="CH51" s="10051"/>
      <c r="CI51" s="10052"/>
      <c r="CJ51" s="10053"/>
      <c r="CK51" s="10054"/>
      <c r="CL51" s="10055"/>
      <c r="CM51" s="10056"/>
      <c r="CN51" s="10057"/>
      <c r="CO51" s="10058"/>
      <c r="CP51" s="10059"/>
      <c r="CQ51" s="10060"/>
      <c r="CR51" s="10061"/>
      <c r="CS51" s="10062"/>
      <c r="CT51" s="10063"/>
      <c r="CU51" s="10064"/>
      <c r="CV51" s="10065"/>
      <c r="CW51" s="10066"/>
      <c r="CX51" s="10067"/>
      <c r="CY51" s="10068"/>
      <c r="CZ51" s="10069"/>
      <c r="DA51" s="10070"/>
      <c r="DB51" s="10071"/>
      <c r="DC51" s="10072"/>
      <c r="DD51" s="10073"/>
      <c r="DE51" s="10074"/>
      <c r="DF51" s="494"/>
      <c r="DG51" s="2425"/>
      <c r="DI51" s="670"/>
      <c r="DJ51" s="670" t="str">
        <f>IF(T51="","",T51)</f>
        <v>Добавить вид теплоносителя (параметры теплоносителя)</v>
      </c>
      <c r="DK51" s="670"/>
      <c r="DL51" s="670"/>
      <c r="DM51" s="1325">
        <v>11</v>
      </c>
    </row>
    <row customHeight="1" ht="11.549999999999999">
      <c r="A52" s="1533" t="s">
        <v>182</v>
      </c>
      <c r="B52" s="1533" t="s">
        <v>183</v>
      </c>
      <c r="C52" s="1533" t="s">
        <v>184</v>
      </c>
      <c r="D52" s="1533" t="s">
        <v>185</v>
      </c>
      <c r="E52" s="2429"/>
      <c r="F52" s="2429"/>
      <c r="G52" s="2429"/>
      <c r="H52" s="2429"/>
      <c r="I52" s="2426"/>
      <c r="J52" s="1533"/>
      <c r="K52" s="1533"/>
      <c r="L52" s="1534"/>
      <c r="P52" s="2427"/>
      <c r="Q52" s="1501"/>
      <c r="R52" s="526"/>
      <c r="S52" s="1448"/>
      <c r="T52" s="535" t="s">
        <v>424</v>
      </c>
      <c r="U52" s="537"/>
      <c r="V52" s="537"/>
      <c r="W52" s="537"/>
      <c r="X52" s="537"/>
      <c r="Y52" s="537"/>
      <c r="Z52" s="537"/>
      <c r="AA52" s="537"/>
      <c r="AB52" s="537"/>
      <c r="AC52" s="536"/>
      <c r="AD52" s="537"/>
      <c r="AE52" s="537"/>
      <c r="AF52" s="537"/>
      <c r="AG52" s="537"/>
      <c r="AH52" s="537"/>
      <c r="AI52" s="537"/>
      <c r="AJ52" s="537"/>
      <c r="AK52" s="536"/>
      <c r="AL52" s="10075"/>
      <c r="AM52" s="10076"/>
      <c r="AN52" s="10077"/>
      <c r="AO52" s="10078"/>
      <c r="AP52" s="10079"/>
      <c r="AQ52" s="10080"/>
      <c r="AR52" s="10081"/>
      <c r="AS52" s="10082"/>
      <c r="AT52" s="10083"/>
      <c r="AU52" s="10084"/>
      <c r="AV52" s="10085"/>
      <c r="AW52" s="10086"/>
      <c r="AX52" s="10087"/>
      <c r="AY52" s="10088"/>
      <c r="AZ52" s="10089"/>
      <c r="BA52" s="10090"/>
      <c r="BB52" s="10091"/>
      <c r="BC52" s="10092"/>
      <c r="BD52" s="10093"/>
      <c r="BE52" s="10094"/>
      <c r="BF52" s="10095"/>
      <c r="BG52" s="10096"/>
      <c r="BH52" s="10097"/>
      <c r="BI52" s="10098"/>
      <c r="BJ52" s="10099"/>
      <c r="BK52" s="10100"/>
      <c r="BL52" s="10101"/>
      <c r="BM52" s="10102"/>
      <c r="BN52" s="10103"/>
      <c r="BO52" s="10104"/>
      <c r="BP52" s="10105"/>
      <c r="BQ52" s="10106"/>
      <c r="BR52" s="10107"/>
      <c r="BS52" s="10108"/>
      <c r="BT52" s="10109"/>
      <c r="BU52" s="10110"/>
      <c r="BV52" s="10111"/>
      <c r="BW52" s="10112"/>
      <c r="BX52" s="10113"/>
      <c r="BY52" s="10114"/>
      <c r="BZ52" s="10115"/>
      <c r="CA52" s="10116"/>
      <c r="CB52" s="10117"/>
      <c r="CC52" s="10118"/>
      <c r="CD52" s="10119"/>
      <c r="CE52" s="10120"/>
      <c r="CF52" s="10121"/>
      <c r="CG52" s="10122"/>
      <c r="CH52" s="10123"/>
      <c r="CI52" s="10124"/>
      <c r="CJ52" s="10125"/>
      <c r="CK52" s="10126"/>
      <c r="CL52" s="10127"/>
      <c r="CM52" s="10128"/>
      <c r="CN52" s="10129"/>
      <c r="CO52" s="10130"/>
      <c r="CP52" s="10131"/>
      <c r="CQ52" s="10132"/>
      <c r="CR52" s="10133"/>
      <c r="CS52" s="10134"/>
      <c r="CT52" s="10135"/>
      <c r="CU52" s="10136"/>
      <c r="CV52" s="10137"/>
      <c r="CW52" s="10138"/>
      <c r="CX52" s="10139"/>
      <c r="CY52" s="10140"/>
      <c r="CZ52" s="10141"/>
      <c r="DA52" s="10142"/>
      <c r="DB52" s="10143"/>
      <c r="DC52" s="10144"/>
      <c r="DD52" s="10145"/>
      <c r="DE52" s="10146"/>
      <c r="DF52" s="537"/>
      <c r="DG52" s="473"/>
      <c r="DI52" s="670"/>
      <c r="DJ52" s="670" t="str">
        <f>IF(T52="","",T52)</f>
        <v>Добавить группу потребителей</v>
      </c>
      <c r="DK52" s="670"/>
      <c r="DL52" s="670"/>
      <c r="DM52" s="1325">
        <v>11</v>
      </c>
    </row>
    <row customHeight="1" ht="0">
      <c r="A53" s="1533" t="s">
        <v>182</v>
      </c>
      <c r="B53" s="1533" t="s">
        <v>183</v>
      </c>
      <c r="C53" s="1533" t="s">
        <v>184</v>
      </c>
      <c r="D53" s="1533" t="s">
        <v>185</v>
      </c>
      <c r="E53" s="2429"/>
      <c r="F53" s="2429"/>
      <c r="G53" s="2429"/>
      <c r="H53" s="2428"/>
      <c r="I53" s="1533"/>
      <c r="J53" s="1533"/>
      <c r="K53" s="1533"/>
      <c r="L53" s="1534"/>
      <c r="M53" s="1535"/>
      <c r="N53" s="1535"/>
      <c r="O53" s="707"/>
      <c r="P53" s="530"/>
      <c r="Q53" s="545"/>
      <c r="R53" s="525"/>
      <c r="S53" s="1556"/>
      <c r="T53" s="1557"/>
      <c r="U53" s="1558"/>
      <c r="V53" s="1558"/>
      <c r="W53" s="1558"/>
      <c r="X53" s="1558"/>
      <c r="Y53" s="1558"/>
      <c r="Z53" s="1558"/>
      <c r="AA53" s="1558"/>
      <c r="AB53" s="1558"/>
      <c r="AC53" s="1558"/>
      <c r="AD53" s="1558"/>
      <c r="AE53" s="1558"/>
      <c r="AF53" s="1558"/>
      <c r="AG53" s="1558"/>
      <c r="AH53" s="1558"/>
      <c r="AI53" s="1558"/>
      <c r="AJ53" s="1558"/>
      <c r="AK53" s="1558"/>
      <c r="AL53" s="10000"/>
      <c r="AM53" s="10000"/>
      <c r="AN53" s="10000"/>
      <c r="AO53" s="10000"/>
      <c r="AP53" s="10000"/>
      <c r="AQ53" s="10000"/>
      <c r="AR53" s="10000"/>
      <c r="AS53" s="10000"/>
      <c r="AT53" s="10000"/>
      <c r="AU53" s="10000"/>
      <c r="AV53" s="10000"/>
      <c r="AW53" s="10000"/>
      <c r="AX53" s="10000"/>
      <c r="AY53" s="10000"/>
      <c r="AZ53" s="10000"/>
      <c r="BA53" s="10000"/>
      <c r="BB53" s="10000"/>
      <c r="BC53" s="10000"/>
      <c r="BD53" s="10000"/>
      <c r="BE53" s="10000"/>
      <c r="BF53" s="10000"/>
      <c r="BG53" s="10000"/>
      <c r="BH53" s="10000"/>
      <c r="BI53" s="10000"/>
      <c r="BJ53" s="10000"/>
      <c r="BK53" s="10000"/>
      <c r="BL53" s="10000"/>
      <c r="BM53" s="10000"/>
      <c r="BN53" s="10000"/>
      <c r="BO53" s="10000"/>
      <c r="BP53" s="10000"/>
      <c r="BQ53" s="10000"/>
      <c r="BR53" s="10000"/>
      <c r="BS53" s="10000"/>
      <c r="BT53" s="10000"/>
      <c r="BU53" s="10000"/>
      <c r="BV53" s="10000"/>
      <c r="BW53" s="10000"/>
      <c r="BX53" s="10000"/>
      <c r="BY53" s="10000"/>
      <c r="BZ53" s="10000"/>
      <c r="CA53" s="10000"/>
      <c r="CB53" s="10000"/>
      <c r="CC53" s="10000"/>
      <c r="CD53" s="10000"/>
      <c r="CE53" s="10000"/>
      <c r="CF53" s="10000"/>
      <c r="CG53" s="10000"/>
      <c r="CH53" s="10000"/>
      <c r="CI53" s="10000"/>
      <c r="CJ53" s="10000"/>
      <c r="CK53" s="10000"/>
      <c r="CL53" s="10000"/>
      <c r="CM53" s="10000"/>
      <c r="CN53" s="10000"/>
      <c r="CO53" s="10000"/>
      <c r="CP53" s="10000"/>
      <c r="CQ53" s="10000"/>
      <c r="CR53" s="10000"/>
      <c r="CS53" s="10000"/>
      <c r="CT53" s="10000"/>
      <c r="CU53" s="10000"/>
      <c r="CV53" s="10000"/>
      <c r="CW53" s="10000"/>
      <c r="CX53" s="10000"/>
      <c r="CY53" s="10000"/>
      <c r="CZ53" s="10000"/>
      <c r="DA53" s="10000"/>
      <c r="DB53" s="10000"/>
      <c r="DC53" s="10000"/>
      <c r="DD53" s="10000"/>
      <c r="DE53" s="10000"/>
      <c r="DF53" s="1558"/>
      <c r="DG53" s="1559"/>
      <c r="DI53" s="670"/>
      <c r="DJ53" s="670" t="str">
        <f>IF(T53="","",T53)</f>
        <v/>
      </c>
      <c r="DK53" s="670"/>
      <c r="DL53" s="670"/>
      <c r="DM53" s="1325">
        <v>0</v>
      </c>
    </row>
    <row s="11993" customFormat="1" customHeight="1" ht="1.05">
      <c r="A54" s="1513" t="s">
        <v>182</v>
      </c>
      <c r="B54" s="1513" t="s">
        <v>183</v>
      </c>
      <c r="C54" s="1513" t="s">
        <v>184</v>
      </c>
      <c r="D54" s="1484"/>
      <c r="E54" s="2429"/>
      <c r="F54" s="2429"/>
      <c r="G54" s="2428"/>
      <c r="H54" s="1484"/>
      <c r="I54" s="1484"/>
      <c r="J54" s="1484"/>
      <c r="K54" s="1484"/>
      <c r="L54" s="1509"/>
      <c r="M54" s="1485"/>
      <c r="N54" s="1485"/>
      <c r="P54" s="1486"/>
      <c r="Q54" s="1487"/>
      <c r="R54" s="1486"/>
      <c r="S54" s="1492"/>
      <c r="T54" s="1495" t="s">
        <v>165</v>
      </c>
      <c r="U54" s="1494"/>
      <c r="V54" s="1494"/>
      <c r="W54" s="1494"/>
      <c r="X54" s="1494"/>
      <c r="Y54" s="1494"/>
      <c r="Z54" s="1494"/>
      <c r="AA54" s="1494"/>
      <c r="AB54" s="1494"/>
      <c r="AC54" s="1494"/>
      <c r="AD54" s="1494"/>
      <c r="AE54" s="1494"/>
      <c r="AF54" s="1494"/>
      <c r="AG54" s="1494"/>
      <c r="AH54" s="1494"/>
      <c r="AI54" s="1494"/>
      <c r="AJ54" s="1494"/>
      <c r="AK54" s="1494"/>
      <c r="AL54" s="9021"/>
      <c r="AM54" s="9021"/>
      <c r="AN54" s="9021"/>
      <c r="AO54" s="9021"/>
      <c r="AP54" s="9021"/>
      <c r="AQ54" s="9021"/>
      <c r="AR54" s="9021"/>
      <c r="AS54" s="9021"/>
      <c r="AT54" s="9021"/>
      <c r="AU54" s="9021"/>
      <c r="AV54" s="9021"/>
      <c r="AW54" s="9021"/>
      <c r="AX54" s="9021"/>
      <c r="AY54" s="9021"/>
      <c r="AZ54" s="9021"/>
      <c r="BA54" s="9021"/>
      <c r="BB54" s="9021"/>
      <c r="BC54" s="9021"/>
      <c r="BD54" s="9021"/>
      <c r="BE54" s="9021"/>
      <c r="BF54" s="9021"/>
      <c r="BG54" s="9021"/>
      <c r="BH54" s="9021"/>
      <c r="BI54" s="9021"/>
      <c r="BJ54" s="9021"/>
      <c r="BK54" s="9021"/>
      <c r="BL54" s="9021"/>
      <c r="BM54" s="9021"/>
      <c r="BN54" s="9021"/>
      <c r="BO54" s="9021"/>
      <c r="BP54" s="9021"/>
      <c r="BQ54" s="9021"/>
      <c r="BR54" s="9021"/>
      <c r="BS54" s="9021"/>
      <c r="BT54" s="9021"/>
      <c r="BU54" s="9021"/>
      <c r="BV54" s="9021"/>
      <c r="BW54" s="9021"/>
      <c r="BX54" s="9021"/>
      <c r="BY54" s="9021"/>
      <c r="BZ54" s="9021"/>
      <c r="CA54" s="9021"/>
      <c r="CB54" s="9021"/>
      <c r="CC54" s="9021"/>
      <c r="CD54" s="9021"/>
      <c r="CE54" s="9021"/>
      <c r="CF54" s="9021"/>
      <c r="CG54" s="9021"/>
      <c r="CH54" s="9021"/>
      <c r="CI54" s="9021"/>
      <c r="CJ54" s="9021"/>
      <c r="CK54" s="9021"/>
      <c r="CL54" s="9021"/>
      <c r="CM54" s="9021"/>
      <c r="CN54" s="9021"/>
      <c r="CO54" s="9021"/>
      <c r="CP54" s="9021"/>
      <c r="CQ54" s="9021"/>
      <c r="CR54" s="9021"/>
      <c r="CS54" s="9021"/>
      <c r="CT54" s="9021"/>
      <c r="CU54" s="9021"/>
      <c r="CV54" s="9021"/>
      <c r="CW54" s="9021"/>
      <c r="CX54" s="9021"/>
      <c r="CY54" s="9021"/>
      <c r="CZ54" s="9021"/>
      <c r="DA54" s="9021"/>
      <c r="DB54" s="9021"/>
      <c r="DC54" s="9021"/>
      <c r="DD54" s="9021"/>
      <c r="DE54" s="9021"/>
      <c r="DF54" s="1494"/>
      <c r="DG54" s="1494"/>
      <c r="DI54" s="959"/>
      <c r="DJ54" s="959" t="str">
        <f>IF(T54="","",T54)</f>
        <v>Добавить источник для дифференциации</v>
      </c>
      <c r="DK54" s="959"/>
      <c r="DL54" s="959"/>
      <c r="DM54" s="688">
        <v>1</v>
      </c>
    </row>
    <row s="11993" customFormat="1" customHeight="1" ht="1.05">
      <c r="A55" s="1513" t="s">
        <v>182</v>
      </c>
      <c r="B55" s="1513" t="s">
        <v>183</v>
      </c>
      <c r="C55" s="1484"/>
      <c r="D55" s="1484"/>
      <c r="E55" s="2429"/>
      <c r="F55" s="2428"/>
      <c r="G55" s="1484"/>
      <c r="H55" s="1484"/>
      <c r="I55" s="1484"/>
      <c r="J55" s="1484"/>
      <c r="K55" s="1484"/>
      <c r="L55" s="1509"/>
      <c r="M55" s="1491"/>
      <c r="N55" s="1491"/>
      <c r="P55" s="1486"/>
      <c r="Q55" s="1487"/>
      <c r="R55" s="1486"/>
      <c r="S55" s="1492"/>
      <c r="T55" s="1495" t="s">
        <v>166</v>
      </c>
      <c r="U55" s="1494"/>
      <c r="V55" s="1494"/>
      <c r="W55" s="1494"/>
      <c r="X55" s="1494"/>
      <c r="Y55" s="1494"/>
      <c r="Z55" s="1494"/>
      <c r="AA55" s="1494"/>
      <c r="AB55" s="1494"/>
      <c r="AC55" s="1494"/>
      <c r="AD55" s="1494"/>
      <c r="AE55" s="1494"/>
      <c r="AF55" s="1494"/>
      <c r="AG55" s="1494"/>
      <c r="AH55" s="1494"/>
      <c r="AI55" s="1494"/>
      <c r="AJ55" s="1494"/>
      <c r="AK55" s="1494"/>
      <c r="AL55" s="9021"/>
      <c r="AM55" s="9021"/>
      <c r="AN55" s="9021"/>
      <c r="AO55" s="9021"/>
      <c r="AP55" s="9021"/>
      <c r="AQ55" s="9021"/>
      <c r="AR55" s="9021"/>
      <c r="AS55" s="9021"/>
      <c r="AT55" s="9021"/>
      <c r="AU55" s="9021"/>
      <c r="AV55" s="9021"/>
      <c r="AW55" s="9021"/>
      <c r="AX55" s="9021"/>
      <c r="AY55" s="9021"/>
      <c r="AZ55" s="9021"/>
      <c r="BA55" s="9021"/>
      <c r="BB55" s="9021"/>
      <c r="BC55" s="9021"/>
      <c r="BD55" s="9021"/>
      <c r="BE55" s="9021"/>
      <c r="BF55" s="9021"/>
      <c r="BG55" s="9021"/>
      <c r="BH55" s="9021"/>
      <c r="BI55" s="9021"/>
      <c r="BJ55" s="9021"/>
      <c r="BK55" s="9021"/>
      <c r="BL55" s="9021"/>
      <c r="BM55" s="9021"/>
      <c r="BN55" s="9021"/>
      <c r="BO55" s="9021"/>
      <c r="BP55" s="9021"/>
      <c r="BQ55" s="9021"/>
      <c r="BR55" s="9021"/>
      <c r="BS55" s="9021"/>
      <c r="BT55" s="9021"/>
      <c r="BU55" s="9021"/>
      <c r="BV55" s="9021"/>
      <c r="BW55" s="9021"/>
      <c r="BX55" s="9021"/>
      <c r="BY55" s="9021"/>
      <c r="BZ55" s="9021"/>
      <c r="CA55" s="9021"/>
      <c r="CB55" s="9021"/>
      <c r="CC55" s="9021"/>
      <c r="CD55" s="9021"/>
      <c r="CE55" s="9021"/>
      <c r="CF55" s="9021"/>
      <c r="CG55" s="9021"/>
      <c r="CH55" s="9021"/>
      <c r="CI55" s="9021"/>
      <c r="CJ55" s="9021"/>
      <c r="CK55" s="9021"/>
      <c r="CL55" s="9021"/>
      <c r="CM55" s="9021"/>
      <c r="CN55" s="9021"/>
      <c r="CO55" s="9021"/>
      <c r="CP55" s="9021"/>
      <c r="CQ55" s="9021"/>
      <c r="CR55" s="9021"/>
      <c r="CS55" s="9021"/>
      <c r="CT55" s="9021"/>
      <c r="CU55" s="9021"/>
      <c r="CV55" s="9021"/>
      <c r="CW55" s="9021"/>
      <c r="CX55" s="9021"/>
      <c r="CY55" s="9021"/>
      <c r="CZ55" s="9021"/>
      <c r="DA55" s="9021"/>
      <c r="DB55" s="9021"/>
      <c r="DC55" s="9021"/>
      <c r="DD55" s="9021"/>
      <c r="DE55" s="9021"/>
      <c r="DF55" s="1494"/>
      <c r="DG55" s="1494"/>
      <c r="DI55" s="959"/>
      <c r="DJ55" s="959" t="str">
        <f>IF(T55="","",T55)</f>
        <v>Добавить централизованную систему для дифференциации</v>
      </c>
      <c r="DK55" s="959"/>
      <c r="DL55" s="959"/>
      <c r="DM55" s="688">
        <v>1</v>
      </c>
    </row>
    <row s="11993" customFormat="1" customHeight="1" ht="1.05">
      <c r="A56" s="1513" t="s">
        <v>182</v>
      </c>
      <c r="B56" s="1513"/>
      <c r="C56" s="1513"/>
      <c r="D56" s="1513"/>
      <c r="E56" s="2428"/>
      <c r="F56" s="1513"/>
      <c r="G56" s="1513"/>
      <c r="H56" s="1513"/>
      <c r="I56" s="1513"/>
      <c r="J56" s="1513"/>
      <c r="K56" s="1513"/>
      <c r="L56" s="1516"/>
      <c r="M56" s="1491"/>
      <c r="N56" s="1491"/>
      <c r="O56" s="688"/>
      <c r="P56" s="550"/>
      <c r="Q56" s="1514"/>
      <c r="R56" s="550"/>
      <c r="S56" s="1492"/>
      <c r="T56" s="1495" t="s">
        <v>167</v>
      </c>
      <c r="U56" s="1494"/>
      <c r="V56" s="1494"/>
      <c r="W56" s="1494"/>
      <c r="X56" s="1494"/>
      <c r="Y56" s="1494"/>
      <c r="Z56" s="1494"/>
      <c r="AA56" s="1494"/>
      <c r="AB56" s="1494"/>
      <c r="AC56" s="1494"/>
      <c r="AD56" s="1494"/>
      <c r="AE56" s="1494"/>
      <c r="AF56" s="1494"/>
      <c r="AG56" s="1494"/>
      <c r="AH56" s="1494"/>
      <c r="AI56" s="1494"/>
      <c r="AJ56" s="1494"/>
      <c r="AK56" s="1494"/>
      <c r="AL56" s="9021"/>
      <c r="AM56" s="9021"/>
      <c r="AN56" s="9021"/>
      <c r="AO56" s="9021"/>
      <c r="AP56" s="9021"/>
      <c r="AQ56" s="9021"/>
      <c r="AR56" s="9021"/>
      <c r="AS56" s="9021"/>
      <c r="AT56" s="9021"/>
      <c r="AU56" s="9021"/>
      <c r="AV56" s="9021"/>
      <c r="AW56" s="9021"/>
      <c r="AX56" s="9021"/>
      <c r="AY56" s="9021"/>
      <c r="AZ56" s="9021"/>
      <c r="BA56" s="9021"/>
      <c r="BB56" s="9021"/>
      <c r="BC56" s="9021"/>
      <c r="BD56" s="9021"/>
      <c r="BE56" s="9021"/>
      <c r="BF56" s="9021"/>
      <c r="BG56" s="9021"/>
      <c r="BH56" s="9021"/>
      <c r="BI56" s="9021"/>
      <c r="BJ56" s="9021"/>
      <c r="BK56" s="9021"/>
      <c r="BL56" s="9021"/>
      <c r="BM56" s="9021"/>
      <c r="BN56" s="9021"/>
      <c r="BO56" s="9021"/>
      <c r="BP56" s="9021"/>
      <c r="BQ56" s="9021"/>
      <c r="BR56" s="9021"/>
      <c r="BS56" s="9021"/>
      <c r="BT56" s="9021"/>
      <c r="BU56" s="9021"/>
      <c r="BV56" s="9021"/>
      <c r="BW56" s="9021"/>
      <c r="BX56" s="9021"/>
      <c r="BY56" s="9021"/>
      <c r="BZ56" s="9021"/>
      <c r="CA56" s="9021"/>
      <c r="CB56" s="9021"/>
      <c r="CC56" s="9021"/>
      <c r="CD56" s="9021"/>
      <c r="CE56" s="9021"/>
      <c r="CF56" s="9021"/>
      <c r="CG56" s="9021"/>
      <c r="CH56" s="9021"/>
      <c r="CI56" s="9021"/>
      <c r="CJ56" s="9021"/>
      <c r="CK56" s="9021"/>
      <c r="CL56" s="9021"/>
      <c r="CM56" s="9021"/>
      <c r="CN56" s="9021"/>
      <c r="CO56" s="9021"/>
      <c r="CP56" s="9021"/>
      <c r="CQ56" s="9021"/>
      <c r="CR56" s="9021"/>
      <c r="CS56" s="9021"/>
      <c r="CT56" s="9021"/>
      <c r="CU56" s="9021"/>
      <c r="CV56" s="9021"/>
      <c r="CW56" s="9021"/>
      <c r="CX56" s="9021"/>
      <c r="CY56" s="9021"/>
      <c r="CZ56" s="9021"/>
      <c r="DA56" s="9021"/>
      <c r="DB56" s="9021"/>
      <c r="DC56" s="9021"/>
      <c r="DD56" s="9021"/>
      <c r="DE56" s="9021"/>
      <c r="DF56" s="1494"/>
      <c r="DG56" s="1494"/>
      <c r="DI56" s="670"/>
      <c r="DJ56" s="670" t="str">
        <f>IF(T56="","",T56)</f>
        <v>Добавить территорию для дифференциации</v>
      </c>
      <c r="DK56" s="670"/>
      <c r="DL56" s="670"/>
      <c r="DM56" s="681">
        <v>1</v>
      </c>
    </row>
    <row s="11993" customFormat="1" customHeight="1" ht="1.05">
      <c r="A57" s="1484"/>
      <c r="B57" s="1484"/>
      <c r="C57" s="1484"/>
      <c r="D57" s="1484"/>
      <c r="E57" s="1513"/>
      <c r="F57" s="1484"/>
      <c r="G57" s="1484"/>
      <c r="H57" s="1484"/>
      <c r="I57" s="1484"/>
      <c r="J57" s="1484"/>
      <c r="K57" s="1484"/>
      <c r="L57" s="1509"/>
      <c r="M57" s="1491"/>
      <c r="N57" s="1491"/>
      <c r="P57" s="1486"/>
      <c r="Q57" s="1487"/>
      <c r="R57" s="1486"/>
      <c r="S57" s="1492"/>
      <c r="T57" s="1495" t="s">
        <v>168</v>
      </c>
      <c r="U57" s="1494"/>
      <c r="V57" s="1494"/>
      <c r="W57" s="1494"/>
      <c r="X57" s="1494"/>
      <c r="Y57" s="1494"/>
      <c r="Z57" s="1494"/>
      <c r="AA57" s="1494"/>
      <c r="AB57" s="1494"/>
      <c r="AC57" s="1494"/>
      <c r="AD57" s="1494"/>
      <c r="AE57" s="1494"/>
      <c r="AF57" s="1494"/>
      <c r="AG57" s="1494"/>
      <c r="AH57" s="1494"/>
      <c r="AI57" s="1494"/>
      <c r="AJ57" s="1494"/>
      <c r="AK57" s="1494"/>
      <c r="AL57" s="9021"/>
      <c r="AM57" s="9021"/>
      <c r="AN57" s="9021"/>
      <c r="AO57" s="9021"/>
      <c r="AP57" s="9021"/>
      <c r="AQ57" s="9021"/>
      <c r="AR57" s="9021"/>
      <c r="AS57" s="9021"/>
      <c r="AT57" s="9021"/>
      <c r="AU57" s="9021"/>
      <c r="AV57" s="9021"/>
      <c r="AW57" s="9021"/>
      <c r="AX57" s="9021"/>
      <c r="AY57" s="9021"/>
      <c r="AZ57" s="9021"/>
      <c r="BA57" s="9021"/>
      <c r="BB57" s="9021"/>
      <c r="BC57" s="9021"/>
      <c r="BD57" s="9021"/>
      <c r="BE57" s="9021"/>
      <c r="BF57" s="9021"/>
      <c r="BG57" s="9021"/>
      <c r="BH57" s="9021"/>
      <c r="BI57" s="9021"/>
      <c r="BJ57" s="9021"/>
      <c r="BK57" s="9021"/>
      <c r="BL57" s="9021"/>
      <c r="BM57" s="9021"/>
      <c r="BN57" s="9021"/>
      <c r="BO57" s="9021"/>
      <c r="BP57" s="9021"/>
      <c r="BQ57" s="9021"/>
      <c r="BR57" s="9021"/>
      <c r="BS57" s="9021"/>
      <c r="BT57" s="9021"/>
      <c r="BU57" s="9021"/>
      <c r="BV57" s="9021"/>
      <c r="BW57" s="9021"/>
      <c r="BX57" s="9021"/>
      <c r="BY57" s="9021"/>
      <c r="BZ57" s="9021"/>
      <c r="CA57" s="9021"/>
      <c r="CB57" s="9021"/>
      <c r="CC57" s="9021"/>
      <c r="CD57" s="9021"/>
      <c r="CE57" s="9021"/>
      <c r="CF57" s="9021"/>
      <c r="CG57" s="9021"/>
      <c r="CH57" s="9021"/>
      <c r="CI57" s="9021"/>
      <c r="CJ57" s="9021"/>
      <c r="CK57" s="9021"/>
      <c r="CL57" s="9021"/>
      <c r="CM57" s="9021"/>
      <c r="CN57" s="9021"/>
      <c r="CO57" s="9021"/>
      <c r="CP57" s="9021"/>
      <c r="CQ57" s="9021"/>
      <c r="CR57" s="9021"/>
      <c r="CS57" s="9021"/>
      <c r="CT57" s="9021"/>
      <c r="CU57" s="9021"/>
      <c r="CV57" s="9021"/>
      <c r="CW57" s="9021"/>
      <c r="CX57" s="9021"/>
      <c r="CY57" s="9021"/>
      <c r="CZ57" s="9021"/>
      <c r="DA57" s="9021"/>
      <c r="DB57" s="9021"/>
      <c r="DC57" s="9021"/>
      <c r="DD57" s="9021"/>
      <c r="DE57" s="9021"/>
      <c r="DF57" s="1494"/>
      <c r="DG57" s="1494"/>
      <c r="DI57" s="959"/>
      <c r="DJ57" s="959" t="str">
        <f>IF(T57="","",T57)</f>
        <v>Добавить наименование тарифа</v>
      </c>
      <c r="DK57" s="959"/>
      <c r="DL57" s="959"/>
      <c r="DM57" s="688">
        <v>1</v>
      </c>
    </row>
    <row customHeight="1" ht="11.549999999999999">
      <c r="M58" s="1330"/>
      <c r="N58" s="1330"/>
      <c r="O58" s="707"/>
      <c r="P58" s="1325"/>
      <c r="Q58" s="1325"/>
      <c r="R58" s="1325"/>
      <c r="S58" s="1325"/>
      <c r="AL58" s="8724"/>
      <c r="AM58" s="8724"/>
      <c r="AN58" s="8724"/>
      <c r="AO58" s="8724"/>
      <c r="AP58" s="8724"/>
      <c r="AQ58" s="8724"/>
      <c r="AR58" s="8724"/>
      <c r="AS58" s="8724"/>
      <c r="AT58" s="8724"/>
      <c r="AU58" s="8724"/>
      <c r="AV58" s="8724"/>
      <c r="AW58" s="8724"/>
      <c r="AX58" s="8724"/>
      <c r="AY58" s="8724"/>
      <c r="AZ58" s="8724"/>
      <c r="BA58" s="8724"/>
      <c r="BB58" s="8724"/>
      <c r="BC58" s="8724"/>
      <c r="BD58" s="8724"/>
      <c r="BE58" s="8724"/>
      <c r="BF58" s="8724"/>
      <c r="BG58" s="8724"/>
      <c r="BH58" s="8724"/>
      <c r="BI58" s="8724"/>
      <c r="BJ58" s="8724"/>
      <c r="BK58" s="8724"/>
      <c r="BL58" s="8724"/>
      <c r="BM58" s="8724"/>
      <c r="BN58" s="8724"/>
      <c r="BO58" s="8724"/>
      <c r="BP58" s="8724"/>
      <c r="BQ58" s="8724"/>
      <c r="BR58" s="8724"/>
      <c r="BS58" s="8724"/>
      <c r="BT58" s="8724"/>
      <c r="BU58" s="8724"/>
      <c r="BV58" s="8724"/>
      <c r="BW58" s="8724"/>
      <c r="BX58" s="8724"/>
      <c r="BY58" s="8724"/>
      <c r="BZ58" s="8724"/>
      <c r="CA58" s="8724"/>
      <c r="CB58" s="8724"/>
      <c r="CC58" s="8724"/>
      <c r="CD58" s="8724"/>
      <c r="CE58" s="8724"/>
      <c r="CF58" s="8724"/>
      <c r="CG58" s="8724"/>
      <c r="CH58" s="8724"/>
      <c r="CI58" s="8724"/>
      <c r="CJ58" s="8724"/>
      <c r="CK58" s="8724"/>
      <c r="CL58" s="8724"/>
      <c r="CM58" s="8724"/>
      <c r="CN58" s="8724"/>
      <c r="CO58" s="8724"/>
      <c r="CP58" s="8724"/>
      <c r="CQ58" s="8724"/>
      <c r="CR58" s="8724"/>
      <c r="CS58" s="8724"/>
      <c r="CT58" s="8724"/>
      <c r="CU58" s="8724"/>
      <c r="CV58" s="8724"/>
      <c r="CW58" s="8724"/>
      <c r="CX58" s="8724"/>
      <c r="CY58" s="8724"/>
      <c r="CZ58" s="8724"/>
      <c r="DA58" s="8724"/>
      <c r="DB58" s="8724"/>
      <c r="DC58" s="8724"/>
      <c r="DD58" s="8724"/>
      <c r="DE58" s="8724"/>
      <c r="DH58" s="1325"/>
      <c r="DI58" s="1325"/>
      <c r="DJ58" s="1325"/>
      <c r="DK58" s="1325"/>
      <c r="DL58" s="1325"/>
      <c r="DM58" s="1325">
        <v>11</v>
      </c>
    </row>
    <row customHeight="1" ht="19.95">
      <c r="O59" s="707"/>
      <c r="S59" s="1423"/>
      <c r="T59" s="2455"/>
      <c r="U59" s="2455"/>
      <c r="V59" s="2455"/>
      <c r="W59" s="2455"/>
      <c r="X59" s="2455"/>
      <c r="Y59" s="2455"/>
      <c r="Z59" s="2455"/>
      <c r="AA59" s="2455"/>
      <c r="AB59" s="2455"/>
      <c r="AC59" s="2455"/>
      <c r="AD59" s="2455"/>
      <c r="AE59" s="2455"/>
      <c r="AF59" s="2455"/>
      <c r="AG59" s="2455"/>
      <c r="AH59" s="2455"/>
      <c r="AI59" s="2455"/>
      <c r="AJ59" s="2455"/>
      <c r="AK59" s="2455"/>
      <c r="AL59" s="9350"/>
      <c r="AM59" s="9350"/>
      <c r="AN59" s="9350"/>
      <c r="AO59" s="9350"/>
      <c r="AP59" s="9350"/>
      <c r="AQ59" s="9350"/>
      <c r="AR59" s="9350"/>
      <c r="AS59" s="9350"/>
      <c r="AT59" s="9350"/>
      <c r="AU59" s="9350"/>
      <c r="AV59" s="9350"/>
      <c r="AW59" s="9350"/>
      <c r="AX59" s="9350"/>
      <c r="AY59" s="9350"/>
      <c r="AZ59" s="9350"/>
      <c r="BA59" s="9350"/>
      <c r="BB59" s="9350"/>
      <c r="BC59" s="9350"/>
      <c r="BD59" s="9350"/>
      <c r="BE59" s="9350"/>
      <c r="BF59" s="9350"/>
      <c r="BG59" s="9350"/>
      <c r="BH59" s="9350"/>
      <c r="BI59" s="9350"/>
      <c r="BJ59" s="9350"/>
      <c r="BK59" s="9350"/>
      <c r="BL59" s="9350"/>
      <c r="BM59" s="9350"/>
      <c r="BN59" s="9350"/>
      <c r="BO59" s="9350"/>
      <c r="BP59" s="9350"/>
      <c r="BQ59" s="9350"/>
      <c r="BR59" s="9350"/>
      <c r="BS59" s="9350"/>
      <c r="BT59" s="9350"/>
      <c r="BU59" s="9350"/>
      <c r="BV59" s="9350"/>
      <c r="BW59" s="9350"/>
      <c r="BX59" s="9350"/>
      <c r="BY59" s="9350"/>
      <c r="BZ59" s="9350"/>
      <c r="CA59" s="9350"/>
      <c r="CB59" s="9350"/>
      <c r="CC59" s="9350"/>
      <c r="CD59" s="9350"/>
      <c r="CE59" s="9350"/>
      <c r="CF59" s="9350"/>
      <c r="CG59" s="9350"/>
      <c r="CH59" s="9350"/>
      <c r="CI59" s="9350"/>
      <c r="CJ59" s="9350"/>
      <c r="CK59" s="9350"/>
      <c r="CL59" s="9350"/>
      <c r="CM59" s="9350"/>
      <c r="CN59" s="9350"/>
      <c r="CO59" s="9350"/>
      <c r="CP59" s="9350"/>
      <c r="CQ59" s="9350"/>
      <c r="CR59" s="9350"/>
      <c r="CS59" s="9350"/>
      <c r="CT59" s="9350"/>
      <c r="CU59" s="9350"/>
      <c r="CV59" s="9350"/>
      <c r="CW59" s="9350"/>
      <c r="CX59" s="9350"/>
      <c r="CY59" s="9350"/>
      <c r="CZ59" s="9350"/>
      <c r="DA59" s="9350"/>
      <c r="DB59" s="9350"/>
      <c r="DC59" s="9350"/>
      <c r="DD59" s="9350"/>
      <c r="DE59" s="9350"/>
      <c r="DF59" s="2455"/>
      <c r="DG59" s="2455"/>
      <c r="DM59" s="1325">
        <v>19</v>
      </c>
    </row>
    <row customHeight="1" ht="29.25">
      <c r="O60" s="707"/>
      <c r="T60" s="2455"/>
      <c r="U60" s="2455"/>
      <c r="V60" s="2455"/>
      <c r="W60" s="2455"/>
      <c r="X60" s="2455"/>
      <c r="Y60" s="2455"/>
      <c r="Z60" s="2455"/>
      <c r="AA60" s="2455"/>
      <c r="AB60" s="2455"/>
      <c r="AC60" s="2455"/>
      <c r="AD60" s="2455"/>
      <c r="AE60" s="2455"/>
      <c r="AF60" s="2455"/>
      <c r="AG60" s="2455"/>
      <c r="AH60" s="2455"/>
      <c r="AI60" s="2455"/>
      <c r="AJ60" s="2455"/>
      <c r="AK60" s="2455"/>
      <c r="AL60" s="9350"/>
      <c r="AM60" s="9350"/>
      <c r="AN60" s="9350"/>
      <c r="AO60" s="9350"/>
      <c r="AP60" s="9350"/>
      <c r="AQ60" s="9350"/>
      <c r="AR60" s="9350"/>
      <c r="AS60" s="9350"/>
      <c r="AT60" s="9350"/>
      <c r="AU60" s="9350"/>
      <c r="AV60" s="9350"/>
      <c r="AW60" s="9350"/>
      <c r="AX60" s="9350"/>
      <c r="AY60" s="9350"/>
      <c r="AZ60" s="9350"/>
      <c r="BA60" s="9350"/>
      <c r="BB60" s="9350"/>
      <c r="BC60" s="9350"/>
      <c r="BD60" s="9350"/>
      <c r="BE60" s="9350"/>
      <c r="BF60" s="9350"/>
      <c r="BG60" s="9350"/>
      <c r="BH60" s="9350"/>
      <c r="BI60" s="9350"/>
      <c r="BJ60" s="9350"/>
      <c r="BK60" s="9350"/>
      <c r="BL60" s="9350"/>
      <c r="BM60" s="9350"/>
      <c r="BN60" s="9350"/>
      <c r="BO60" s="9350"/>
      <c r="BP60" s="9350"/>
      <c r="BQ60" s="9350"/>
      <c r="BR60" s="9350"/>
      <c r="BS60" s="9350"/>
      <c r="BT60" s="9350"/>
      <c r="BU60" s="9350"/>
      <c r="BV60" s="9350"/>
      <c r="BW60" s="9350"/>
      <c r="BX60" s="9350"/>
      <c r="BY60" s="9350"/>
      <c r="BZ60" s="9350"/>
      <c r="CA60" s="9350"/>
      <c r="CB60" s="9350"/>
      <c r="CC60" s="9350"/>
      <c r="CD60" s="9350"/>
      <c r="CE60" s="9350"/>
      <c r="CF60" s="9350"/>
      <c r="CG60" s="9350"/>
      <c r="CH60" s="9350"/>
      <c r="CI60" s="9350"/>
      <c r="CJ60" s="9350"/>
      <c r="CK60" s="9350"/>
      <c r="CL60" s="9350"/>
      <c r="CM60" s="9350"/>
      <c r="CN60" s="9350"/>
      <c r="CO60" s="9350"/>
      <c r="CP60" s="9350"/>
      <c r="CQ60" s="9350"/>
      <c r="CR60" s="9350"/>
      <c r="CS60" s="9350"/>
      <c r="CT60" s="9350"/>
      <c r="CU60" s="9350"/>
      <c r="CV60" s="9350"/>
      <c r="CW60" s="9350"/>
      <c r="CX60" s="9350"/>
      <c r="CY60" s="9350"/>
      <c r="CZ60" s="9350"/>
      <c r="DA60" s="9350"/>
      <c r="DB60" s="9350"/>
      <c r="DC60" s="9350"/>
      <c r="DD60" s="9350"/>
      <c r="DE60" s="9350"/>
      <c r="DF60" s="2455"/>
      <c r="DG60" s="2455"/>
      <c r="DM60" s="1325">
        <v>28</v>
      </c>
    </row>
    <row customHeight="1" ht="42">
      <c r="O61" s="707"/>
      <c r="T61" s="2455"/>
      <c r="U61" s="2455"/>
      <c r="V61" s="2455"/>
      <c r="W61" s="2455"/>
      <c r="X61" s="2455"/>
      <c r="Y61" s="2455"/>
      <c r="Z61" s="2455"/>
      <c r="AA61" s="2455"/>
      <c r="AB61" s="2455"/>
      <c r="AC61" s="2455"/>
      <c r="AD61" s="2455"/>
      <c r="AE61" s="2455"/>
      <c r="AF61" s="2455"/>
      <c r="AG61" s="2455"/>
      <c r="AH61" s="2455"/>
      <c r="AI61" s="2455"/>
      <c r="AJ61" s="2455"/>
      <c r="AK61" s="2455"/>
      <c r="AL61" s="9350"/>
      <c r="AM61" s="9350"/>
      <c r="AN61" s="9350"/>
      <c r="AO61" s="9350"/>
      <c r="AP61" s="9350"/>
      <c r="AQ61" s="9350"/>
      <c r="AR61" s="9350"/>
      <c r="AS61" s="9350"/>
      <c r="AT61" s="9350"/>
      <c r="AU61" s="9350"/>
      <c r="AV61" s="9350"/>
      <c r="AW61" s="9350"/>
      <c r="AX61" s="9350"/>
      <c r="AY61" s="9350"/>
      <c r="AZ61" s="9350"/>
      <c r="BA61" s="9350"/>
      <c r="BB61" s="9350"/>
      <c r="BC61" s="9350"/>
      <c r="BD61" s="9350"/>
      <c r="BE61" s="9350"/>
      <c r="BF61" s="9350"/>
      <c r="BG61" s="9350"/>
      <c r="BH61" s="9350"/>
      <c r="BI61" s="9350"/>
      <c r="BJ61" s="9350"/>
      <c r="BK61" s="9350"/>
      <c r="BL61" s="9350"/>
      <c r="BM61" s="9350"/>
      <c r="BN61" s="9350"/>
      <c r="BO61" s="9350"/>
      <c r="BP61" s="9350"/>
      <c r="BQ61" s="9350"/>
      <c r="BR61" s="9350"/>
      <c r="BS61" s="9350"/>
      <c r="BT61" s="9350"/>
      <c r="BU61" s="9350"/>
      <c r="BV61" s="9350"/>
      <c r="BW61" s="9350"/>
      <c r="BX61" s="9350"/>
      <c r="BY61" s="9350"/>
      <c r="BZ61" s="9350"/>
      <c r="CA61" s="9350"/>
      <c r="CB61" s="9350"/>
      <c r="CC61" s="9350"/>
      <c r="CD61" s="9350"/>
      <c r="CE61" s="9350"/>
      <c r="CF61" s="9350"/>
      <c r="CG61" s="9350"/>
      <c r="CH61" s="9350"/>
      <c r="CI61" s="9350"/>
      <c r="CJ61" s="9350"/>
      <c r="CK61" s="9350"/>
      <c r="CL61" s="9350"/>
      <c r="CM61" s="9350"/>
      <c r="CN61" s="9350"/>
      <c r="CO61" s="9350"/>
      <c r="CP61" s="9350"/>
      <c r="CQ61" s="9350"/>
      <c r="CR61" s="9350"/>
      <c r="CS61" s="9350"/>
      <c r="CT61" s="9350"/>
      <c r="CU61" s="9350"/>
      <c r="CV61" s="9350"/>
      <c r="CW61" s="9350"/>
      <c r="CX61" s="9350"/>
      <c r="CY61" s="9350"/>
      <c r="CZ61" s="9350"/>
      <c r="DA61" s="9350"/>
      <c r="DB61" s="9350"/>
      <c r="DC61" s="9350"/>
      <c r="DD61" s="9350"/>
      <c r="DE61" s="9350"/>
      <c r="DF61" s="2455"/>
      <c r="DG61" s="2455"/>
      <c r="DM61" s="1325">
        <v>40</v>
      </c>
    </row>
    <row customHeight="1" ht="14.699999999999998">
      <c r="O62" s="707"/>
      <c r="AL62" s="8724"/>
      <c r="AM62" s="8724"/>
      <c r="AN62" s="8724"/>
      <c r="AO62" s="8724"/>
      <c r="AP62" s="8724"/>
      <c r="AQ62" s="8724"/>
      <c r="AR62" s="8724"/>
      <c r="AS62" s="8724"/>
      <c r="AT62" s="8724"/>
      <c r="AU62" s="8724"/>
      <c r="AV62" s="8724"/>
      <c r="AW62" s="8724"/>
      <c r="AX62" s="8724"/>
      <c r="AY62" s="8724"/>
      <c r="AZ62" s="8724"/>
      <c r="BA62" s="8724"/>
      <c r="BB62" s="8724"/>
      <c r="BC62" s="8724"/>
      <c r="BD62" s="8724"/>
      <c r="BE62" s="8724"/>
      <c r="BF62" s="8724"/>
      <c r="BG62" s="8724"/>
      <c r="BH62" s="8724"/>
      <c r="BI62" s="8724"/>
      <c r="BJ62" s="8724"/>
      <c r="BK62" s="8724"/>
      <c r="BL62" s="8724"/>
      <c r="BM62" s="8724"/>
      <c r="BN62" s="8724"/>
      <c r="BO62" s="8724"/>
      <c r="BP62" s="8724"/>
      <c r="BQ62" s="8724"/>
      <c r="BR62" s="8724"/>
      <c r="BS62" s="8724"/>
      <c r="BT62" s="8724"/>
      <c r="BU62" s="8724"/>
      <c r="BV62" s="8724"/>
      <c r="BW62" s="8724"/>
      <c r="BX62" s="8724"/>
      <c r="BY62" s="8724"/>
      <c r="BZ62" s="8724"/>
      <c r="CA62" s="8724"/>
      <c r="CB62" s="8724"/>
      <c r="CC62" s="8724"/>
      <c r="CD62" s="8724"/>
      <c r="CE62" s="8724"/>
      <c r="CF62" s="8724"/>
      <c r="CG62" s="8724"/>
      <c r="CH62" s="8724"/>
      <c r="CI62" s="8724"/>
      <c r="CJ62" s="8724"/>
      <c r="CK62" s="8724"/>
      <c r="CL62" s="8724"/>
      <c r="CM62" s="8724"/>
      <c r="CN62" s="8724"/>
      <c r="CO62" s="8724"/>
      <c r="CP62" s="8724"/>
      <c r="CQ62" s="8724"/>
      <c r="CR62" s="8724"/>
      <c r="CS62" s="8724"/>
      <c r="CT62" s="8724"/>
      <c r="CU62" s="8724"/>
      <c r="CV62" s="8724"/>
      <c r="CW62" s="8724"/>
      <c r="CX62" s="8724"/>
      <c r="CY62" s="8724"/>
      <c r="CZ62" s="8724"/>
      <c r="DA62" s="8724"/>
      <c r="DB62" s="8724"/>
      <c r="DC62" s="8724"/>
      <c r="DD62" s="8724"/>
      <c r="DE62" s="8724"/>
      <c r="DM62" s="1325">
        <v>14</v>
      </c>
    </row>
    <row customHeight="1" ht="21">
      <c r="O63" s="707"/>
      <c r="S63" s="1423"/>
      <c r="T63" s="2469"/>
      <c r="U63" s="2455"/>
      <c r="V63" s="2455"/>
      <c r="W63" s="2455"/>
      <c r="X63" s="2455"/>
      <c r="Y63" s="2455"/>
      <c r="Z63" s="2455"/>
      <c r="AA63" s="2455"/>
      <c r="AB63" s="2455"/>
      <c r="AC63" s="2455"/>
      <c r="AD63" s="2455"/>
      <c r="AE63" s="2455"/>
      <c r="AF63" s="2455"/>
      <c r="AG63" s="2455"/>
      <c r="AH63" s="2455"/>
      <c r="AI63" s="2455"/>
      <c r="AJ63" s="2455"/>
      <c r="AK63" s="2455"/>
      <c r="AL63" s="9350"/>
      <c r="AM63" s="9350"/>
      <c r="AN63" s="9350"/>
      <c r="AO63" s="9350"/>
      <c r="AP63" s="9350"/>
      <c r="AQ63" s="9350"/>
      <c r="AR63" s="9350"/>
      <c r="AS63" s="9350"/>
      <c r="AT63" s="9350"/>
      <c r="AU63" s="9350"/>
      <c r="AV63" s="9350"/>
      <c r="AW63" s="9350"/>
      <c r="AX63" s="9350"/>
      <c r="AY63" s="9350"/>
      <c r="AZ63" s="9350"/>
      <c r="BA63" s="9350"/>
      <c r="BB63" s="9350"/>
      <c r="BC63" s="9350"/>
      <c r="BD63" s="9350"/>
      <c r="BE63" s="9350"/>
      <c r="BF63" s="9350"/>
      <c r="BG63" s="9350"/>
      <c r="BH63" s="9350"/>
      <c r="BI63" s="9350"/>
      <c r="BJ63" s="9350"/>
      <c r="BK63" s="9350"/>
      <c r="BL63" s="9350"/>
      <c r="BM63" s="9350"/>
      <c r="BN63" s="9350"/>
      <c r="BO63" s="9350"/>
      <c r="BP63" s="9350"/>
      <c r="BQ63" s="9350"/>
      <c r="BR63" s="9350"/>
      <c r="BS63" s="9350"/>
      <c r="BT63" s="9350"/>
      <c r="BU63" s="9350"/>
      <c r="BV63" s="9350"/>
      <c r="BW63" s="9350"/>
      <c r="BX63" s="9350"/>
      <c r="BY63" s="9350"/>
      <c r="BZ63" s="9350"/>
      <c r="CA63" s="9350"/>
      <c r="CB63" s="9350"/>
      <c r="CC63" s="9350"/>
      <c r="CD63" s="9350"/>
      <c r="CE63" s="9350"/>
      <c r="CF63" s="9350"/>
      <c r="CG63" s="9350"/>
      <c r="CH63" s="9350"/>
      <c r="CI63" s="9350"/>
      <c r="CJ63" s="9350"/>
      <c r="CK63" s="9350"/>
      <c r="CL63" s="9350"/>
      <c r="CM63" s="9350"/>
      <c r="CN63" s="9350"/>
      <c r="CO63" s="9350"/>
      <c r="CP63" s="9350"/>
      <c r="CQ63" s="9350"/>
      <c r="CR63" s="9350"/>
      <c r="CS63" s="9350"/>
      <c r="CT63" s="9350"/>
      <c r="CU63" s="9350"/>
      <c r="CV63" s="9350"/>
      <c r="CW63" s="9350"/>
      <c r="CX63" s="9350"/>
      <c r="CY63" s="9350"/>
      <c r="CZ63" s="9350"/>
      <c r="DA63" s="9350"/>
      <c r="DB63" s="9350"/>
      <c r="DC63" s="9350"/>
      <c r="DD63" s="9350"/>
      <c r="DE63" s="9350"/>
      <c r="DF63" s="2455"/>
      <c r="DG63" s="2455"/>
      <c r="DM63" s="1325">
        <v>20</v>
      </c>
    </row>
    <row customHeight="1" ht="29.25">
      <c r="O64" s="707"/>
      <c r="T64" s="2455"/>
      <c r="U64" s="2455"/>
      <c r="V64" s="2455"/>
      <c r="W64" s="2455"/>
      <c r="X64" s="2455"/>
      <c r="Y64" s="2455"/>
      <c r="Z64" s="2455"/>
      <c r="AA64" s="2455"/>
      <c r="AB64" s="2455"/>
      <c r="AC64" s="2455"/>
      <c r="AD64" s="2455"/>
      <c r="AE64" s="2455"/>
      <c r="AF64" s="2455"/>
      <c r="AG64" s="2455"/>
      <c r="AH64" s="2455"/>
      <c r="AI64" s="2455"/>
      <c r="AJ64" s="2455"/>
      <c r="AK64" s="2455"/>
      <c r="AL64" s="9350"/>
      <c r="AM64" s="9350"/>
      <c r="AN64" s="9350"/>
      <c r="AO64" s="9350"/>
      <c r="AP64" s="9350"/>
      <c r="AQ64" s="9350"/>
      <c r="AR64" s="9350"/>
      <c r="AS64" s="9350"/>
      <c r="AT64" s="9350"/>
      <c r="AU64" s="9350"/>
      <c r="AV64" s="9350"/>
      <c r="AW64" s="9350"/>
      <c r="AX64" s="9350"/>
      <c r="AY64" s="9350"/>
      <c r="AZ64" s="9350"/>
      <c r="BA64" s="9350"/>
      <c r="BB64" s="9350"/>
      <c r="BC64" s="9350"/>
      <c r="BD64" s="9350"/>
      <c r="BE64" s="9350"/>
      <c r="BF64" s="9350"/>
      <c r="BG64" s="9350"/>
      <c r="BH64" s="9350"/>
      <c r="BI64" s="9350"/>
      <c r="BJ64" s="9350"/>
      <c r="BK64" s="9350"/>
      <c r="BL64" s="9350"/>
      <c r="BM64" s="9350"/>
      <c r="BN64" s="9350"/>
      <c r="BO64" s="9350"/>
      <c r="BP64" s="9350"/>
      <c r="BQ64" s="9350"/>
      <c r="BR64" s="9350"/>
      <c r="BS64" s="9350"/>
      <c r="BT64" s="9350"/>
      <c r="BU64" s="9350"/>
      <c r="BV64" s="9350"/>
      <c r="BW64" s="9350"/>
      <c r="BX64" s="9350"/>
      <c r="BY64" s="9350"/>
      <c r="BZ64" s="9350"/>
      <c r="CA64" s="9350"/>
      <c r="CB64" s="9350"/>
      <c r="CC64" s="9350"/>
      <c r="CD64" s="9350"/>
      <c r="CE64" s="9350"/>
      <c r="CF64" s="9350"/>
      <c r="CG64" s="9350"/>
      <c r="CH64" s="9350"/>
      <c r="CI64" s="9350"/>
      <c r="CJ64" s="9350"/>
      <c r="CK64" s="9350"/>
      <c r="CL64" s="9350"/>
      <c r="CM64" s="9350"/>
      <c r="CN64" s="9350"/>
      <c r="CO64" s="9350"/>
      <c r="CP64" s="9350"/>
      <c r="CQ64" s="9350"/>
      <c r="CR64" s="9350"/>
      <c r="CS64" s="9350"/>
      <c r="CT64" s="9350"/>
      <c r="CU64" s="9350"/>
      <c r="CV64" s="9350"/>
      <c r="CW64" s="9350"/>
      <c r="CX64" s="9350"/>
      <c r="CY64" s="9350"/>
      <c r="CZ64" s="9350"/>
      <c r="DA64" s="9350"/>
      <c r="DB64" s="9350"/>
      <c r="DC64" s="9350"/>
      <c r="DD64" s="9350"/>
      <c r="DE64" s="9350"/>
      <c r="DF64" s="2455"/>
      <c r="DG64" s="2455"/>
      <c r="DM64" s="1325">
        <v>28</v>
      </c>
    </row>
    <row customHeight="1" ht="35.699999999999996">
      <c r="T65" s="2455"/>
      <c r="U65" s="2455"/>
      <c r="V65" s="2455"/>
      <c r="W65" s="2455"/>
      <c r="X65" s="2455"/>
      <c r="Y65" s="2455"/>
      <c r="Z65" s="2455"/>
      <c r="AA65" s="2455"/>
      <c r="AB65" s="2455"/>
      <c r="AC65" s="2455"/>
      <c r="AD65" s="2455"/>
      <c r="AE65" s="2455"/>
      <c r="AF65" s="2455"/>
      <c r="AG65" s="2455"/>
      <c r="AH65" s="2455"/>
      <c r="AI65" s="2455"/>
      <c r="AJ65" s="2455"/>
      <c r="AK65" s="2455"/>
      <c r="AL65" s="9350"/>
      <c r="AM65" s="9350"/>
      <c r="AN65" s="9350"/>
      <c r="AO65" s="9350"/>
      <c r="AP65" s="9350"/>
      <c r="AQ65" s="9350"/>
      <c r="AR65" s="9350"/>
      <c r="AS65" s="9350"/>
      <c r="AT65" s="9350"/>
      <c r="AU65" s="9350"/>
      <c r="AV65" s="9350"/>
      <c r="AW65" s="9350"/>
      <c r="AX65" s="9350"/>
      <c r="AY65" s="9350"/>
      <c r="AZ65" s="9350"/>
      <c r="BA65" s="9350"/>
      <c r="BB65" s="9350"/>
      <c r="BC65" s="9350"/>
      <c r="BD65" s="9350"/>
      <c r="BE65" s="9350"/>
      <c r="BF65" s="9350"/>
      <c r="BG65" s="9350"/>
      <c r="BH65" s="9350"/>
      <c r="BI65" s="9350"/>
      <c r="BJ65" s="9350"/>
      <c r="BK65" s="9350"/>
      <c r="BL65" s="9350"/>
      <c r="BM65" s="9350"/>
      <c r="BN65" s="9350"/>
      <c r="BO65" s="9350"/>
      <c r="BP65" s="9350"/>
      <c r="BQ65" s="9350"/>
      <c r="BR65" s="9350"/>
      <c r="BS65" s="9350"/>
      <c r="BT65" s="9350"/>
      <c r="BU65" s="9350"/>
      <c r="BV65" s="9350"/>
      <c r="BW65" s="9350"/>
      <c r="BX65" s="9350"/>
      <c r="BY65" s="9350"/>
      <c r="BZ65" s="9350"/>
      <c r="CA65" s="9350"/>
      <c r="CB65" s="9350"/>
      <c r="CC65" s="9350"/>
      <c r="CD65" s="9350"/>
      <c r="CE65" s="9350"/>
      <c r="CF65" s="9350"/>
      <c r="CG65" s="9350"/>
      <c r="CH65" s="9350"/>
      <c r="CI65" s="9350"/>
      <c r="CJ65" s="9350"/>
      <c r="CK65" s="9350"/>
      <c r="CL65" s="9350"/>
      <c r="CM65" s="9350"/>
      <c r="CN65" s="9350"/>
      <c r="CO65" s="9350"/>
      <c r="CP65" s="9350"/>
      <c r="CQ65" s="9350"/>
      <c r="CR65" s="9350"/>
      <c r="CS65" s="9350"/>
      <c r="CT65" s="9350"/>
      <c r="CU65" s="9350"/>
      <c r="CV65" s="9350"/>
      <c r="CW65" s="9350"/>
      <c r="CX65" s="9350"/>
      <c r="CY65" s="9350"/>
      <c r="CZ65" s="9350"/>
      <c r="DA65" s="9350"/>
      <c r="DB65" s="9350"/>
      <c r="DC65" s="9350"/>
      <c r="DD65" s="9350"/>
      <c r="DE65" s="9350"/>
      <c r="DF65" s="2455"/>
      <c r="DG65" s="2455"/>
      <c r="DM65" s="1325">
        <v>34</v>
      </c>
    </row>
    <row customHeight="1" ht="22.5" hidden="1">
      <c r="A66" s="1330" t="s">
        <v>85</v>
      </c>
      <c r="B66" s="1330">
        <v>0</v>
      </c>
      <c r="C66" s="1330">
        <v>0</v>
      </c>
      <c r="D66" s="1330">
        <v>0</v>
      </c>
      <c r="E66" s="1330">
        <v>0</v>
      </c>
      <c r="F66" s="1330">
        <v>0</v>
      </c>
      <c r="G66" s="1330">
        <v>0</v>
      </c>
      <c r="H66" s="1330">
        <v>0</v>
      </c>
      <c r="I66" s="1330">
        <v>0</v>
      </c>
      <c r="J66" s="1330">
        <v>0</v>
      </c>
      <c r="K66" s="1330">
        <v>0</v>
      </c>
      <c r="L66" s="1499">
        <v>0</v>
      </c>
      <c r="M66" s="1532">
        <v>0</v>
      </c>
      <c r="N66" s="1532">
        <v>0</v>
      </c>
      <c r="O66" s="1532">
        <v>0</v>
      </c>
      <c r="P66" s="1498">
        <v>0</v>
      </c>
      <c r="Q66" s="514">
        <v>3</v>
      </c>
      <c r="R66" s="514">
        <v>3</v>
      </c>
      <c r="S66" s="751">
        <v>12</v>
      </c>
      <c r="T66" s="1325">
        <v>31</v>
      </c>
      <c r="U66" s="1325">
        <v>0</v>
      </c>
      <c r="V66" s="1325">
        <v>0</v>
      </c>
      <c r="W66" s="1325">
        <v>0</v>
      </c>
      <c r="X66" s="1325">
        <v>0</v>
      </c>
      <c r="Y66" s="1325">
        <v>0</v>
      </c>
      <c r="Z66" s="1325">
        <v>0</v>
      </c>
      <c r="AA66" s="1325">
        <v>0</v>
      </c>
      <c r="AB66" s="1325">
        <v>0</v>
      </c>
      <c r="AC66" s="1325">
        <v>0</v>
      </c>
      <c r="AD66" s="1325">
        <v>24</v>
      </c>
      <c r="AE66" s="1325">
        <v>0</v>
      </c>
      <c r="AF66" s="1325">
        <v>24</v>
      </c>
      <c r="AG66" s="1325">
        <v>24</v>
      </c>
      <c r="AH66" s="1325">
        <v>11</v>
      </c>
      <c r="AI66" s="1325">
        <v>3</v>
      </c>
      <c r="AJ66" s="1325">
        <v>11</v>
      </c>
      <c r="AK66" s="1325">
        <v>0</v>
      </c>
      <c r="AL66" s="8724">
        <v>0</v>
      </c>
      <c r="AM66" s="8724">
        <v>0</v>
      </c>
      <c r="AN66" s="8724">
        <v>0</v>
      </c>
      <c r="AO66" s="8724">
        <v>0</v>
      </c>
      <c r="AP66" s="8724">
        <v>0</v>
      </c>
      <c r="AQ66" s="8724">
        <v>0</v>
      </c>
      <c r="AR66" s="8724">
        <v>0</v>
      </c>
      <c r="AS66" s="8724">
        <v>0</v>
      </c>
      <c r="AT66" s="8724">
        <v>0</v>
      </c>
      <c r="AU66" s="8724">
        <v>0</v>
      </c>
      <c r="AV66" s="8724">
        <v>0</v>
      </c>
      <c r="AW66" s="8724">
        <v>0</v>
      </c>
      <c r="AX66" s="8724">
        <v>0</v>
      </c>
      <c r="AY66" s="8724">
        <v>0</v>
      </c>
      <c r="AZ66" s="8724">
        <v>0</v>
      </c>
      <c r="BA66" s="8724">
        <v>0</v>
      </c>
      <c r="BB66" s="8724">
        <v>0</v>
      </c>
      <c r="BC66" s="8724">
        <v>0</v>
      </c>
      <c r="BD66" s="8724">
        <v>0</v>
      </c>
      <c r="BE66" s="8724">
        <v>0</v>
      </c>
      <c r="BF66" s="8724">
        <v>0</v>
      </c>
      <c r="BG66" s="8724">
        <v>0</v>
      </c>
      <c r="BH66" s="8724">
        <v>0</v>
      </c>
      <c r="BI66" s="8724">
        <v>0</v>
      </c>
      <c r="BJ66" s="8724">
        <v>0</v>
      </c>
      <c r="BK66" s="8724">
        <v>0</v>
      </c>
      <c r="BL66" s="8724">
        <v>0</v>
      </c>
      <c r="BM66" s="8724">
        <v>0</v>
      </c>
      <c r="BN66" s="8724">
        <v>0</v>
      </c>
      <c r="BO66" s="8724">
        <v>0</v>
      </c>
      <c r="BP66" s="8724">
        <v>0</v>
      </c>
      <c r="BQ66" s="8724">
        <v>0</v>
      </c>
      <c r="BR66" s="8724">
        <v>0</v>
      </c>
      <c r="BS66" s="8724">
        <v>0</v>
      </c>
      <c r="BT66" s="8724">
        <v>0</v>
      </c>
      <c r="BU66" s="8724">
        <v>0</v>
      </c>
      <c r="BV66" s="8724">
        <v>0</v>
      </c>
      <c r="BW66" s="8724">
        <v>0</v>
      </c>
      <c r="BX66" s="8724">
        <v>0</v>
      </c>
      <c r="BY66" s="8724">
        <v>0</v>
      </c>
      <c r="BZ66" s="8724">
        <v>0</v>
      </c>
      <c r="CA66" s="8724">
        <v>0</v>
      </c>
      <c r="CB66" s="8724">
        <v>0</v>
      </c>
      <c r="CC66" s="8724">
        <v>0</v>
      </c>
      <c r="CD66" s="8724">
        <v>0</v>
      </c>
      <c r="CE66" s="8724">
        <v>0</v>
      </c>
      <c r="CF66" s="8724">
        <v>0</v>
      </c>
      <c r="CG66" s="8724">
        <v>0</v>
      </c>
      <c r="CH66" s="8724">
        <v>0</v>
      </c>
      <c r="CI66" s="8724">
        <v>0</v>
      </c>
      <c r="CJ66" s="8724">
        <v>0</v>
      </c>
      <c r="CK66" s="8724">
        <v>0</v>
      </c>
      <c r="CL66" s="8724">
        <v>0</v>
      </c>
      <c r="CM66" s="8724">
        <v>0</v>
      </c>
      <c r="CN66" s="8724">
        <v>0</v>
      </c>
      <c r="CO66" s="8724">
        <v>0</v>
      </c>
      <c r="CP66" s="8724">
        <v>0</v>
      </c>
      <c r="CQ66" s="8724">
        <v>0</v>
      </c>
      <c r="CR66" s="8724">
        <v>0</v>
      </c>
      <c r="CS66" s="8724">
        <v>0</v>
      </c>
      <c r="CT66" s="8724">
        <v>0</v>
      </c>
      <c r="CU66" s="8724">
        <v>0</v>
      </c>
      <c r="CV66" s="8724">
        <v>0</v>
      </c>
      <c r="CW66" s="8724">
        <v>0</v>
      </c>
      <c r="CX66" s="8724">
        <v>0</v>
      </c>
      <c r="CY66" s="8724">
        <v>0</v>
      </c>
      <c r="CZ66" s="8724">
        <v>0</v>
      </c>
      <c r="DA66" s="8724">
        <v>0</v>
      </c>
      <c r="DB66" s="8724">
        <v>0</v>
      </c>
      <c r="DC66" s="8724">
        <v>0</v>
      </c>
      <c r="DD66" s="8724">
        <v>0</v>
      </c>
      <c r="DE66" s="8724">
        <v>0</v>
      </c>
      <c r="DF66" s="1325">
        <v>4</v>
      </c>
      <c r="DG66" s="1325">
        <v>115</v>
      </c>
      <c r="DH66" s="681">
        <v>10</v>
      </c>
      <c r="DI66" s="681">
        <v>10</v>
      </c>
      <c r="DJ66" s="681">
        <v>10</v>
      </c>
      <c r="DK66" s="681">
        <v>10</v>
      </c>
      <c r="DL66" s="681">
        <v>10</v>
      </c>
      <c r="DM66" s="1325">
        <v>23</v>
      </c>
    </row>
  </sheetData>
  <sheetProtection formatColumns="0" formatRows="0" autoFilter="0" sort="0" insertRows="0" insertColumns="1" deleteRows="0" deleteColumns="0"/>
  <mergeCells count="320">
    <mergeCell ref="T64:DG64"/>
    <mergeCell ref="T65:DG65"/>
    <mergeCell ref="S35:T35"/>
    <mergeCell ref="V35:AB35"/>
    <mergeCell ref="AD35:AJ35"/>
    <mergeCell ref="S34:T34"/>
    <mergeCell ref="V34:AB34"/>
    <mergeCell ref="AD34:AJ34"/>
    <mergeCell ref="V2:AC2"/>
    <mergeCell ref="AD2:DF2"/>
    <mergeCell ref="V3:AC3"/>
    <mergeCell ref="AD3:DF3"/>
    <mergeCell ref="V4:AC4"/>
    <mergeCell ref="AD4:DF4"/>
    <mergeCell ref="V5:AC5"/>
    <mergeCell ref="AD5:DF5"/>
    <mergeCell ref="V6:AC6"/>
    <mergeCell ref="AD6:DF6"/>
    <mergeCell ref="V7:AC7"/>
    <mergeCell ref="AD7:DF7"/>
    <mergeCell ref="T63:DG63"/>
    <mergeCell ref="T61:DG61"/>
    <mergeCell ref="AJ49:AJ50"/>
    <mergeCell ref="AK49:AK50"/>
    <mergeCell ref="DG49:DG51"/>
    <mergeCell ref="T59:DG59"/>
    <mergeCell ref="T60:DG60"/>
    <mergeCell ref="AA42:AB42"/>
    <mergeCell ref="AI42:AJ42"/>
    <mergeCell ref="E43:E56"/>
    <mergeCell ref="V43:AC43"/>
    <mergeCell ref="AD43:DF43"/>
    <mergeCell ref="F44:F55"/>
    <mergeCell ref="V44:AC44"/>
    <mergeCell ref="AD44:DF44"/>
    <mergeCell ref="G45:G54"/>
    <mergeCell ref="V45:AC45"/>
    <mergeCell ref="AD45:DF45"/>
    <mergeCell ref="H46:H53"/>
    <mergeCell ref="V46:AC46"/>
    <mergeCell ref="AD46:DF46"/>
    <mergeCell ref="P47:P52"/>
    <mergeCell ref="J48:J51"/>
    <mergeCell ref="Q48:Q51"/>
    <mergeCell ref="V48:AC48"/>
    <mergeCell ref="AD48:DF48"/>
    <mergeCell ref="K49:K50"/>
    <mergeCell ref="Z49:Z50"/>
    <mergeCell ref="DG38:DG41"/>
    <mergeCell ref="S39:S41"/>
    <mergeCell ref="T39:T41"/>
    <mergeCell ref="V39:AB39"/>
    <mergeCell ref="AC39:AC41"/>
    <mergeCell ref="AD39:AJ39"/>
    <mergeCell ref="AK39:AK41"/>
    <mergeCell ref="DF39:DF41"/>
    <mergeCell ref="V40:V41"/>
    <mergeCell ref="W40:W41"/>
    <mergeCell ref="X40:Y40"/>
    <mergeCell ref="Z40:AB40"/>
    <mergeCell ref="AD40:AD41"/>
    <mergeCell ref="DG8:DG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DF38"/>
    <mergeCell ref="S26:AJ26"/>
    <mergeCell ref="S27:AJ27"/>
    <mergeCell ref="AC49:AC50"/>
    <mergeCell ref="AA49:AA50"/>
    <mergeCell ref="AB49:AB50"/>
    <mergeCell ref="AH49:AH50"/>
    <mergeCell ref="AI49:AI50"/>
    <mergeCell ref="V47:AC47"/>
    <mergeCell ref="AD47:DF47"/>
    <mergeCell ref="AD31:AJ31"/>
    <mergeCell ref="AD32:AJ32"/>
    <mergeCell ref="AE40:AE41"/>
    <mergeCell ref="AF40:AG40"/>
    <mergeCell ref="AH40:AJ40"/>
    <mergeCell ref="AI41:AJ41"/>
    <mergeCell ref="AD37:AK37"/>
    <mergeCell ref="AL35:AR35"/>
    <mergeCell ref="AL34:AR34"/>
    <mergeCell ref="AP8:AP9"/>
    <mergeCell ref="AQ8:AQ9"/>
    <mergeCell ref="AR8:AR9"/>
    <mergeCell ref="AS8:AS9"/>
    <mergeCell ref="AL29:AR29"/>
    <mergeCell ref="AL30:AR30"/>
    <mergeCell ref="AL31:AR31"/>
    <mergeCell ref="AL32:AR32"/>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T35:AZ35"/>
    <mergeCell ref="AT34:AZ34"/>
    <mergeCell ref="AX8:AX9"/>
    <mergeCell ref="AY8:AY9"/>
    <mergeCell ref="AZ8:AZ9"/>
    <mergeCell ref="BA8:BA9"/>
    <mergeCell ref="AT29:AZ29"/>
    <mergeCell ref="AT30:AZ30"/>
    <mergeCell ref="AT31:AZ31"/>
    <mergeCell ref="AT32:AZ32"/>
    <mergeCell ref="AT37:BA37"/>
    <mergeCell ref="AT39:AZ39"/>
    <mergeCell ref="BA39:BA41"/>
    <mergeCell ref="AT40:AT41"/>
    <mergeCell ref="AU40:AU41"/>
    <mergeCell ref="AV40:AW40"/>
    <mergeCell ref="AX40:AZ40"/>
    <mergeCell ref="AY41:AZ41"/>
    <mergeCell ref="AY42:AZ42"/>
    <mergeCell ref="AX49:AX50"/>
    <mergeCell ref="AY49:AY50"/>
    <mergeCell ref="AZ49:AZ50"/>
    <mergeCell ref="BA49:BA50"/>
    <mergeCell ref="BB35:BH35"/>
    <mergeCell ref="BB34:BH34"/>
    <mergeCell ref="BF8:BF9"/>
    <mergeCell ref="BG8:BG9"/>
    <mergeCell ref="BH8:BH9"/>
    <mergeCell ref="BI8:BI9"/>
    <mergeCell ref="BB29:BH29"/>
    <mergeCell ref="BB30:BH30"/>
    <mergeCell ref="BB31:BH31"/>
    <mergeCell ref="BB32:BH32"/>
    <mergeCell ref="BB37:BI37"/>
    <mergeCell ref="BB39:BH39"/>
    <mergeCell ref="BI39:BI41"/>
    <mergeCell ref="BB40:BB41"/>
    <mergeCell ref="BC40:BC41"/>
    <mergeCell ref="BD40:BE40"/>
    <mergeCell ref="BF40:BH40"/>
    <mergeCell ref="BG41:BH41"/>
    <mergeCell ref="BG42:BH42"/>
    <mergeCell ref="BF49:BF50"/>
    <mergeCell ref="BG49:BG50"/>
    <mergeCell ref="BH49:BH50"/>
    <mergeCell ref="BI49:BI50"/>
    <mergeCell ref="BJ35:BP35"/>
    <mergeCell ref="BJ34:BP34"/>
    <mergeCell ref="BN8:BN9"/>
    <mergeCell ref="BO8:BO9"/>
    <mergeCell ref="BP8:BP9"/>
    <mergeCell ref="BQ8:BQ9"/>
    <mergeCell ref="BJ29:BP29"/>
    <mergeCell ref="BJ30:BP30"/>
    <mergeCell ref="BJ31:BP31"/>
    <mergeCell ref="BJ32:BP32"/>
    <mergeCell ref="BJ37:BQ37"/>
    <mergeCell ref="BJ39:BP39"/>
    <mergeCell ref="BQ39:BQ41"/>
    <mergeCell ref="BJ40:BJ41"/>
    <mergeCell ref="BK40:BK41"/>
    <mergeCell ref="BL40:BM40"/>
    <mergeCell ref="BN40:BP40"/>
    <mergeCell ref="BO41:BP41"/>
    <mergeCell ref="BO42:BP42"/>
    <mergeCell ref="BN49:BN50"/>
    <mergeCell ref="BO49:BO50"/>
    <mergeCell ref="BP49:BP50"/>
    <mergeCell ref="BQ49:BQ50"/>
    <mergeCell ref="BR35:BX35"/>
    <mergeCell ref="BR34:BX34"/>
    <mergeCell ref="BV8:BV9"/>
    <mergeCell ref="BW8:BW9"/>
    <mergeCell ref="BX8:BX9"/>
    <mergeCell ref="BY8:BY9"/>
    <mergeCell ref="BR29:BX29"/>
    <mergeCell ref="BR30:BX30"/>
    <mergeCell ref="BR31:BX31"/>
    <mergeCell ref="BR32:BX32"/>
    <mergeCell ref="BR37:BY37"/>
    <mergeCell ref="BR39:BX39"/>
    <mergeCell ref="BY39:BY41"/>
    <mergeCell ref="BR40:BR41"/>
    <mergeCell ref="BS40:BS41"/>
    <mergeCell ref="BT40:BU40"/>
    <mergeCell ref="BV40:BX40"/>
    <mergeCell ref="BW41:BX41"/>
    <mergeCell ref="BW42:BX42"/>
    <mergeCell ref="BV49:BV50"/>
    <mergeCell ref="BW49:BW50"/>
    <mergeCell ref="BX49:BX50"/>
    <mergeCell ref="BY49:BY50"/>
    <mergeCell ref="BZ35:CF35"/>
    <mergeCell ref="BZ34:CF34"/>
    <mergeCell ref="CD8:CD9"/>
    <mergeCell ref="CE8:CE9"/>
    <mergeCell ref="CF8:CF9"/>
    <mergeCell ref="CG8:CG9"/>
    <mergeCell ref="BZ29:CF29"/>
    <mergeCell ref="BZ30:CF30"/>
    <mergeCell ref="BZ31:CF31"/>
    <mergeCell ref="BZ32:CF32"/>
    <mergeCell ref="BZ37:CG37"/>
    <mergeCell ref="BZ39:CF39"/>
    <mergeCell ref="CG39:CG41"/>
    <mergeCell ref="BZ40:BZ41"/>
    <mergeCell ref="CA40:CA41"/>
    <mergeCell ref="CB40:CC40"/>
    <mergeCell ref="CD40:CF40"/>
    <mergeCell ref="CE41:CF41"/>
    <mergeCell ref="CE42:CF42"/>
    <mergeCell ref="CD49:CD50"/>
    <mergeCell ref="CE49:CE50"/>
    <mergeCell ref="CF49:CF50"/>
    <mergeCell ref="CG49:CG50"/>
    <mergeCell ref="CH35:CN35"/>
    <mergeCell ref="CH34:CN34"/>
    <mergeCell ref="CL8:CL9"/>
    <mergeCell ref="CM8:CM9"/>
    <mergeCell ref="CN8:CN9"/>
    <mergeCell ref="CO8:CO9"/>
    <mergeCell ref="CH29:CN29"/>
    <mergeCell ref="CH30:CN30"/>
    <mergeCell ref="CH31:CN31"/>
    <mergeCell ref="CH32:CN32"/>
    <mergeCell ref="CH37:CO37"/>
    <mergeCell ref="CH39:CN39"/>
    <mergeCell ref="CO39:CO41"/>
    <mergeCell ref="CH40:CH41"/>
    <mergeCell ref="CI40:CI41"/>
    <mergeCell ref="CJ40:CK40"/>
    <mergeCell ref="CL40:CN40"/>
    <mergeCell ref="CM41:CN41"/>
    <mergeCell ref="CM42:CN42"/>
    <mergeCell ref="CL49:CL50"/>
    <mergeCell ref="CM49:CM50"/>
    <mergeCell ref="CN49:CN50"/>
    <mergeCell ref="CO49:CO50"/>
    <mergeCell ref="CP35:CV35"/>
    <mergeCell ref="CP34:CV34"/>
    <mergeCell ref="CT8:CT9"/>
    <mergeCell ref="CU8:CU9"/>
    <mergeCell ref="CV8:CV9"/>
    <mergeCell ref="CW8:CW9"/>
    <mergeCell ref="CP29:CV29"/>
    <mergeCell ref="CP30:CV30"/>
    <mergeCell ref="CP31:CV31"/>
    <mergeCell ref="CP32:CV32"/>
    <mergeCell ref="CP37:CW37"/>
    <mergeCell ref="CP39:CV39"/>
    <mergeCell ref="CW39:CW41"/>
    <mergeCell ref="CP40:CP41"/>
    <mergeCell ref="CQ40:CQ41"/>
    <mergeCell ref="CR40:CS40"/>
    <mergeCell ref="CT40:CV40"/>
    <mergeCell ref="CU41:CV41"/>
    <mergeCell ref="CU42:CV42"/>
    <mergeCell ref="CT49:CT50"/>
    <mergeCell ref="CU49:CU50"/>
    <mergeCell ref="CV49:CV50"/>
    <mergeCell ref="CW49:CW50"/>
    <mergeCell ref="CX35:DD35"/>
    <mergeCell ref="CX34:DD34"/>
    <mergeCell ref="DB8:DB9"/>
    <mergeCell ref="DC8:DC9"/>
    <mergeCell ref="DD8:DD9"/>
    <mergeCell ref="DE8:DE9"/>
    <mergeCell ref="CX29:DD29"/>
    <mergeCell ref="CX30:DD30"/>
    <mergeCell ref="CX31:DD31"/>
    <mergeCell ref="CX32:DD32"/>
    <mergeCell ref="CX37:DE37"/>
    <mergeCell ref="CX39:DD39"/>
    <mergeCell ref="DE39:DE41"/>
    <mergeCell ref="CX40:CX41"/>
    <mergeCell ref="CY40:CY41"/>
    <mergeCell ref="CZ40:DA40"/>
    <mergeCell ref="DB40:DD40"/>
    <mergeCell ref="DC41:DD41"/>
    <mergeCell ref="DC42:DD42"/>
    <mergeCell ref="DB49:DB50"/>
    <mergeCell ref="DC49:DC50"/>
    <mergeCell ref="DD49:DD50"/>
    <mergeCell ref="DE49:DE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O9 AO50 AW9 AW50 BE9 BE50 BM9 BM50 BU9 BU50 CC9 CC50 CK9 CK50 CS9 CS50 DA9 DA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DE393265 AK49 AQ49 AS49 AY49 BA49 BG49 BI49 BO49 BQ49 BW49 BY49 CE49 CG49 CM49 CO49 CU49 CW49 DC49 DE49 AK524337:DE524337 AK8 AQ8 AS8 AY8 BA8 BG8 BI8 BO8 BQ8 BW8 BY8 CE8 CG8 CM8 CO8 CU8 CW8 DC8 DE8 AK589873:DE589873 AK655409:DE655409 AK17 AK720945:DE720945 AK786481:DE786481 AK852017:DE852017 AK917553:DE917553 AK983089:DE983089 AK65585:DE65585 AK131121:DE131121 AK458801:DE458801 AI49 AK196657:DE196657 AI8 AC8 AA8 AI17 AK262193:DE262193 AA49 AC49 AK327729:DE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BF8 BH8 BF49 BH49 BN8 BP8 BN49 BP49 BV8 BX8 BV49 BX49 CD8 CF8 CD49 CF49 CL8 CN8 CL49 CN49 CT8 CV8 CT49 CV49 DB8 DD8 DB49 DD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DG65579:DG65586 DG131115:DG131122 DG196651:DG196658 DG262187:DG262194 DG327723:DG327730 DG393259:DG393266 DG458795:DG458802 DG524331:DG524338 DG589867:DG589874 DG655403:DG655410 DG720939:DG720946 DG786475:DG786482 DG852011:DG852018 DG917547:DG917554 DG983083:DG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DF983088 V65584:DF65584 V131120:DF131120 V196656:DF196656 V262192:DF262192 V327728:DF327728 V393264:DF393264 V458800:DF458800 V524336:DF524336 V589872:DF589872 V655408:DF655408 V720944:DF720944 V786480:DF786480 V852016:DF852016 V917552:DF917552">
      <formula1>kind_of_cons</formula1>
    </dataValidation>
    <dataValidation allowBlank="1" sqref="S131123:DG131129 S196659:DG196665 S262195:DG262201 S327731:DG327737 S393267:DG393273 S458803:DG458809 S524339:DG524345 S589875:DG589881 S655411:DG655417 S720947:DG720953 S786483:DG786489 S852019:DG852025 S917555:DG917561 S983091:DG983097 S65587:DG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F65556-2E88-C93D-9C33-3C9B137E352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1992" width="10.57421875" hidden="1"/>
    <col min="2" max="2" style="11992" width="11.00390625" hidden="1" customWidth="1"/>
    <col min="3" max="3" style="11992" width="10.57421875" hidden="1"/>
    <col min="4" max="4" style="11992" width="11.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2.00390625" hidden="1" customWidth="1"/>
    <col min="10" max="10" style="11992" width="9.8515625" hidden="1" customWidth="1"/>
    <col min="11" max="11" style="11992" width="11.421875" hidden="1" customWidth="1"/>
    <col min="12" max="12" style="13388" width="19.140625" hidden="1" customWidth="1"/>
    <col min="13" max="14" style="13389" width="12.28125" hidden="1" customWidth="1"/>
    <col min="15" max="15" style="13389" width="23.421875" hidden="1" customWidth="1"/>
    <col min="16" max="16" style="13390" width="3.7109375" hidden="1" customWidth="1"/>
    <col min="17" max="18" style="13391" width="3.00390625" customWidth="1"/>
    <col min="19" max="19" style="13392" width="12.00390625" customWidth="1"/>
    <col min="20" max="20" style="11913" width="31.00390625" customWidth="1"/>
    <col min="21" max="21" style="11913" width="0.140625" customWidth="1"/>
    <col min="22" max="22" style="11913" width="24.7109375" hidden="1" customWidth="1"/>
    <col min="23" max="23" style="11913" width="0.140625" hidden="1" customWidth="1"/>
    <col min="24" max="25" style="11913" width="24.7109375" hidden="1" customWidth="1"/>
    <col min="26" max="26" style="11913" width="11.7109375" hidden="1" customWidth="1"/>
    <col min="27" max="27" style="11913" width="3.7109375" hidden="1" customWidth="1"/>
    <col min="28" max="28" style="11913" width="11.7109375" hidden="1" customWidth="1"/>
    <col min="29" max="29" style="11913" width="8.57421875" hidden="1" customWidth="1"/>
    <col min="30" max="30" style="11913" width="24.7109375" customWidth="1"/>
    <col min="31" max="31" style="11913" width="0.140625" customWidth="1"/>
    <col min="32" max="33" style="11913" width="24.00390625" customWidth="1"/>
    <col min="34" max="34" style="11913" width="11.00390625" customWidth="1"/>
    <col min="35" max="35" style="11913" width="3.7109375" customWidth="1"/>
    <col min="36" max="36" style="11913" width="11.00390625" customWidth="1"/>
    <col min="37" max="37" style="11913" width="8.57421875" hidden="1" customWidth="1"/>
    <col min="38" max="38" style="11913" width="4.00390625" customWidth="1"/>
    <col min="39" max="39" style="11913" width="115.00390625" customWidth="1"/>
    <col min="40" max="44" style="11993" width="10.00390625" customWidth="1"/>
    <col min="45" max="45" style="11913" width="10.57421875" hidden="1"/>
  </cols>
  <sheetData>
    <row customHeight="1" ht="22.5" hidden="1">
      <c r="A1" s="2041"/>
      <c r="Y1" s="497"/>
      <c r="Z1" s="497"/>
      <c r="AG1" s="497"/>
      <c r="AH1" s="497"/>
      <c r="AS1" s="1325" t="s">
        <v>14</v>
      </c>
    </row>
    <row customHeight="1" ht="21" hidden="1">
      <c r="A2" s="1533"/>
      <c r="B2" s="1533"/>
      <c r="C2" s="1533"/>
      <c r="D2" s="1533"/>
      <c r="E2" s="2428">
        <v>1</v>
      </c>
      <c r="F2" s="1533"/>
      <c r="G2" s="1533"/>
      <c r="H2" s="1533"/>
      <c r="I2" s="1533"/>
      <c r="J2" s="1533"/>
      <c r="K2" s="1533"/>
      <c r="L2" s="1534"/>
      <c r="M2" s="1535"/>
      <c r="N2" s="1535"/>
      <c r="O2" s="1535"/>
      <c r="P2" s="531"/>
      <c r="Q2" s="530"/>
      <c r="R2" s="525"/>
      <c r="S2" s="1506">
        <f>INDEX(PT_DIFFERENTIATION_NUM_NTAR,MATCH(A2,PT_DIFFERENTIATION_NTAR_ID,0))</f>
      </c>
      <c r="T2" s="468" t="s">
        <v>126</v>
      </c>
      <c r="U2" s="470"/>
      <c r="V2" s="2412"/>
      <c r="W2" s="2413"/>
      <c r="X2" s="2413"/>
      <c r="Y2" s="2413"/>
      <c r="Z2" s="2413"/>
      <c r="AA2" s="2413"/>
      <c r="AB2" s="2413"/>
      <c r="AC2" s="2414"/>
      <c r="AD2" s="2412">
        <f>INDEX(PT_DIFFERENTIATION_NTAR,MATCH(A2,PT_DIFFERENTIATION_NTAR_ID,0))</f>
      </c>
      <c r="AE2" s="2413"/>
      <c r="AF2" s="2413"/>
      <c r="AG2" s="2413"/>
      <c r="AH2" s="2413"/>
      <c r="AI2" s="2413"/>
      <c r="AJ2" s="2413"/>
      <c r="AK2" s="2413"/>
      <c r="AL2" s="2414"/>
      <c r="AM2" s="1428" t="s">
        <v>408</v>
      </c>
      <c r="AO2" s="670"/>
      <c r="AP2" s="670" t="str">
        <f>IF(T2="","",T2)</f>
        <v>Наименование тарифа</v>
      </c>
      <c r="AQ2" s="670"/>
      <c r="AR2" s="670"/>
      <c r="AS2" s="1325">
        <v>0</v>
      </c>
    </row>
    <row customHeight="1" ht="21" hidden="1">
      <c r="A3" s="1533"/>
      <c r="B3" s="1533"/>
      <c r="C3" s="1533"/>
      <c r="D3" s="1533"/>
      <c r="E3" s="2429"/>
      <c r="F3" s="2428">
        <v>1</v>
      </c>
      <c r="G3" s="1533"/>
      <c r="H3" s="1533"/>
      <c r="I3" s="1533"/>
      <c r="J3" s="1533"/>
      <c r="K3" s="1533"/>
      <c r="L3" s="1534"/>
      <c r="M3" s="1535"/>
      <c r="N3" s="1535"/>
      <c r="O3" s="1535"/>
      <c r="P3" s="1502"/>
      <c r="Q3" s="522"/>
      <c r="R3" s="523"/>
      <c r="S3" s="1506">
        <f>INDEX(PT_DIFFERENTIATION_NUM_TER,MATCH(B3,PT_DIFFERENTIATION_TER_ID,0))</f>
      </c>
      <c r="T3" s="478" t="s">
        <v>409</v>
      </c>
      <c r="U3" s="470"/>
      <c r="V3" s="2412"/>
      <c r="W3" s="2413"/>
      <c r="X3" s="2413"/>
      <c r="Y3" s="2413"/>
      <c r="Z3" s="2413"/>
      <c r="AA3" s="2413"/>
      <c r="AB3" s="2413"/>
      <c r="AC3" s="2414"/>
      <c r="AD3" s="2412">
        <f>INDEX(PT_DIFFERENTIATION_TER,MATCH(B3,PT_DIFFERENTIATION_TER_ID,0))</f>
      </c>
      <c r="AE3" s="2413"/>
      <c r="AF3" s="2413"/>
      <c r="AG3" s="2413"/>
      <c r="AH3" s="2413"/>
      <c r="AI3" s="2413"/>
      <c r="AJ3" s="2413"/>
      <c r="AK3" s="2413"/>
      <c r="AL3" s="2414"/>
      <c r="AM3" s="1428" t="s">
        <v>410</v>
      </c>
      <c r="AO3" s="670"/>
      <c r="AP3" s="670" t="str">
        <f>IF(T3="","",T3)</f>
        <v>Территория действия тарифа</v>
      </c>
      <c r="AQ3" s="670"/>
      <c r="AR3" s="670"/>
      <c r="AS3" s="1325">
        <v>0</v>
      </c>
    </row>
    <row customHeight="1" ht="23.25" hidden="1">
      <c r="A4" s="1533"/>
      <c r="B4" s="1533"/>
      <c r="C4" s="1533"/>
      <c r="D4" s="1533"/>
      <c r="E4" s="2429"/>
      <c r="F4" s="2429"/>
      <c r="G4" s="2428">
        <v>1</v>
      </c>
      <c r="H4" s="1533"/>
      <c r="I4" s="1533"/>
      <c r="J4" s="1533"/>
      <c r="K4" s="1533"/>
      <c r="L4" s="1534"/>
      <c r="M4" s="1535"/>
      <c r="N4" s="1535"/>
      <c r="O4" s="1535"/>
      <c r="P4" s="524"/>
      <c r="Q4" s="522"/>
      <c r="R4" s="523"/>
      <c r="S4" s="2178">
        <f>INDEX(PT_DIFFERENTIATION_NUM_CS,MATCH(C4,PT_DIFFERENTIATION_CS_ID,0))</f>
      </c>
      <c r="T4" s="2182" t="s">
        <v>411</v>
      </c>
      <c r="U4" s="2183"/>
      <c r="V4" s="2470"/>
      <c r="W4" s="2471"/>
      <c r="X4" s="2471"/>
      <c r="Y4" s="2471"/>
      <c r="Z4" s="2471"/>
      <c r="AA4" s="2471"/>
      <c r="AB4" s="2471"/>
      <c r="AC4" s="2472"/>
      <c r="AD4" s="2470">
        <f>INDEX(PT_DIFFERENTIATION_CS,MATCH(C4,PT_DIFFERENTIATION_CS_ID,0))</f>
      </c>
      <c r="AE4" s="2471"/>
      <c r="AF4" s="2471"/>
      <c r="AG4" s="2471"/>
      <c r="AH4" s="2471"/>
      <c r="AI4" s="2471"/>
      <c r="AJ4" s="2471"/>
      <c r="AK4" s="2471"/>
      <c r="AL4" s="2472"/>
      <c r="AM4" s="1428" t="s">
        <v>412</v>
      </c>
      <c r="AO4" s="670"/>
      <c r="AP4" s="670" t="str">
        <f>IF(T4="","",T4)</f>
        <v>Наименование системы теплоснабжения </v>
      </c>
      <c r="AQ4" s="670"/>
      <c r="AR4" s="670"/>
      <c r="AS4" s="1325">
        <v>0</v>
      </c>
    </row>
    <row customHeight="1" ht="21" hidden="1">
      <c r="A5" s="1533"/>
      <c r="B5" s="1533"/>
      <c r="C5" s="1533"/>
      <c r="D5" s="1533"/>
      <c r="E5" s="2429"/>
      <c r="F5" s="2429"/>
      <c r="G5" s="2429"/>
      <c r="H5" s="2428">
        <v>1</v>
      </c>
      <c r="I5" s="1533"/>
      <c r="J5" s="1533"/>
      <c r="K5" s="1533"/>
      <c r="L5" s="1534"/>
      <c r="M5" s="1535"/>
      <c r="N5" s="1535"/>
      <c r="O5" s="1535"/>
      <c r="P5" s="524"/>
      <c r="Q5" s="522"/>
      <c r="R5" s="1805"/>
      <c r="S5" s="2177">
        <f>INDEX(PT_DIFFERENTIATION_NUM_IST_TE,MATCH(D5,PT_DIFFERENTIATION_IST_TE_ID,0))</f>
      </c>
      <c r="T5" s="480" t="s">
        <v>413</v>
      </c>
      <c r="U5" s="470"/>
      <c r="V5" s="2473"/>
      <c r="W5" s="2473"/>
      <c r="X5" s="2473"/>
      <c r="Y5" s="2473"/>
      <c r="Z5" s="2473"/>
      <c r="AA5" s="2473"/>
      <c r="AB5" s="2473"/>
      <c r="AC5" s="2473"/>
      <c r="AD5" s="2473">
        <f>INDEX(PT_DIFFERENTIATION_IST_TE,MATCH(D5,PT_DIFFERENTIATION_IST_TE_ID,0))</f>
      </c>
      <c r="AE5" s="2473"/>
      <c r="AF5" s="2473"/>
      <c r="AG5" s="2473"/>
      <c r="AH5" s="2473"/>
      <c r="AI5" s="2473"/>
      <c r="AJ5" s="2473"/>
      <c r="AK5" s="2473"/>
      <c r="AL5" s="2473"/>
      <c r="AM5" s="2180" t="s">
        <v>414</v>
      </c>
      <c r="AO5" s="670"/>
      <c r="AP5" s="670" t="str">
        <f>IF(T5="","",T5)</f>
        <v>Источник тепловой энергии  </v>
      </c>
      <c r="AQ5" s="670"/>
      <c r="AR5" s="670"/>
      <c r="AS5" s="1325">
        <v>0</v>
      </c>
    </row>
    <row customHeight="1" ht="0.75" hidden="1">
      <c r="A6" s="1533"/>
      <c r="B6" s="1533"/>
      <c r="C6" s="1533"/>
      <c r="D6" s="1533"/>
      <c r="E6" s="2429"/>
      <c r="F6" s="2429"/>
      <c r="G6" s="2429"/>
      <c r="H6" s="2429"/>
      <c r="I6" s="2426">
        <f>S5&amp;".1"</f>
      </c>
      <c r="J6" s="1533"/>
      <c r="K6" s="1533"/>
      <c r="L6" s="1534" t="s">
        <v>415</v>
      </c>
      <c r="M6" s="707"/>
      <c r="P6" s="2427">
        <v>1</v>
      </c>
      <c r="Q6" s="1501"/>
      <c r="R6" s="2176"/>
      <c r="S6" s="1212"/>
      <c r="T6" s="1553"/>
      <c r="U6" s="1554"/>
      <c r="V6" s="2474"/>
      <c r="W6" s="2474"/>
      <c r="X6" s="2474"/>
      <c r="Y6" s="2474"/>
      <c r="Z6" s="2474"/>
      <c r="AA6" s="2474"/>
      <c r="AB6" s="2474"/>
      <c r="AC6" s="2474"/>
      <c r="AD6" s="2474"/>
      <c r="AE6" s="2474"/>
      <c r="AF6" s="2474"/>
      <c r="AG6" s="2474"/>
      <c r="AH6" s="2474"/>
      <c r="AI6" s="2474"/>
      <c r="AJ6" s="2474"/>
      <c r="AK6" s="2474"/>
      <c r="AL6" s="2474"/>
      <c r="AM6" s="2181"/>
      <c r="AO6" s="670"/>
      <c r="AP6" s="670" t="str">
        <f>IF(T6="","",T6)</f>
        <v/>
      </c>
      <c r="AQ6" s="670"/>
      <c r="AR6" s="670"/>
      <c r="AS6" s="1325">
        <v>0</v>
      </c>
    </row>
    <row customHeight="1" ht="84" hidden="1">
      <c r="A7" s="1533"/>
      <c r="B7" s="1533"/>
      <c r="C7" s="1533"/>
      <c r="D7" s="1533"/>
      <c r="E7" s="2429"/>
      <c r="F7" s="2429"/>
      <c r="G7" s="2429"/>
      <c r="H7" s="2429"/>
      <c r="I7" s="2456"/>
      <c r="J7" s="2426">
        <f>I6&amp;".1"</f>
      </c>
      <c r="K7" s="1533"/>
      <c r="L7" s="1534" t="s">
        <v>418</v>
      </c>
      <c r="M7" s="707"/>
      <c r="N7" s="1536"/>
      <c r="P7" s="2427"/>
      <c r="Q7" s="2427">
        <v>1</v>
      </c>
      <c r="R7" s="1812"/>
      <c r="S7" s="2177">
        <f>$J7</f>
      </c>
      <c r="T7" s="456" t="s">
        <v>419</v>
      </c>
      <c r="U7" s="470"/>
      <c r="V7" s="2475"/>
      <c r="W7" s="2475"/>
      <c r="X7" s="2475"/>
      <c r="Y7" s="2475"/>
      <c r="Z7" s="2475"/>
      <c r="AA7" s="2475"/>
      <c r="AB7" s="2475"/>
      <c r="AC7" s="2475"/>
      <c r="AD7" s="2475"/>
      <c r="AE7" s="2475"/>
      <c r="AF7" s="2475"/>
      <c r="AG7" s="2475"/>
      <c r="AH7" s="2475"/>
      <c r="AI7" s="2475"/>
      <c r="AJ7" s="2475"/>
      <c r="AK7" s="2475"/>
      <c r="AL7" s="2475"/>
      <c r="AM7" s="2180" t="s">
        <v>420</v>
      </c>
      <c r="AO7" s="670"/>
      <c r="AP7" s="670" t="str">
        <f>IF(T7="","",T7)</f>
        <v>Группа потребителей</v>
      </c>
      <c r="AQ7" s="670"/>
      <c r="AR7" s="670"/>
      <c r="AS7" s="1325">
        <v>0</v>
      </c>
    </row>
    <row customHeight="1" ht="11.25" hidden="1">
      <c r="A8" s="1533"/>
      <c r="B8" s="1533"/>
      <c r="C8" s="1533"/>
      <c r="D8" s="1533"/>
      <c r="E8" s="2429"/>
      <c r="F8" s="2429"/>
      <c r="G8" s="2429"/>
      <c r="H8" s="2429"/>
      <c r="I8" s="2456"/>
      <c r="J8" s="2456"/>
      <c r="K8" s="2426">
        <f>J7&amp;".1"</f>
      </c>
      <c r="L8" s="1534" t="s">
        <v>421</v>
      </c>
      <c r="M8" s="707"/>
      <c r="N8" s="1536"/>
      <c r="O8" s="1536"/>
      <c r="P8" s="2427"/>
      <c r="Q8" s="2427"/>
      <c r="R8" s="527">
        <v>1</v>
      </c>
      <c r="S8" s="2179">
        <f>$K8</f>
      </c>
      <c r="T8" s="2184"/>
      <c r="U8" s="2185"/>
      <c r="V8" s="2186"/>
      <c r="W8" s="1519"/>
      <c r="X8" s="2186"/>
      <c r="Y8" s="2187"/>
      <c r="Z8" s="2476"/>
      <c r="AA8" s="2282" t="s">
        <v>64</v>
      </c>
      <c r="AB8" s="2476"/>
      <c r="AC8" s="2282" t="s">
        <v>64</v>
      </c>
      <c r="AD8" s="2186"/>
      <c r="AE8" s="1519"/>
      <c r="AF8" s="2186"/>
      <c r="AG8" s="2187"/>
      <c r="AH8" s="2476"/>
      <c r="AI8" s="2282" t="s">
        <v>64</v>
      </c>
      <c r="AJ8" s="2476"/>
      <c r="AK8" s="2282" t="s">
        <v>64</v>
      </c>
      <c r="AL8" s="1519"/>
      <c r="AM8" s="2423" t="s">
        <v>422</v>
      </c>
      <c r="AN8" s="681">
        <f>STRCHECKDATE(V9:AL9)</f>
      </c>
      <c r="AO8" s="670"/>
      <c r="AP8" s="670" t="str">
        <f>IF(T8="","",T8)</f>
        <v/>
      </c>
      <c r="AQ8" s="670"/>
      <c r="AR8" s="670"/>
      <c r="AS8" s="1325">
        <v>0</v>
      </c>
    </row>
    <row customHeight="1" ht="0.75" hidden="1">
      <c r="A9" s="1533"/>
      <c r="B9" s="1533"/>
      <c r="C9" s="1533"/>
      <c r="D9" s="1533"/>
      <c r="E9" s="2429"/>
      <c r="F9" s="2429"/>
      <c r="G9" s="2429"/>
      <c r="H9" s="2429"/>
      <c r="I9" s="2456"/>
      <c r="J9" s="2456"/>
      <c r="K9" s="2426"/>
      <c r="L9" s="1534"/>
      <c r="M9" s="707"/>
      <c r="N9" s="1536"/>
      <c r="O9" s="1536"/>
      <c r="P9" s="2427"/>
      <c r="Q9" s="2427"/>
      <c r="R9" s="527"/>
      <c r="S9" s="1512"/>
      <c r="T9" s="470"/>
      <c r="U9" s="470"/>
      <c r="V9" s="495"/>
      <c r="W9" s="495"/>
      <c r="X9" s="495"/>
      <c r="Y9" s="498" t="str">
        <f>Z8&amp;"-"&amp;AB8</f>
        <v>-</v>
      </c>
      <c r="Z9" s="2436"/>
      <c r="AA9" s="2277"/>
      <c r="AB9" s="2436"/>
      <c r="AC9" s="2277"/>
      <c r="AD9" s="495"/>
      <c r="AE9" s="495"/>
      <c r="AF9" s="495"/>
      <c r="AG9" s="498" t="str">
        <f>AH8&amp;"-"&amp;AJ8</f>
        <v>-</v>
      </c>
      <c r="AH9" s="2436"/>
      <c r="AI9" s="2277"/>
      <c r="AJ9" s="2436"/>
      <c r="AK9" s="2277"/>
      <c r="AL9" s="495"/>
      <c r="AM9" s="2424"/>
      <c r="AO9" s="670"/>
      <c r="AP9" s="670" t="str">
        <f>IF(T9="","",T9)</f>
        <v/>
      </c>
      <c r="AQ9" s="670"/>
      <c r="AR9" s="670"/>
      <c r="AS9" s="1325">
        <v>0</v>
      </c>
    </row>
    <row customHeight="1" ht="11.25" hidden="1">
      <c r="A10" s="1533"/>
      <c r="B10" s="1533"/>
      <c r="C10" s="1533"/>
      <c r="D10" s="1533"/>
      <c r="E10" s="2429"/>
      <c r="F10" s="2429"/>
      <c r="G10" s="2429"/>
      <c r="H10" s="2429"/>
      <c r="I10" s="2456"/>
      <c r="J10" s="2426"/>
      <c r="K10" s="1533"/>
      <c r="L10" s="1534"/>
      <c r="M10" s="707"/>
      <c r="N10" s="1536"/>
      <c r="P10" s="2427"/>
      <c r="Q10" s="2427"/>
      <c r="R10" s="526"/>
      <c r="S10" s="1448"/>
      <c r="T10" s="457" t="s">
        <v>423</v>
      </c>
      <c r="U10" s="537"/>
      <c r="V10" s="537"/>
      <c r="W10" s="537"/>
      <c r="X10" s="537"/>
      <c r="Y10" s="537"/>
      <c r="Z10" s="537"/>
      <c r="AA10" s="537"/>
      <c r="AB10" s="537"/>
      <c r="AC10" s="537"/>
      <c r="AD10" s="537"/>
      <c r="AE10" s="537"/>
      <c r="AF10" s="537"/>
      <c r="AG10" s="537"/>
      <c r="AH10" s="537"/>
      <c r="AI10" s="537"/>
      <c r="AJ10" s="537"/>
      <c r="AK10" s="537"/>
      <c r="AL10" s="494"/>
      <c r="AM10" s="2425"/>
      <c r="AO10" s="670"/>
      <c r="AP10" s="670" t="str">
        <f>IF(T10="","",T10)</f>
        <v>Добавить вид теплоносителя (параметры теплоносителя)</v>
      </c>
      <c r="AQ10" s="670"/>
      <c r="AR10" s="670"/>
      <c r="AS10" s="1325">
        <v>0</v>
      </c>
    </row>
    <row customHeight="1" ht="11.25" hidden="1">
      <c r="A11" s="1533"/>
      <c r="B11" s="1533"/>
      <c r="C11" s="1533"/>
      <c r="D11" s="1533"/>
      <c r="E11" s="2429"/>
      <c r="F11" s="2429"/>
      <c r="G11" s="2429"/>
      <c r="H11" s="2429"/>
      <c r="I11" s="2426"/>
      <c r="J11" s="1533"/>
      <c r="K11" s="1533"/>
      <c r="L11" s="1534"/>
      <c r="M11" s="707"/>
      <c r="P11" s="2427"/>
      <c r="Q11" s="1501"/>
      <c r="R11" s="526"/>
      <c r="S11" s="1448"/>
      <c r="T11" s="535" t="s">
        <v>424</v>
      </c>
      <c r="U11" s="537"/>
      <c r="V11" s="537"/>
      <c r="W11" s="537"/>
      <c r="X11" s="537"/>
      <c r="Y11" s="537"/>
      <c r="Z11" s="537"/>
      <c r="AA11" s="537"/>
      <c r="AB11" s="537"/>
      <c r="AC11" s="536"/>
      <c r="AD11" s="537"/>
      <c r="AE11" s="537"/>
      <c r="AF11" s="537"/>
      <c r="AG11" s="537"/>
      <c r="AH11" s="537"/>
      <c r="AI11" s="537"/>
      <c r="AJ11" s="537"/>
      <c r="AK11" s="536"/>
      <c r="AL11" s="537"/>
      <c r="AM11" s="473"/>
      <c r="AO11" s="670"/>
      <c r="AP11" s="670" t="str">
        <f>IF(T11="","",T11)</f>
        <v>Добавить группу потребителей</v>
      </c>
      <c r="AQ11" s="670"/>
      <c r="AR11" s="670"/>
      <c r="AS11" s="1325">
        <v>0</v>
      </c>
    </row>
    <row customHeight="1" ht="0.75" hidden="1">
      <c r="A12" s="1533"/>
      <c r="B12" s="1533"/>
      <c r="C12" s="1533"/>
      <c r="D12" s="1533"/>
      <c r="E12" s="2429"/>
      <c r="F12" s="2429"/>
      <c r="G12" s="2429"/>
      <c r="H12" s="2428"/>
      <c r="I12" s="1533"/>
      <c r="J12" s="1533"/>
      <c r="K12" s="1533"/>
      <c r="L12" s="1534"/>
      <c r="M12" s="1535"/>
      <c r="N12" s="1535"/>
      <c r="O12" s="707"/>
      <c r="P12" s="530"/>
      <c r="Q12" s="545"/>
      <c r="R12" s="525"/>
      <c r="S12" s="1556"/>
      <c r="T12" s="1557"/>
      <c r="U12" s="1558"/>
      <c r="V12" s="1558"/>
      <c r="W12" s="1558"/>
      <c r="X12" s="1558"/>
      <c r="Y12" s="1558"/>
      <c r="Z12" s="1558"/>
      <c r="AA12" s="1558"/>
      <c r="AB12" s="1558"/>
      <c r="AC12" s="1558"/>
      <c r="AD12" s="1558"/>
      <c r="AE12" s="1558"/>
      <c r="AF12" s="1558"/>
      <c r="AG12" s="1558"/>
      <c r="AH12" s="1558"/>
      <c r="AI12" s="1558"/>
      <c r="AJ12" s="1558"/>
      <c r="AK12" s="1558"/>
      <c r="AL12" s="1558"/>
      <c r="AM12" s="1559"/>
      <c r="AO12" s="670"/>
      <c r="AP12" s="670" t="str">
        <f>IF(T12="","",T12)</f>
        <v/>
      </c>
      <c r="AQ12" s="670"/>
      <c r="AR12" s="670"/>
      <c r="AS12" s="1325">
        <v>0</v>
      </c>
    </row>
    <row s="11993" customFormat="1" customHeight="1" ht="0.75" hidden="1">
      <c r="A13" s="1484"/>
      <c r="B13" s="1484"/>
      <c r="C13" s="1484"/>
      <c r="D13" s="1484"/>
      <c r="E13" s="2429"/>
      <c r="F13" s="2429"/>
      <c r="G13" s="2428"/>
      <c r="H13" s="1484"/>
      <c r="I13" s="1484"/>
      <c r="J13" s="1484"/>
      <c r="K13" s="1484"/>
      <c r="L13" s="1509"/>
      <c r="M13" s="1485"/>
      <c r="N13" s="1485"/>
      <c r="P13" s="1486"/>
      <c r="Q13" s="1487"/>
      <c r="R13" s="1486"/>
      <c r="S13" s="1488"/>
      <c r="T13" s="1489" t="s">
        <v>165</v>
      </c>
      <c r="U13" s="1490"/>
      <c r="V13" s="1490"/>
      <c r="W13" s="1490"/>
      <c r="X13" s="1490"/>
      <c r="Y13" s="1490"/>
      <c r="Z13" s="1490"/>
      <c r="AA13" s="1490"/>
      <c r="AB13" s="1490"/>
      <c r="AC13" s="1490"/>
      <c r="AD13" s="1490"/>
      <c r="AE13" s="1490"/>
      <c r="AF13" s="1490"/>
      <c r="AG13" s="1490"/>
      <c r="AH13" s="1490"/>
      <c r="AI13" s="1490"/>
      <c r="AJ13" s="1490"/>
      <c r="AK13" s="1490"/>
      <c r="AL13" s="1490"/>
      <c r="AM13" s="1490"/>
      <c r="AO13" s="959"/>
      <c r="AP13" s="959" t="str">
        <f>IF(T13="","",T13)</f>
        <v>Добавить источник для дифференциации</v>
      </c>
      <c r="AQ13" s="959"/>
      <c r="AR13" s="959"/>
      <c r="AS13" s="688">
        <v>0</v>
      </c>
    </row>
    <row s="11993" customFormat="1" customHeight="1" ht="0.75" hidden="1">
      <c r="A14" s="1484"/>
      <c r="B14" s="1484"/>
      <c r="C14" s="1484"/>
      <c r="D14" s="1484"/>
      <c r="E14" s="2429"/>
      <c r="F14" s="2428"/>
      <c r="G14" s="1484"/>
      <c r="H14" s="1484"/>
      <c r="I14" s="1484"/>
      <c r="J14" s="1484"/>
      <c r="K14" s="1484"/>
      <c r="L14" s="1509"/>
      <c r="M14" s="1491"/>
      <c r="N14" s="1491"/>
      <c r="P14" s="1486"/>
      <c r="Q14" s="1487"/>
      <c r="R14" s="1486"/>
      <c r="S14" s="1492"/>
      <c r="T14" s="1493" t="s">
        <v>166</v>
      </c>
      <c r="U14" s="1494"/>
      <c r="V14" s="1494"/>
      <c r="W14" s="1494"/>
      <c r="X14" s="1494"/>
      <c r="Y14" s="1494"/>
      <c r="Z14" s="1494"/>
      <c r="AA14" s="1494"/>
      <c r="AB14" s="1494"/>
      <c r="AC14" s="1494"/>
      <c r="AD14" s="1494"/>
      <c r="AE14" s="1494"/>
      <c r="AF14" s="1494"/>
      <c r="AG14" s="1494"/>
      <c r="AH14" s="1494"/>
      <c r="AI14" s="1494"/>
      <c r="AJ14" s="1494"/>
      <c r="AK14" s="1494"/>
      <c r="AL14" s="1494"/>
      <c r="AM14" s="1494"/>
      <c r="AO14" s="959"/>
      <c r="AP14" s="959" t="str">
        <f>IF(T14="","",T14)</f>
        <v>Добавить централизованную систему для дифференциации</v>
      </c>
      <c r="AQ14" s="959"/>
      <c r="AR14" s="959"/>
      <c r="AS14" s="688">
        <v>0</v>
      </c>
    </row>
    <row s="11993" customFormat="1" customHeight="1" ht="0.75" hidden="1">
      <c r="A15" s="1484"/>
      <c r="B15" s="1484"/>
      <c r="C15" s="1484"/>
      <c r="D15" s="1484"/>
      <c r="E15" s="2428"/>
      <c r="F15" s="1484"/>
      <c r="G15" s="1484"/>
      <c r="H15" s="1484"/>
      <c r="I15" s="1484"/>
      <c r="J15" s="1484"/>
      <c r="K15" s="1484"/>
      <c r="L15" s="1509"/>
      <c r="M15" s="1491"/>
      <c r="N15" s="1491"/>
      <c r="P15" s="1486"/>
      <c r="Q15" s="1487"/>
      <c r="R15" s="1486"/>
      <c r="S15" s="1492"/>
      <c r="T15" s="1495" t="s">
        <v>167</v>
      </c>
      <c r="U15" s="1494"/>
      <c r="V15" s="1494"/>
      <c r="W15" s="1494"/>
      <c r="X15" s="1494"/>
      <c r="Y15" s="1494"/>
      <c r="Z15" s="1494"/>
      <c r="AA15" s="1494"/>
      <c r="AB15" s="1494"/>
      <c r="AC15" s="1494"/>
      <c r="AD15" s="1494"/>
      <c r="AE15" s="1494"/>
      <c r="AF15" s="1494"/>
      <c r="AG15" s="1494"/>
      <c r="AH15" s="1494"/>
      <c r="AI15" s="1494"/>
      <c r="AJ15" s="1494"/>
      <c r="AK15" s="1494"/>
      <c r="AL15" s="1494"/>
      <c r="AM15" s="1494"/>
      <c r="AO15" s="959"/>
      <c r="AP15" s="959" t="str">
        <f>IF(T15="","",T15)</f>
        <v>Добавить территорию для дифференциации</v>
      </c>
      <c r="AQ15" s="959"/>
      <c r="AR15" s="959"/>
      <c r="AS15" s="688">
        <v>0</v>
      </c>
    </row>
    <row customHeight="1" ht="14.25" hidden="1">
      <c r="AC16" s="497"/>
      <c r="AK16" s="497"/>
      <c r="AS16" s="1325">
        <v>0</v>
      </c>
    </row>
    <row customHeight="1" ht="14.25" hidden="1">
      <c r="AD17" s="1530"/>
      <c r="AE17" s="1530"/>
      <c r="AF17" s="1530"/>
      <c r="AG17" s="1531"/>
      <c r="AH17" s="2437"/>
      <c r="AI17" s="2438" t="s">
        <v>64</v>
      </c>
      <c r="AJ17" s="2437"/>
      <c r="AK17" s="2438" t="s">
        <v>64</v>
      </c>
      <c r="AS17" s="1325">
        <v>0</v>
      </c>
    </row>
    <row customHeight="1" ht="14.25" hidden="1">
      <c r="AD18" s="1530"/>
      <c r="AE18" s="1530"/>
      <c r="AF18" s="1530"/>
      <c r="AG18" s="498" t="str">
        <f>AH17&amp;"-"&amp;AJ17</f>
        <v>-</v>
      </c>
      <c r="AH18" s="2438"/>
      <c r="AI18" s="2438"/>
      <c r="AJ18" s="2438"/>
      <c r="AK18" s="2438"/>
      <c r="AS18" s="1325">
        <v>0</v>
      </c>
    </row>
    <row customHeight="1" ht="14.25" hidden="1">
      <c r="AK19" s="497"/>
      <c r="AS19" s="1325">
        <v>0</v>
      </c>
    </row>
    <row s="11992" customFormat="1" customHeight="1" ht="22.5" hidden="1">
      <c r="L20" s="1499"/>
      <c r="M20" s="1532"/>
      <c r="N20" s="1532"/>
      <c r="O20" s="1537" t="s">
        <v>426</v>
      </c>
      <c r="P20" s="1532"/>
      <c r="Q20" s="1541"/>
      <c r="R20" s="1541"/>
      <c r="S20" s="899"/>
      <c r="Z20" s="1537"/>
      <c r="AB20" s="1537"/>
      <c r="AC20" s="1536"/>
      <c r="AH20" s="1537"/>
      <c r="AJ20" s="1537"/>
      <c r="AK20" s="1536"/>
      <c r="AN20" s="681"/>
      <c r="AO20" s="681"/>
      <c r="AP20" s="681"/>
      <c r="AQ20" s="681"/>
      <c r="AR20" s="681"/>
      <c r="AS20" s="1330">
        <v>0</v>
      </c>
    </row>
    <row s="11992" customFormat="1" customHeight="1" ht="14.25" hidden="1">
      <c r="L21" s="1499"/>
      <c r="M21" s="1532"/>
      <c r="N21" s="1532"/>
      <c r="O21" s="1532"/>
      <c r="P21" s="1532"/>
      <c r="Q21" s="1541"/>
      <c r="R21" s="1541"/>
      <c r="S21" s="899"/>
      <c r="AC21" s="1536"/>
      <c r="AK21" s="1536"/>
      <c r="AN21" s="681"/>
      <c r="AO21" s="681"/>
      <c r="AP21" s="681"/>
      <c r="AQ21" s="681"/>
      <c r="AR21" s="681"/>
      <c r="AS21" s="1330">
        <v>0</v>
      </c>
    </row>
    <row s="11992" customFormat="1" customHeight="1" ht="14.25" hidden="1">
      <c r="L22" s="1499"/>
      <c r="M22" s="1532"/>
      <c r="N22" s="1532"/>
      <c r="O22" s="1534" t="s">
        <v>427</v>
      </c>
      <c r="P22" s="1532"/>
      <c r="Q22" s="1541"/>
      <c r="R22" s="1541"/>
      <c r="S22" s="899"/>
      <c r="T22" s="1330" t="s">
        <v>428</v>
      </c>
      <c r="AA22" s="356" t="s">
        <v>429</v>
      </c>
      <c r="AC22" s="356" t="s">
        <v>430</v>
      </c>
      <c r="AD22" s="1330" t="s">
        <v>428</v>
      </c>
      <c r="AI22" s="356" t="s">
        <v>431</v>
      </c>
      <c r="AK22" s="356" t="s">
        <v>430</v>
      </c>
      <c r="AN22" s="681"/>
      <c r="AO22" s="681"/>
      <c r="AP22" s="681"/>
      <c r="AQ22" s="681"/>
      <c r="AR22" s="681"/>
      <c r="AS22" s="1330">
        <v>0</v>
      </c>
    </row>
    <row customHeight="1" ht="14.25" hidden="1">
      <c r="O23" s="1534"/>
      <c r="AS23" s="1325">
        <v>0</v>
      </c>
    </row>
    <row customHeight="1" ht="14.25" hidden="1">
      <c r="O24" s="1534"/>
      <c r="AS24" s="1325">
        <v>0</v>
      </c>
    </row>
    <row customHeight="1" ht="14.699999999999998">
      <c r="Q25" s="546"/>
      <c r="R25" s="546"/>
      <c r="S25" s="1445"/>
      <c r="T25" s="533"/>
      <c r="U25" s="533"/>
      <c r="V25" s="679"/>
      <c r="W25" s="679"/>
      <c r="X25" s="679"/>
      <c r="Y25" s="679"/>
      <c r="Z25" s="679"/>
      <c r="AA25" s="679"/>
      <c r="AB25" s="679"/>
      <c r="AC25" s="679"/>
      <c r="AD25" s="679"/>
      <c r="AE25" s="679"/>
      <c r="AF25" s="679"/>
      <c r="AG25" s="679"/>
      <c r="AH25" s="679"/>
      <c r="AI25" s="679"/>
      <c r="AJ25" s="679"/>
      <c r="AK25" s="679"/>
      <c r="AS25" s="1325">
        <v>14</v>
      </c>
    </row>
    <row customHeight="1" ht="54.75">
      <c r="Q26" s="546"/>
      <c r="R26" s="546"/>
      <c r="S26" s="247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77"/>
      <c r="U26" s="2477"/>
      <c r="V26" s="2477"/>
      <c r="W26" s="2477"/>
      <c r="X26" s="2477"/>
      <c r="Y26" s="2477"/>
      <c r="Z26" s="2477"/>
      <c r="AA26" s="2477"/>
      <c r="AB26" s="2477"/>
      <c r="AC26" s="2477"/>
      <c r="AD26" s="2477"/>
      <c r="AE26" s="2477"/>
      <c r="AF26" s="2477"/>
      <c r="AG26" s="2477"/>
      <c r="AH26" s="2477"/>
      <c r="AI26" s="2477"/>
      <c r="AJ26" s="2477"/>
      <c r="AK26" s="1413"/>
      <c r="AS26" s="1325">
        <v>52</v>
      </c>
    </row>
    <row customHeight="1" ht="14.699999999999998">
      <c r="Q27" s="546"/>
      <c r="R27" s="546"/>
      <c r="S27" s="2419" t="str">
        <f>IF(org=0,"Не определено",org)</f>
        <v>Филиал "Шатурская ГРЭС" ПАО "Юнипро"</v>
      </c>
      <c r="T27" s="2419"/>
      <c r="U27" s="2419"/>
      <c r="V27" s="2419"/>
      <c r="W27" s="2419"/>
      <c r="X27" s="2419"/>
      <c r="Y27" s="2419"/>
      <c r="Z27" s="2419"/>
      <c r="AA27" s="2419"/>
      <c r="AB27" s="2419"/>
      <c r="AC27" s="2419"/>
      <c r="AD27" s="2419"/>
      <c r="AE27" s="2419"/>
      <c r="AF27" s="2419"/>
      <c r="AG27" s="2419"/>
      <c r="AH27" s="2419"/>
      <c r="AI27" s="2419"/>
      <c r="AJ27" s="2419"/>
      <c r="AK27" s="1413"/>
      <c r="AS27" s="1325">
        <v>14</v>
      </c>
    </row>
    <row customHeight="1" ht="14.25">
      <c r="Q28" s="546"/>
      <c r="R28" s="546"/>
      <c r="S28" s="1445"/>
      <c r="T28" s="533"/>
      <c r="U28" s="533"/>
      <c r="V28" s="492"/>
      <c r="W28" s="492"/>
      <c r="X28" s="492"/>
      <c r="Y28" s="492"/>
      <c r="Z28" s="492"/>
      <c r="AA28" s="492"/>
      <c r="AB28" s="492"/>
      <c r="AC28" s="492"/>
      <c r="AD28" s="492"/>
      <c r="AE28" s="492"/>
      <c r="AF28" s="492"/>
      <c r="AG28" s="492"/>
      <c r="AH28" s="492"/>
      <c r="AI28" s="492"/>
      <c r="AJ28" s="492"/>
      <c r="AK28" s="492"/>
      <c r="AL28" s="679"/>
      <c r="AS28" s="1325">
        <v>0</v>
      </c>
    </row>
    <row s="12119" customFormat="1" customHeight="1" ht="25.5">
      <c r="A29" s="1538"/>
      <c r="B29" s="1538"/>
      <c r="C29" s="1538"/>
      <c r="D29" s="1538"/>
      <c r="E29" s="1538"/>
      <c r="F29" s="1538"/>
      <c r="G29" s="1538"/>
      <c r="H29" s="1538"/>
      <c r="I29" s="1538"/>
      <c r="J29" s="1538"/>
      <c r="K29" s="1538"/>
      <c r="L29" s="1539"/>
      <c r="M29" s="1538"/>
      <c r="N29" s="1538"/>
      <c r="O29" s="1538"/>
      <c r="S29" s="2420" t="s">
        <v>42</v>
      </c>
      <c r="T29" s="2420"/>
      <c r="U29" s="1542"/>
      <c r="V29" s="2421" t="str">
        <f>IF(TITLE_NAME_OR_PR_CHANGE="",IF(TITLE_NAME_OR_PR="","",TITLE_NAME_OR_PR),TITLE_NAME_OR_PR_CHANGE)</f>
        <v>Комитет по ценам и тарифам Московской области</v>
      </c>
      <c r="W29" s="2421"/>
      <c r="X29" s="2421"/>
      <c r="Y29" s="2421"/>
      <c r="Z29" s="2421"/>
      <c r="AA29" s="2421"/>
      <c r="AB29" s="2421"/>
      <c r="AC29" s="496"/>
      <c r="AD29" s="2421" t="str">
        <f>IF(TITLE_NAME_OR_PR_CHANGE="",IF(TITLE_NAME_OR_PR="","",TITLE_NAME_OR_PR),TITLE_NAME_OR_PR_CHANGE)</f>
        <v>Комитет по ценам и тарифам Московской области</v>
      </c>
      <c r="AE29" s="2421"/>
      <c r="AF29" s="2421"/>
      <c r="AG29" s="2421"/>
      <c r="AH29" s="2421"/>
      <c r="AI29" s="2421"/>
      <c r="AJ29" s="2421"/>
      <c r="AK29" s="496"/>
      <c r="AL29" s="496"/>
      <c r="AM29" s="450"/>
      <c r="AN29" s="538"/>
      <c r="AO29" s="538"/>
      <c r="AP29" s="538"/>
      <c r="AQ29" s="538"/>
      <c r="AR29" s="538"/>
      <c r="AS29" s="588">
        <v>0</v>
      </c>
    </row>
    <row s="12119" customFormat="1" customHeight="1" ht="18.75">
      <c r="A30" s="1538"/>
      <c r="B30" s="1538"/>
      <c r="C30" s="1538"/>
      <c r="D30" s="1538"/>
      <c r="E30" s="1538"/>
      <c r="F30" s="1538"/>
      <c r="G30" s="1538"/>
      <c r="H30" s="1538"/>
      <c r="I30" s="1538"/>
      <c r="J30" s="1538"/>
      <c r="K30" s="1538"/>
      <c r="L30" s="1539"/>
      <c r="M30" s="1538"/>
      <c r="N30" s="1538"/>
      <c r="O30" s="1538"/>
      <c r="S30" s="2420" t="s">
        <v>432</v>
      </c>
      <c r="T30" s="2420"/>
      <c r="U30" s="1542"/>
      <c r="V30" s="2434" t="str">
        <f>IF(TITLE_DATE_PR_CHANGE="",IF(TITLE_DATE_PR="","",TITLE_DATE_PR),TITLE_DATE_PR_CHANGE)</f>
        <v>45646.459814814814</v>
      </c>
      <c r="W30" s="2434"/>
      <c r="X30" s="2434"/>
      <c r="Y30" s="2434"/>
      <c r="Z30" s="2434"/>
      <c r="AA30" s="2434"/>
      <c r="AB30" s="2434"/>
      <c r="AC30" s="496"/>
      <c r="AD30" s="2434" t="str">
        <f>IF(TITLE_DATE_PR_CHANGE="",IF(TITLE_DATE_PR="","",TITLE_DATE_PR),TITLE_DATE_PR_CHANGE)</f>
        <v>45646.459814814814</v>
      </c>
      <c r="AE30" s="2434"/>
      <c r="AF30" s="2434"/>
      <c r="AG30" s="2434"/>
      <c r="AH30" s="2434"/>
      <c r="AI30" s="2434"/>
      <c r="AJ30" s="2434"/>
      <c r="AK30" s="496"/>
      <c r="AL30" s="496"/>
      <c r="AM30" s="450"/>
      <c r="AN30" s="538"/>
      <c r="AO30" s="538"/>
      <c r="AP30" s="538"/>
      <c r="AQ30" s="538"/>
      <c r="AR30" s="538"/>
      <c r="AS30" s="588">
        <v>0</v>
      </c>
    </row>
    <row s="12119" customFormat="1" customHeight="1" ht="18.75">
      <c r="A31" s="1538"/>
      <c r="B31" s="1538"/>
      <c r="C31" s="1538"/>
      <c r="D31" s="1538"/>
      <c r="E31" s="1538"/>
      <c r="F31" s="1538"/>
      <c r="G31" s="1538"/>
      <c r="H31" s="1538"/>
      <c r="I31" s="1538"/>
      <c r="J31" s="1538"/>
      <c r="K31" s="1538"/>
      <c r="L31" s="1539"/>
      <c r="M31" s="1538"/>
      <c r="N31" s="1538"/>
      <c r="O31" s="1538"/>
      <c r="S31" s="2420" t="s">
        <v>433</v>
      </c>
      <c r="T31" s="2420"/>
      <c r="U31" s="1542"/>
      <c r="V31" s="2421" t="str">
        <f>IF(TITLE_NUMBER_PR_CHANGE="",IF(TITLE_NUMBER_PR="","",TITLE_NUMBER_PR),TITLE_NUMBER_PR_CHANGE)</f>
        <v>329-Р</v>
      </c>
      <c r="W31" s="2421"/>
      <c r="X31" s="2421"/>
      <c r="Y31" s="2421"/>
      <c r="Z31" s="2421"/>
      <c r="AA31" s="2421"/>
      <c r="AB31" s="2421"/>
      <c r="AC31" s="496"/>
      <c r="AD31" s="2421" t="str">
        <f>IF(TITLE_NUMBER_PR_CHANGE="",IF(TITLE_NUMBER_PR="","",TITLE_NUMBER_PR),TITLE_NUMBER_PR_CHANGE)</f>
        <v>329-Р</v>
      </c>
      <c r="AE31" s="2421"/>
      <c r="AF31" s="2421"/>
      <c r="AG31" s="2421"/>
      <c r="AH31" s="2421"/>
      <c r="AI31" s="2421"/>
      <c r="AJ31" s="2421"/>
      <c r="AK31" s="496"/>
      <c r="AL31" s="496"/>
      <c r="AM31" s="450"/>
      <c r="AN31" s="538"/>
      <c r="AO31" s="538"/>
      <c r="AP31" s="538"/>
      <c r="AQ31" s="538"/>
      <c r="AR31" s="538"/>
      <c r="AS31" s="588">
        <v>0</v>
      </c>
    </row>
    <row s="12119" customFormat="1" customHeight="1" ht="18.75">
      <c r="A32" s="1538"/>
      <c r="B32" s="1538"/>
      <c r="C32" s="1538"/>
      <c r="D32" s="1538"/>
      <c r="E32" s="1538"/>
      <c r="F32" s="1538"/>
      <c r="G32" s="1538"/>
      <c r="H32" s="1538"/>
      <c r="I32" s="1538"/>
      <c r="J32" s="1538"/>
      <c r="K32" s="1538"/>
      <c r="L32" s="1539"/>
      <c r="M32" s="1538"/>
      <c r="N32" s="1538"/>
      <c r="O32" s="1538"/>
      <c r="S32" s="2420" t="s">
        <v>44</v>
      </c>
      <c r="T32" s="2420"/>
      <c r="U32" s="1542"/>
      <c r="V32"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421"/>
      <c r="X32" s="2421"/>
      <c r="Y32" s="2421"/>
      <c r="Z32" s="2421"/>
      <c r="AA32" s="2421"/>
      <c r="AB32" s="2421"/>
      <c r="AC32" s="496"/>
      <c r="AD32"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421"/>
      <c r="AF32" s="2421"/>
      <c r="AG32" s="2421"/>
      <c r="AH32" s="2421"/>
      <c r="AI32" s="2421"/>
      <c r="AJ32" s="2421"/>
      <c r="AK32" s="496"/>
      <c r="AL32" s="496"/>
      <c r="AM32" s="450"/>
      <c r="AN32" s="538"/>
      <c r="AO32" s="538"/>
      <c r="AP32" s="538"/>
      <c r="AQ32" s="538"/>
      <c r="AR32" s="538"/>
      <c r="AS32" s="588">
        <v>0</v>
      </c>
    </row>
    <row customHeight="1" ht="14.25" hidden="1">
      <c r="Q33" s="546"/>
      <c r="R33" s="546"/>
      <c r="S33" s="1445"/>
      <c r="T33" s="533"/>
      <c r="U33" s="533"/>
      <c r="V33" s="492"/>
      <c r="W33" s="492"/>
      <c r="X33" s="492"/>
      <c r="Y33" s="492"/>
      <c r="Z33" s="492"/>
      <c r="AA33" s="492"/>
      <c r="AB33" s="492"/>
      <c r="AC33" s="492"/>
      <c r="AD33" s="492"/>
      <c r="AE33" s="492"/>
      <c r="AF33" s="492"/>
      <c r="AG33" s="492"/>
      <c r="AH33" s="492"/>
      <c r="AI33" s="492"/>
      <c r="AJ33" s="492"/>
      <c r="AK33" s="492"/>
      <c r="AL33" s="679"/>
      <c r="AS33" s="1325">
        <v>0</v>
      </c>
    </row>
    <row s="12119" customFormat="1" customHeight="1" ht="18.75" hidden="1">
      <c r="A34" s="1538"/>
      <c r="B34" s="1538"/>
      <c r="C34" s="1538"/>
      <c r="D34" s="1538"/>
      <c r="E34" s="1538"/>
      <c r="F34" s="1538"/>
      <c r="G34" s="1538"/>
      <c r="H34" s="1538"/>
      <c r="I34" s="1538"/>
      <c r="J34" s="1538"/>
      <c r="K34" s="1538"/>
      <c r="L34" s="1539"/>
      <c r="M34" s="1538"/>
      <c r="N34" s="1538"/>
      <c r="O34" s="1538"/>
      <c r="S34" s="2420" t="s">
        <v>434</v>
      </c>
      <c r="T34" s="2420"/>
      <c r="U34" s="1542"/>
      <c r="V34" s="2434" t="str">
        <f>IF(TITLE_DATE_PR_CHANGE="",IF(TITLE_DATE_PR="","",TITLE_DATE_PR),TITLE_DATE_PR_CHANGE)</f>
        <v>45646.459814814814</v>
      </c>
      <c r="W34" s="2434"/>
      <c r="X34" s="2434"/>
      <c r="Y34" s="2434"/>
      <c r="Z34" s="2434"/>
      <c r="AA34" s="2434"/>
      <c r="AB34" s="2434"/>
      <c r="AC34" s="496"/>
      <c r="AD34" s="2434" t="str">
        <f>IF(TITLE_DATE_PR_CHANGE="",IF(TITLE_DATE_PR="","",TITLE_DATE_PR),TITLE_DATE_PR_CHANGE)</f>
        <v>45646.459814814814</v>
      </c>
      <c r="AE34" s="2434"/>
      <c r="AF34" s="2434"/>
      <c r="AG34" s="2434"/>
      <c r="AH34" s="2434"/>
      <c r="AI34" s="2434"/>
      <c r="AJ34" s="2434"/>
      <c r="AK34" s="496"/>
      <c r="AL34" s="496"/>
      <c r="AM34" s="450"/>
      <c r="AN34" s="538"/>
      <c r="AO34" s="538"/>
      <c r="AP34" s="538"/>
      <c r="AQ34" s="538"/>
      <c r="AR34" s="538"/>
      <c r="AS34" s="588">
        <v>0</v>
      </c>
    </row>
    <row s="12119" customFormat="1" customHeight="1" ht="18.75" hidden="1">
      <c r="A35" s="1538"/>
      <c r="B35" s="1538"/>
      <c r="C35" s="1538"/>
      <c r="D35" s="1538"/>
      <c r="E35" s="1538"/>
      <c r="F35" s="1538"/>
      <c r="G35" s="1538"/>
      <c r="H35" s="1538"/>
      <c r="I35" s="1538"/>
      <c r="J35" s="1538"/>
      <c r="K35" s="1538"/>
      <c r="L35" s="1539"/>
      <c r="M35" s="1538"/>
      <c r="N35" s="1538"/>
      <c r="O35" s="1538"/>
      <c r="S35" s="2420" t="s">
        <v>435</v>
      </c>
      <c r="T35" s="2420"/>
      <c r="U35" s="1542"/>
      <c r="V35" s="2421" t="str">
        <f>IF(TITLE_NUMBER_PR_CHANGE="",IF(TITLE_NUMBER_PR="","",TITLE_NUMBER_PR),TITLE_NUMBER_PR_CHANGE)</f>
        <v>329-Р</v>
      </c>
      <c r="W35" s="2421"/>
      <c r="X35" s="2421"/>
      <c r="Y35" s="2421"/>
      <c r="Z35" s="2421"/>
      <c r="AA35" s="2421"/>
      <c r="AB35" s="2421"/>
      <c r="AC35" s="496"/>
      <c r="AD35" s="2421" t="str">
        <f>IF(TITLE_NUMBER_PR_CHANGE="",IF(TITLE_NUMBER_PR="","",TITLE_NUMBER_PR),TITLE_NUMBER_PR_CHANGE)</f>
        <v>329-Р</v>
      </c>
      <c r="AE35" s="2421"/>
      <c r="AF35" s="2421"/>
      <c r="AG35" s="2421"/>
      <c r="AH35" s="2421"/>
      <c r="AI35" s="2421"/>
      <c r="AJ35" s="2421"/>
      <c r="AK35" s="496"/>
      <c r="AL35" s="496"/>
      <c r="AM35" s="450"/>
      <c r="AN35" s="538"/>
      <c r="AO35" s="538"/>
      <c r="AP35" s="538"/>
      <c r="AQ35" s="538"/>
      <c r="AR35" s="538"/>
      <c r="AS35" s="588">
        <v>0</v>
      </c>
    </row>
    <row s="12119" customFormat="1" customHeight="1" ht="0">
      <c r="A36" s="1538"/>
      <c r="B36" s="1538"/>
      <c r="C36" s="1538"/>
      <c r="D36" s="1538"/>
      <c r="E36" s="1538"/>
      <c r="F36" s="1538"/>
      <c r="G36" s="1538"/>
      <c r="H36" s="1538"/>
      <c r="I36" s="1538"/>
      <c r="J36" s="1538"/>
      <c r="K36" s="1538"/>
      <c r="L36" s="1539"/>
      <c r="M36" s="1538"/>
      <c r="N36" s="1538"/>
      <c r="O36" s="1538"/>
      <c r="S36" s="493"/>
      <c r="T36" s="493"/>
      <c r="U36" s="1510"/>
      <c r="V36" s="496"/>
      <c r="W36" s="496"/>
      <c r="X36" s="496"/>
      <c r="Y36" s="496"/>
      <c r="Z36" s="496"/>
      <c r="AA36" s="496"/>
      <c r="AB36" s="496"/>
      <c r="AC36" s="448" t="s">
        <v>436</v>
      </c>
      <c r="AD36" s="496"/>
      <c r="AE36" s="496"/>
      <c r="AF36" s="496"/>
      <c r="AG36" s="496"/>
      <c r="AH36" s="496"/>
      <c r="AI36" s="496"/>
      <c r="AJ36" s="496"/>
      <c r="AK36" s="448" t="s">
        <v>436</v>
      </c>
      <c r="AN36" s="538"/>
      <c r="AO36" s="538"/>
      <c r="AP36" s="538"/>
      <c r="AQ36" s="538"/>
      <c r="AR36" s="538"/>
      <c r="AS36" s="588">
        <v>0</v>
      </c>
    </row>
    <row customHeight="1" ht="14.699999999999998">
      <c r="Q37" s="546"/>
      <c r="R37" s="546"/>
      <c r="S37" s="1445"/>
      <c r="T37" s="533"/>
      <c r="U37" s="1414"/>
      <c r="V37" s="2422"/>
      <c r="W37" s="2422"/>
      <c r="X37" s="2422"/>
      <c r="Y37" s="2422"/>
      <c r="Z37" s="2422"/>
      <c r="AA37" s="2422"/>
      <c r="AB37" s="2422"/>
      <c r="AC37" s="2422"/>
      <c r="AD37" s="2422"/>
      <c r="AE37" s="2422"/>
      <c r="AF37" s="2422"/>
      <c r="AG37" s="2422"/>
      <c r="AH37" s="2422"/>
      <c r="AI37" s="2422"/>
      <c r="AJ37" s="2422"/>
      <c r="AK37" s="2422"/>
      <c r="AS37" s="1325">
        <v>14</v>
      </c>
    </row>
    <row customHeight="1" ht="14.699999999999998">
      <c r="Q38" s="546"/>
      <c r="R38" s="546"/>
      <c r="S38" s="2297" t="s">
        <v>312</v>
      </c>
      <c r="T38" s="2297"/>
      <c r="U38" s="2297"/>
      <c r="V38" s="2297"/>
      <c r="W38" s="2297"/>
      <c r="X38" s="2297"/>
      <c r="Y38" s="2297"/>
      <c r="Z38" s="2297"/>
      <c r="AA38" s="2297"/>
      <c r="AB38" s="2297"/>
      <c r="AC38" s="2297"/>
      <c r="AD38" s="2297"/>
      <c r="AE38" s="2297"/>
      <c r="AF38" s="2297"/>
      <c r="AG38" s="2297"/>
      <c r="AH38" s="2297"/>
      <c r="AI38" s="2297"/>
      <c r="AJ38" s="2297"/>
      <c r="AK38" s="2297"/>
      <c r="AL38" s="2297"/>
      <c r="AM38" s="2297" t="s">
        <v>313</v>
      </c>
      <c r="AS38" s="1325">
        <v>14</v>
      </c>
    </row>
    <row customHeight="1" ht="14.699999999999998">
      <c r="Q39" s="546"/>
      <c r="R39" s="546"/>
      <c r="S39" s="2443" t="s">
        <v>91</v>
      </c>
      <c r="T39" s="2379" t="s">
        <v>438</v>
      </c>
      <c r="U39" s="471"/>
      <c r="V39" s="2444" t="s">
        <v>439</v>
      </c>
      <c r="W39" s="2445"/>
      <c r="X39" s="2445"/>
      <c r="Y39" s="2445"/>
      <c r="Z39" s="2445"/>
      <c r="AA39" s="2445"/>
      <c r="AB39" s="2446"/>
      <c r="AC39" s="2447" t="s">
        <v>440</v>
      </c>
      <c r="AD39" s="2444" t="s">
        <v>439</v>
      </c>
      <c r="AE39" s="2445"/>
      <c r="AF39" s="2445"/>
      <c r="AG39" s="2445"/>
      <c r="AH39" s="2445"/>
      <c r="AI39" s="2445"/>
      <c r="AJ39" s="2446"/>
      <c r="AK39" s="2447" t="s">
        <v>441</v>
      </c>
      <c r="AL39" s="2450" t="s">
        <v>442</v>
      </c>
      <c r="AM39" s="2297"/>
      <c r="AS39" s="1325">
        <v>14</v>
      </c>
    </row>
    <row customHeight="1" ht="35.699999999999996">
      <c r="Q40" s="546"/>
      <c r="R40" s="546"/>
      <c r="S40" s="2443"/>
      <c r="T40" s="2379"/>
      <c r="U40" s="1201"/>
      <c r="V40" s="2430" t="s">
        <v>443</v>
      </c>
      <c r="W40" s="2453"/>
      <c r="X40" s="2432" t="s">
        <v>445</v>
      </c>
      <c r="Y40" s="2433"/>
      <c r="Z40" s="2432" t="s">
        <v>446</v>
      </c>
      <c r="AA40" s="2439"/>
      <c r="AB40" s="2433"/>
      <c r="AC40" s="2448"/>
      <c r="AD40" s="2430" t="s">
        <v>463</v>
      </c>
      <c r="AE40" s="2453"/>
      <c r="AF40" s="2432" t="s">
        <v>445</v>
      </c>
      <c r="AG40" s="2433"/>
      <c r="AH40" s="2432" t="s">
        <v>446</v>
      </c>
      <c r="AI40" s="2439"/>
      <c r="AJ40" s="2433"/>
      <c r="AK40" s="2448"/>
      <c r="AL40" s="2451"/>
      <c r="AM40" s="2297"/>
      <c r="AS40" s="1325">
        <v>34</v>
      </c>
    </row>
    <row customHeight="1" ht="35.699999999999996">
      <c r="A41" s="1540"/>
      <c r="B41" s="1540" t="s">
        <v>138</v>
      </c>
      <c r="C41" s="1540" t="s">
        <v>139</v>
      </c>
      <c r="D41" s="1540" t="s">
        <v>140</v>
      </c>
      <c r="E41" s="1534" t="s">
        <v>447</v>
      </c>
      <c r="F41" s="1534" t="s">
        <v>448</v>
      </c>
      <c r="G41" s="1534" t="s">
        <v>449</v>
      </c>
      <c r="H41" s="1534" t="s">
        <v>450</v>
      </c>
      <c r="I41" s="1534" t="s">
        <v>451</v>
      </c>
      <c r="J41" s="1534" t="s">
        <v>452</v>
      </c>
      <c r="K41" s="1534" t="s">
        <v>453</v>
      </c>
      <c r="L41" s="1534" t="s">
        <v>427</v>
      </c>
      <c r="Q41" s="546"/>
      <c r="R41" s="546"/>
      <c r="S41" s="2443"/>
      <c r="T41" s="2379"/>
      <c r="U41" s="472"/>
      <c r="V41" s="2431"/>
      <c r="W41" s="2454"/>
      <c r="X41" s="1392" t="s">
        <v>454</v>
      </c>
      <c r="Y41" s="1392" t="s">
        <v>455</v>
      </c>
      <c r="Z41" s="1508" t="s">
        <v>456</v>
      </c>
      <c r="AA41" s="2440" t="s">
        <v>457</v>
      </c>
      <c r="AB41" s="2441"/>
      <c r="AC41" s="2449"/>
      <c r="AD41" s="2431"/>
      <c r="AE41" s="2454"/>
      <c r="AF41" s="1392" t="s">
        <v>454</v>
      </c>
      <c r="AG41" s="1392" t="s">
        <v>455</v>
      </c>
      <c r="AH41" s="1508" t="s">
        <v>456</v>
      </c>
      <c r="AI41" s="2440" t="s">
        <v>457</v>
      </c>
      <c r="AJ41" s="2441"/>
      <c r="AK41" s="2449"/>
      <c r="AL41" s="2452"/>
      <c r="AM41" s="2297"/>
      <c r="AS41" s="1325">
        <v>34</v>
      </c>
    </row>
    <row s="12668" customFormat="1" customHeight="1" ht="11.25" hidden="1">
      <c r="A42" s="1540"/>
      <c r="B42" s="1540"/>
      <c r="C42" s="1540"/>
      <c r="D42" s="1540"/>
      <c r="E42" s="1540"/>
      <c r="F42" s="1540"/>
      <c r="G42" s="1540"/>
      <c r="H42" s="1540"/>
      <c r="I42" s="1540"/>
      <c r="J42" s="1540"/>
      <c r="K42" s="1540"/>
      <c r="L42" s="1534"/>
      <c r="M42" s="1532"/>
      <c r="N42" s="1532"/>
      <c r="O42" s="1532"/>
      <c r="P42" s="1416"/>
      <c r="Q42" s="1417"/>
      <c r="R42" s="1424">
        <v>1</v>
      </c>
      <c r="S42" s="1447" t="s">
        <v>112</v>
      </c>
      <c r="T42" s="1425" t="s">
        <v>113</v>
      </c>
      <c r="U42" s="1415" t="str">
        <f>OFFSET(U42,0,-1)</f>
        <v>2</v>
      </c>
      <c r="V42" s="1505">
        <f>OFFSET(V42,0,-1)+1</f>
        <v>3</v>
      </c>
      <c r="W42" s="1505"/>
      <c r="X42" s="1505">
        <f>OFFSET(X42,0,-1)+1</f>
        <v>1</v>
      </c>
      <c r="Y42" s="1505">
        <f>OFFSET(Y42,0,-1)+1</f>
        <v>2</v>
      </c>
      <c r="Z42" s="1505">
        <f>OFFSET(Z42,0,-1)+1</f>
        <v>3</v>
      </c>
      <c r="AA42" s="2442">
        <f>OFFSET(AA42,0,-1)+1</f>
        <v>4</v>
      </c>
      <c r="AB42" s="2442"/>
      <c r="AC42" s="1505">
        <f>OFFSET(AC42,0,-2)+1</f>
        <v>5</v>
      </c>
      <c r="AD42" s="1505">
        <f>OFFSET(AD42,0,-1)+1</f>
        <v>6</v>
      </c>
      <c r="AE42" s="1505"/>
      <c r="AF42" s="1505">
        <f>OFFSET(AF42,0,-1)+1</f>
        <v>1</v>
      </c>
      <c r="AG42" s="1505">
        <f>OFFSET(AG42,0,-1)+1</f>
        <v>2</v>
      </c>
      <c r="AH42" s="1505">
        <f>OFFSET(AH42,0,-1)+1</f>
        <v>3</v>
      </c>
      <c r="AI42" s="2442">
        <f>OFFSET(AI42,0,-1)+1</f>
        <v>4</v>
      </c>
      <c r="AJ42" s="2442"/>
      <c r="AK42" s="1505">
        <f>OFFSET(AK42,0,-2)+1</f>
        <v>5</v>
      </c>
      <c r="AL42" s="1415">
        <f>OFFSET(AL42,0,-1)</f>
        <v>5</v>
      </c>
      <c r="AM42" s="1505">
        <f>OFFSET(AM42,0,-1)+1</f>
        <v>6</v>
      </c>
      <c r="AN42" s="681"/>
      <c r="AO42" s="681"/>
      <c r="AP42" s="681"/>
      <c r="AQ42" s="681"/>
      <c r="AR42" s="681"/>
      <c r="AS42" s="666">
        <v>0</v>
      </c>
    </row>
    <row customHeight="1" ht="22.049999999999997">
      <c r="A43" s="1533" t="s">
        <v>194</v>
      </c>
      <c r="B43" s="1533"/>
      <c r="C43" s="1533"/>
      <c r="D43" s="1533"/>
      <c r="E43" s="2428">
        <v>1</v>
      </c>
      <c r="F43" s="1533"/>
      <c r="G43" s="1533"/>
      <c r="H43" s="1533"/>
      <c r="I43" s="1533"/>
      <c r="J43" s="1533"/>
      <c r="K43" s="1533"/>
      <c r="L43" s="1534"/>
      <c r="M43" s="1535"/>
      <c r="N43" s="1535"/>
      <c r="O43" s="1535"/>
      <c r="P43" s="531"/>
      <c r="Q43" s="530"/>
      <c r="R43" s="525"/>
      <c r="S43" s="1506">
        <f>INDEX(PT_DIFFERENTIATION_NUM_NTAR,MATCH(A43,PT_DIFFERENTIATION_NTAR_ID,0))</f>
        <v>0</v>
      </c>
      <c r="T43" s="468" t="s">
        <v>126</v>
      </c>
      <c r="U43" s="470"/>
      <c r="V43" s="2412"/>
      <c r="W43" s="2413"/>
      <c r="X43" s="2413"/>
      <c r="Y43" s="2413"/>
      <c r="Z43" s="2413"/>
      <c r="AA43" s="2413"/>
      <c r="AB43" s="2413"/>
      <c r="AC43" s="2414"/>
      <c r="AD43" s="2412" t="str">
        <f>INDEX(PT_DIFFERENTIATION_NTAR,MATCH(A43,PT_DIFFERENTIATION_NTAR_ID,0))</f>
        <v/>
      </c>
      <c r="AE43" s="2413"/>
      <c r="AF43" s="2413"/>
      <c r="AG43" s="2413"/>
      <c r="AH43" s="2413"/>
      <c r="AI43" s="2413"/>
      <c r="AJ43" s="2413"/>
      <c r="AK43" s="2413"/>
      <c r="AL43" s="2414"/>
      <c r="AM43" s="142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70"/>
      <c r="AP43" s="670" t="str">
        <f>IF(T43="","",T43)</f>
        <v>Наименование тарифа</v>
      </c>
      <c r="AQ43" s="670"/>
      <c r="AR43" s="670"/>
      <c r="AS43" s="1325">
        <v>21</v>
      </c>
    </row>
    <row customHeight="1" ht="22.049999999999997">
      <c r="A44" s="1533" t="s">
        <v>194</v>
      </c>
      <c r="B44" s="1533" t="s">
        <v>195</v>
      </c>
      <c r="C44" s="1533"/>
      <c r="D44" s="1533"/>
      <c r="E44" s="2429"/>
      <c r="F44" s="2428">
        <v>1</v>
      </c>
      <c r="G44" s="1533"/>
      <c r="H44" s="1533"/>
      <c r="I44" s="1533"/>
      <c r="J44" s="1533"/>
      <c r="K44" s="1533"/>
      <c r="L44" s="1534"/>
      <c r="M44" s="1535"/>
      <c r="N44" s="1535"/>
      <c r="O44" s="1535"/>
      <c r="P44" s="1502"/>
      <c r="Q44" s="522"/>
      <c r="R44" s="523"/>
      <c r="S44" s="1506" t="str">
        <f>INDEX(PT_DIFFERENTIATION_NUM_TER,MATCH(B44,PT_DIFFERENTIATION_TER_ID,0))</f>
        <v>.</v>
      </c>
      <c r="T44" s="478" t="s">
        <v>409</v>
      </c>
      <c r="U44" s="470"/>
      <c r="V44" s="2412"/>
      <c r="W44" s="2413"/>
      <c r="X44" s="2413"/>
      <c r="Y44" s="2413"/>
      <c r="Z44" s="2413"/>
      <c r="AA44" s="2413"/>
      <c r="AB44" s="2413"/>
      <c r="AC44" s="2414"/>
      <c r="AD44" s="2412" t="str">
        <f>INDEX(PT_DIFFERENTIATION_TER,MATCH(B44,PT_DIFFERENTIATION_TER_ID,0))</f>
        <v/>
      </c>
      <c r="AE44" s="2413"/>
      <c r="AF44" s="2413"/>
      <c r="AG44" s="2413"/>
      <c r="AH44" s="2413"/>
      <c r="AI44" s="2413"/>
      <c r="AJ44" s="2413"/>
      <c r="AK44" s="2413"/>
      <c r="AL44" s="2414"/>
      <c r="AM44" s="1428" t="s">
        <v>410</v>
      </c>
      <c r="AO44" s="670"/>
      <c r="AP44" s="670" t="str">
        <f>IF(T44="","",T44)</f>
        <v>Территория действия тарифа</v>
      </c>
      <c r="AQ44" s="670"/>
      <c r="AR44" s="670"/>
      <c r="AS44" s="1325">
        <v>21</v>
      </c>
    </row>
    <row customHeight="1" ht="24">
      <c r="A45" s="1533" t="s">
        <v>194</v>
      </c>
      <c r="B45" s="1533" t="s">
        <v>195</v>
      </c>
      <c r="C45" s="1533" t="s">
        <v>196</v>
      </c>
      <c r="D45" s="1533"/>
      <c r="E45" s="2429"/>
      <c r="F45" s="2429"/>
      <c r="G45" s="2428">
        <v>1</v>
      </c>
      <c r="H45" s="1533"/>
      <c r="I45" s="1533"/>
      <c r="J45" s="1533"/>
      <c r="K45" s="1533"/>
      <c r="L45" s="1534"/>
      <c r="M45" s="1535"/>
      <c r="N45" s="1535"/>
      <c r="O45" s="1535"/>
      <c r="P45" s="524"/>
      <c r="Q45" s="522"/>
      <c r="R45" s="523"/>
      <c r="S45" s="1506" t="str">
        <f>INDEX(PT_DIFFERENTIATION_NUM_CS,MATCH(C45,PT_DIFFERENTIATION_CS_ID,0))</f>
        <v>..</v>
      </c>
      <c r="T45" s="479" t="s">
        <v>411</v>
      </c>
      <c r="U45" s="470"/>
      <c r="V45" s="2412"/>
      <c r="W45" s="2413"/>
      <c r="X45" s="2413"/>
      <c r="Y45" s="2413"/>
      <c r="Z45" s="2413"/>
      <c r="AA45" s="2413"/>
      <c r="AB45" s="2413"/>
      <c r="AC45" s="2414"/>
      <c r="AD45" s="2412" t="str">
        <f>INDEX(PT_DIFFERENTIATION_CS,MATCH(C45,PT_DIFFERENTIATION_CS_ID,0))</f>
        <v/>
      </c>
      <c r="AE45" s="2413"/>
      <c r="AF45" s="2413"/>
      <c r="AG45" s="2413"/>
      <c r="AH45" s="2413"/>
      <c r="AI45" s="2413"/>
      <c r="AJ45" s="2413"/>
      <c r="AK45" s="2413"/>
      <c r="AL45" s="2414"/>
      <c r="AM45" s="1428" t="s">
        <v>412</v>
      </c>
      <c r="AO45" s="670"/>
      <c r="AP45" s="670" t="str">
        <f>IF(T45="","",T45)</f>
        <v>Наименование системы теплоснабжения </v>
      </c>
      <c r="AQ45" s="670"/>
      <c r="AR45" s="670"/>
      <c r="AS45" s="1325">
        <v>23</v>
      </c>
    </row>
    <row customHeight="1" ht="22.049999999999997">
      <c r="A46" s="1533" t="s">
        <v>194</v>
      </c>
      <c r="B46" s="1533" t="s">
        <v>195</v>
      </c>
      <c r="C46" s="1533" t="s">
        <v>196</v>
      </c>
      <c r="D46" s="1533" t="s">
        <v>197</v>
      </c>
      <c r="E46" s="2429"/>
      <c r="F46" s="2429"/>
      <c r="G46" s="2429"/>
      <c r="H46" s="2428">
        <v>1</v>
      </c>
      <c r="I46" s="1533"/>
      <c r="J46" s="1533"/>
      <c r="K46" s="1533"/>
      <c r="L46" s="1534"/>
      <c r="M46" s="1535"/>
      <c r="N46" s="1535"/>
      <c r="O46" s="1535"/>
      <c r="P46" s="524"/>
      <c r="Q46" s="522"/>
      <c r="R46" s="523"/>
      <c r="S46" s="1506" t="str">
        <f>INDEX(PT_DIFFERENTIATION_NUM_IST_TE,MATCH(D46,PT_DIFFERENTIATION_IST_TE_ID,0))</f>
        <v>...</v>
      </c>
      <c r="T46" s="480" t="s">
        <v>413</v>
      </c>
      <c r="U46" s="470"/>
      <c r="V46" s="2412"/>
      <c r="W46" s="2413"/>
      <c r="X46" s="2413"/>
      <c r="Y46" s="2413"/>
      <c r="Z46" s="2413"/>
      <c r="AA46" s="2413"/>
      <c r="AB46" s="2413"/>
      <c r="AC46" s="2414"/>
      <c r="AD46" s="2412" t="str">
        <f>INDEX(PT_DIFFERENTIATION_IST_TE,MATCH(D46,PT_DIFFERENTIATION_IST_TE_ID,0))</f>
        <v/>
      </c>
      <c r="AE46" s="2413"/>
      <c r="AF46" s="2413"/>
      <c r="AG46" s="2413"/>
      <c r="AH46" s="2413"/>
      <c r="AI46" s="2413"/>
      <c r="AJ46" s="2413"/>
      <c r="AK46" s="2413"/>
      <c r="AL46" s="2414"/>
      <c r="AM46" s="1428" t="s">
        <v>414</v>
      </c>
      <c r="AO46" s="670"/>
      <c r="AP46" s="670" t="str">
        <f>IF(T46="","",T46)</f>
        <v>Источник тепловой энергии  </v>
      </c>
      <c r="AQ46" s="670"/>
      <c r="AR46" s="670"/>
      <c r="AS46" s="1325">
        <v>21</v>
      </c>
    </row>
    <row s="11993" customFormat="1" customHeight="1" ht="0">
      <c r="A47" s="1513" t="s">
        <v>194</v>
      </c>
      <c r="B47" s="1513" t="s">
        <v>195</v>
      </c>
      <c r="C47" s="1513" t="s">
        <v>196</v>
      </c>
      <c r="D47" s="1513" t="s">
        <v>197</v>
      </c>
      <c r="E47" s="2429"/>
      <c r="F47" s="2429"/>
      <c r="G47" s="2429"/>
      <c r="H47" s="2429"/>
      <c r="I47" s="2426" t="str">
        <f>S46&amp;".1"</f>
        <v>....1</v>
      </c>
      <c r="J47" s="1513"/>
      <c r="K47" s="1513"/>
      <c r="L47" s="1516" t="s">
        <v>415</v>
      </c>
      <c r="M47" s="680"/>
      <c r="N47" s="680"/>
      <c r="O47" s="680"/>
      <c r="P47" s="2427">
        <v>1</v>
      </c>
      <c r="Q47" s="1501"/>
      <c r="R47" s="526"/>
      <c r="S47" s="1212"/>
      <c r="T47" s="1553"/>
      <c r="U47" s="1554"/>
      <c r="V47" s="2466"/>
      <c r="W47" s="2467"/>
      <c r="X47" s="2467"/>
      <c r="Y47" s="2467"/>
      <c r="Z47" s="2467"/>
      <c r="AA47" s="2467"/>
      <c r="AB47" s="2467"/>
      <c r="AC47" s="2468"/>
      <c r="AD47" s="2466"/>
      <c r="AE47" s="2467"/>
      <c r="AF47" s="2467"/>
      <c r="AG47" s="2467"/>
      <c r="AH47" s="2467"/>
      <c r="AI47" s="2467"/>
      <c r="AJ47" s="2467"/>
      <c r="AK47" s="2467"/>
      <c r="AL47" s="2468"/>
      <c r="AM47" s="1555"/>
      <c r="AO47" s="670"/>
      <c r="AP47" s="670" t="str">
        <f>IF(T47="","",T47)</f>
        <v/>
      </c>
      <c r="AQ47" s="670"/>
      <c r="AR47" s="670"/>
      <c r="AS47" s="681">
        <v>0</v>
      </c>
    </row>
    <row customHeight="1" ht="22.049999999999997">
      <c r="A48" s="1533" t="s">
        <v>194</v>
      </c>
      <c r="B48" s="1533" t="s">
        <v>195</v>
      </c>
      <c r="C48" s="1533" t="s">
        <v>196</v>
      </c>
      <c r="D48" s="1533" t="s">
        <v>197</v>
      </c>
      <c r="E48" s="2429"/>
      <c r="F48" s="2429"/>
      <c r="G48" s="2429"/>
      <c r="H48" s="2429"/>
      <c r="I48" s="2456"/>
      <c r="J48" s="2426" t="str">
        <f>S46&amp;".1"</f>
        <v>....1</v>
      </c>
      <c r="K48" s="1533"/>
      <c r="L48" s="1534" t="s">
        <v>418</v>
      </c>
      <c r="P48" s="2427"/>
      <c r="Q48" s="2427">
        <v>1</v>
      </c>
      <c r="R48" s="527"/>
      <c r="S48" s="1506" t="str">
        <f>$J48</f>
        <v>....1</v>
      </c>
      <c r="T48" s="456" t="s">
        <v>419</v>
      </c>
      <c r="U48" s="470"/>
      <c r="V48" s="2415"/>
      <c r="W48" s="2416"/>
      <c r="X48" s="2416"/>
      <c r="Y48" s="2416"/>
      <c r="Z48" s="2416"/>
      <c r="AA48" s="2416"/>
      <c r="AB48" s="2416"/>
      <c r="AC48" s="2417"/>
      <c r="AD48" s="2415"/>
      <c r="AE48" s="2416"/>
      <c r="AF48" s="2416"/>
      <c r="AG48" s="2416"/>
      <c r="AH48" s="2416"/>
      <c r="AI48" s="2416"/>
      <c r="AJ48" s="2416"/>
      <c r="AK48" s="2416"/>
      <c r="AL48" s="2417"/>
      <c r="AM48" s="1428" t="s">
        <v>420</v>
      </c>
      <c r="AO48" s="670"/>
      <c r="AP48" s="670" t="str">
        <f>IF(T48="","",T48)</f>
        <v>Группа потребителей</v>
      </c>
      <c r="AQ48" s="670"/>
      <c r="AR48" s="670"/>
      <c r="AS48" s="1325">
        <v>21</v>
      </c>
    </row>
    <row customHeight="1" ht="22.049999999999997">
      <c r="A49" s="1533" t="s">
        <v>194</v>
      </c>
      <c r="B49" s="1533" t="s">
        <v>195</v>
      </c>
      <c r="C49" s="1533" t="s">
        <v>196</v>
      </c>
      <c r="D49" s="1533" t="s">
        <v>197</v>
      </c>
      <c r="E49" s="2429"/>
      <c r="F49" s="2429"/>
      <c r="G49" s="2429"/>
      <c r="H49" s="2429"/>
      <c r="I49" s="2456"/>
      <c r="J49" s="2456"/>
      <c r="K49" s="2426" t="str">
        <f>J48&amp;".1"</f>
        <v>....1.1</v>
      </c>
      <c r="L49" s="1534" t="s">
        <v>421</v>
      </c>
      <c r="P49" s="2427"/>
      <c r="Q49" s="2427"/>
      <c r="R49" s="527">
        <v>1</v>
      </c>
      <c r="S49" s="1506" t="str">
        <f>$K49</f>
        <v>....1.1</v>
      </c>
      <c r="T49" s="1517"/>
      <c r="U49" s="470"/>
      <c r="V49" s="921"/>
      <c r="W49" s="495"/>
      <c r="X49" s="921"/>
      <c r="Y49" s="1427"/>
      <c r="Z49" s="2435"/>
      <c r="AA49" s="2277" t="s">
        <v>64</v>
      </c>
      <c r="AB49" s="2435"/>
      <c r="AC49" s="2277" t="s">
        <v>64</v>
      </c>
      <c r="AD49" s="921"/>
      <c r="AE49" s="495"/>
      <c r="AF49" s="921"/>
      <c r="AG49" s="1427"/>
      <c r="AH49" s="2435"/>
      <c r="AI49" s="2277" t="s">
        <v>64</v>
      </c>
      <c r="AJ49" s="2457"/>
      <c r="AK49" s="2277" t="s">
        <v>64</v>
      </c>
      <c r="AL49" s="1518"/>
      <c r="AM49" s="2423" t="s">
        <v>464</v>
      </c>
      <c r="AN49" s="681">
        <f>STRCHECKDATE(V50:AL50)</f>
      </c>
      <c r="AO49" s="670"/>
      <c r="AP49" s="670" t="str">
        <f>IF(T49="","",T49)</f>
        <v/>
      </c>
      <c r="AQ49" s="670"/>
      <c r="AR49" s="670"/>
      <c r="AS49" s="1325">
        <v>21</v>
      </c>
    </row>
    <row customHeight="1" ht="1.05">
      <c r="A50" s="1533" t="s">
        <v>194</v>
      </c>
      <c r="B50" s="1533" t="s">
        <v>195</v>
      </c>
      <c r="C50" s="1533" t="s">
        <v>196</v>
      </c>
      <c r="D50" s="1533" t="s">
        <v>197</v>
      </c>
      <c r="E50" s="2429"/>
      <c r="F50" s="2429"/>
      <c r="G50" s="2429"/>
      <c r="H50" s="2429"/>
      <c r="I50" s="2456"/>
      <c r="J50" s="2456"/>
      <c r="K50" s="2426"/>
      <c r="L50" s="1534"/>
      <c r="P50" s="2427"/>
      <c r="Q50" s="2427"/>
      <c r="R50" s="527"/>
      <c r="S50" s="1512"/>
      <c r="T50" s="470"/>
      <c r="U50" s="470"/>
      <c r="V50" s="495"/>
      <c r="W50" s="495"/>
      <c r="X50" s="495"/>
      <c r="Y50" s="498" t="str">
        <f>Z49&amp;"-"&amp;AB49</f>
        <v>-</v>
      </c>
      <c r="Z50" s="2436"/>
      <c r="AA50" s="2277"/>
      <c r="AB50" s="2436"/>
      <c r="AC50" s="2277"/>
      <c r="AD50" s="495"/>
      <c r="AE50" s="495"/>
      <c r="AF50" s="495"/>
      <c r="AG50" s="498" t="str">
        <f>AH49&amp;"-"&amp;AJ49</f>
        <v>-</v>
      </c>
      <c r="AH50" s="2436"/>
      <c r="AI50" s="2277"/>
      <c r="AJ50" s="2458"/>
      <c r="AK50" s="2277"/>
      <c r="AL50" s="1519"/>
      <c r="AM50" s="2424"/>
      <c r="AO50" s="670"/>
      <c r="AP50" s="670" t="str">
        <f>IF(T50="","",T50)</f>
        <v/>
      </c>
      <c r="AQ50" s="670"/>
      <c r="AR50" s="670"/>
      <c r="AS50" s="1325">
        <v>1</v>
      </c>
    </row>
    <row customHeight="1" ht="11.549999999999999">
      <c r="A51" s="1533" t="s">
        <v>194</v>
      </c>
      <c r="B51" s="1533" t="s">
        <v>195</v>
      </c>
      <c r="C51" s="1533" t="s">
        <v>196</v>
      </c>
      <c r="D51" s="1533" t="s">
        <v>197</v>
      </c>
      <c r="E51" s="2429"/>
      <c r="F51" s="2429"/>
      <c r="G51" s="2429"/>
      <c r="H51" s="2429"/>
      <c r="I51" s="2456"/>
      <c r="J51" s="2426"/>
      <c r="K51" s="1533"/>
      <c r="L51" s="1534"/>
      <c r="P51" s="2427"/>
      <c r="Q51" s="2427"/>
      <c r="R51" s="526"/>
      <c r="S51" s="1448"/>
      <c r="T51" s="457" t="s">
        <v>423</v>
      </c>
      <c r="U51" s="537"/>
      <c r="V51" s="537"/>
      <c r="W51" s="537"/>
      <c r="X51" s="537"/>
      <c r="Y51" s="537"/>
      <c r="Z51" s="537"/>
      <c r="AA51" s="537"/>
      <c r="AB51" s="537"/>
      <c r="AC51" s="537"/>
      <c r="AD51" s="537"/>
      <c r="AE51" s="537"/>
      <c r="AF51" s="537"/>
      <c r="AG51" s="537"/>
      <c r="AH51" s="537"/>
      <c r="AI51" s="537"/>
      <c r="AJ51" s="537"/>
      <c r="AK51" s="537"/>
      <c r="AL51" s="494"/>
      <c r="AM51" s="2425"/>
      <c r="AO51" s="670"/>
      <c r="AP51" s="670" t="str">
        <f>IF(T51="","",T51)</f>
        <v>Добавить вид теплоносителя (параметры теплоносителя)</v>
      </c>
      <c r="AQ51" s="670"/>
      <c r="AR51" s="670"/>
      <c r="AS51" s="1325">
        <v>11</v>
      </c>
    </row>
    <row customHeight="1" ht="11.549999999999999">
      <c r="A52" s="1533" t="s">
        <v>194</v>
      </c>
      <c r="B52" s="1533" t="s">
        <v>195</v>
      </c>
      <c r="C52" s="1533" t="s">
        <v>196</v>
      </c>
      <c r="D52" s="1533" t="s">
        <v>197</v>
      </c>
      <c r="E52" s="2429"/>
      <c r="F52" s="2429"/>
      <c r="G52" s="2429"/>
      <c r="H52" s="2429"/>
      <c r="I52" s="2426"/>
      <c r="J52" s="1533"/>
      <c r="K52" s="1533"/>
      <c r="L52" s="1534"/>
      <c r="P52" s="2427"/>
      <c r="Q52" s="1501"/>
      <c r="R52" s="526"/>
      <c r="S52" s="1448"/>
      <c r="T52" s="535" t="s">
        <v>424</v>
      </c>
      <c r="U52" s="537"/>
      <c r="V52" s="537"/>
      <c r="W52" s="537"/>
      <c r="X52" s="537"/>
      <c r="Y52" s="537"/>
      <c r="Z52" s="537"/>
      <c r="AA52" s="537"/>
      <c r="AB52" s="537"/>
      <c r="AC52" s="536"/>
      <c r="AD52" s="537"/>
      <c r="AE52" s="537"/>
      <c r="AF52" s="537"/>
      <c r="AG52" s="537"/>
      <c r="AH52" s="537"/>
      <c r="AI52" s="537"/>
      <c r="AJ52" s="537"/>
      <c r="AK52" s="536"/>
      <c r="AL52" s="537"/>
      <c r="AM52" s="473"/>
      <c r="AO52" s="670"/>
      <c r="AP52" s="670" t="str">
        <f>IF(T52="","",T52)</f>
        <v>Добавить группу потребителей</v>
      </c>
      <c r="AQ52" s="670"/>
      <c r="AR52" s="670"/>
      <c r="AS52" s="1325">
        <v>11</v>
      </c>
    </row>
    <row customHeight="1" ht="0">
      <c r="A53" s="1533" t="s">
        <v>194</v>
      </c>
      <c r="B53" s="1533" t="s">
        <v>195</v>
      </c>
      <c r="C53" s="1533" t="s">
        <v>196</v>
      </c>
      <c r="D53" s="1533" t="s">
        <v>197</v>
      </c>
      <c r="E53" s="2429"/>
      <c r="F53" s="2429"/>
      <c r="G53" s="2429"/>
      <c r="H53" s="2428"/>
      <c r="I53" s="1533"/>
      <c r="J53" s="1533"/>
      <c r="K53" s="1533"/>
      <c r="L53" s="1534"/>
      <c r="M53" s="1535"/>
      <c r="N53" s="1535"/>
      <c r="O53" s="707"/>
      <c r="P53" s="530"/>
      <c r="Q53" s="545"/>
      <c r="R53" s="525"/>
      <c r="S53" s="1556"/>
      <c r="T53" s="1557"/>
      <c r="U53" s="1558"/>
      <c r="V53" s="1558"/>
      <c r="W53" s="1558"/>
      <c r="X53" s="1558"/>
      <c r="Y53" s="1558"/>
      <c r="Z53" s="1558"/>
      <c r="AA53" s="1558"/>
      <c r="AB53" s="1558"/>
      <c r="AC53" s="1558"/>
      <c r="AD53" s="1558"/>
      <c r="AE53" s="1558"/>
      <c r="AF53" s="1558"/>
      <c r="AG53" s="1558"/>
      <c r="AH53" s="1558"/>
      <c r="AI53" s="1558"/>
      <c r="AJ53" s="1558"/>
      <c r="AK53" s="1558"/>
      <c r="AL53" s="1558"/>
      <c r="AM53" s="1559"/>
      <c r="AO53" s="670"/>
      <c r="AP53" s="670" t="str">
        <f>IF(T53="","",T53)</f>
        <v/>
      </c>
      <c r="AQ53" s="670"/>
      <c r="AR53" s="670"/>
      <c r="AS53" s="1325">
        <v>0</v>
      </c>
    </row>
    <row s="11993" customFormat="1" customHeight="1" ht="1.05">
      <c r="A54" s="1513" t="s">
        <v>194</v>
      </c>
      <c r="B54" s="1513" t="s">
        <v>195</v>
      </c>
      <c r="C54" s="1513" t="s">
        <v>196</v>
      </c>
      <c r="D54" s="1484"/>
      <c r="E54" s="2429"/>
      <c r="F54" s="2429"/>
      <c r="G54" s="2428"/>
      <c r="H54" s="1484"/>
      <c r="I54" s="1484"/>
      <c r="J54" s="1484"/>
      <c r="K54" s="1484"/>
      <c r="L54" s="1509"/>
      <c r="M54" s="1485"/>
      <c r="N54" s="1485"/>
      <c r="P54" s="1486"/>
      <c r="Q54" s="1487"/>
      <c r="R54" s="1486"/>
      <c r="S54" s="1492"/>
      <c r="T54" s="1495" t="s">
        <v>165</v>
      </c>
      <c r="U54" s="1494"/>
      <c r="V54" s="1494"/>
      <c r="W54" s="1494"/>
      <c r="X54" s="1494"/>
      <c r="Y54" s="1494"/>
      <c r="Z54" s="1494"/>
      <c r="AA54" s="1494"/>
      <c r="AB54" s="1494"/>
      <c r="AC54" s="1494"/>
      <c r="AD54" s="1494"/>
      <c r="AE54" s="1494"/>
      <c r="AF54" s="1494"/>
      <c r="AG54" s="1494"/>
      <c r="AH54" s="1494"/>
      <c r="AI54" s="1494"/>
      <c r="AJ54" s="1494"/>
      <c r="AK54" s="1494"/>
      <c r="AL54" s="1494"/>
      <c r="AM54" s="1494"/>
      <c r="AO54" s="959"/>
      <c r="AP54" s="959" t="str">
        <f>IF(T54="","",T54)</f>
        <v>Добавить источник для дифференциации</v>
      </c>
      <c r="AQ54" s="959"/>
      <c r="AR54" s="959"/>
      <c r="AS54" s="688">
        <v>1</v>
      </c>
    </row>
    <row s="11993" customFormat="1" customHeight="1" ht="1.05">
      <c r="A55" s="1513" t="s">
        <v>194</v>
      </c>
      <c r="B55" s="1513" t="s">
        <v>195</v>
      </c>
      <c r="C55" s="1484"/>
      <c r="D55" s="1484"/>
      <c r="E55" s="2429"/>
      <c r="F55" s="2428"/>
      <c r="G55" s="1484"/>
      <c r="H55" s="1484"/>
      <c r="I55" s="1484"/>
      <c r="J55" s="1484"/>
      <c r="K55" s="1484"/>
      <c r="L55" s="1509"/>
      <c r="M55" s="1491"/>
      <c r="N55" s="1491"/>
      <c r="P55" s="1486"/>
      <c r="Q55" s="1487"/>
      <c r="R55" s="1486"/>
      <c r="S55" s="1492"/>
      <c r="T55" s="1495" t="s">
        <v>166</v>
      </c>
      <c r="U55" s="1494"/>
      <c r="V55" s="1494"/>
      <c r="W55" s="1494"/>
      <c r="X55" s="1494"/>
      <c r="Y55" s="1494"/>
      <c r="Z55" s="1494"/>
      <c r="AA55" s="1494"/>
      <c r="AB55" s="1494"/>
      <c r="AC55" s="1494"/>
      <c r="AD55" s="1494"/>
      <c r="AE55" s="1494"/>
      <c r="AF55" s="1494"/>
      <c r="AG55" s="1494"/>
      <c r="AH55" s="1494"/>
      <c r="AI55" s="1494"/>
      <c r="AJ55" s="1494"/>
      <c r="AK55" s="1494"/>
      <c r="AL55" s="1494"/>
      <c r="AM55" s="1494"/>
      <c r="AO55" s="959"/>
      <c r="AP55" s="959" t="str">
        <f>IF(T55="","",T55)</f>
        <v>Добавить централизованную систему для дифференциации</v>
      </c>
      <c r="AQ55" s="959"/>
      <c r="AR55" s="959"/>
      <c r="AS55" s="688">
        <v>1</v>
      </c>
    </row>
    <row s="11993" customFormat="1" customHeight="1" ht="1.05">
      <c r="A56" s="1513" t="s">
        <v>194</v>
      </c>
      <c r="B56" s="1513"/>
      <c r="C56" s="1513"/>
      <c r="D56" s="1513"/>
      <c r="E56" s="2428"/>
      <c r="F56" s="1513"/>
      <c r="G56" s="1513"/>
      <c r="H56" s="1513"/>
      <c r="I56" s="1513"/>
      <c r="J56" s="1513"/>
      <c r="K56" s="1513"/>
      <c r="L56" s="1516"/>
      <c r="M56" s="1491"/>
      <c r="N56" s="1491"/>
      <c r="O56" s="688"/>
      <c r="P56" s="550"/>
      <c r="Q56" s="1514"/>
      <c r="R56" s="550"/>
      <c r="S56" s="1492"/>
      <c r="T56" s="1495" t="s">
        <v>167</v>
      </c>
      <c r="U56" s="1494"/>
      <c r="V56" s="1494"/>
      <c r="W56" s="1494"/>
      <c r="X56" s="1494"/>
      <c r="Y56" s="1494"/>
      <c r="Z56" s="1494"/>
      <c r="AA56" s="1494"/>
      <c r="AB56" s="1494"/>
      <c r="AC56" s="1494"/>
      <c r="AD56" s="1494"/>
      <c r="AE56" s="1494"/>
      <c r="AF56" s="1494"/>
      <c r="AG56" s="1494"/>
      <c r="AH56" s="1494"/>
      <c r="AI56" s="1494"/>
      <c r="AJ56" s="1494"/>
      <c r="AK56" s="1494"/>
      <c r="AL56" s="1494"/>
      <c r="AM56" s="1494"/>
      <c r="AO56" s="670"/>
      <c r="AP56" s="670" t="str">
        <f>IF(T56="","",T56)</f>
        <v>Добавить территорию для дифференциации</v>
      </c>
      <c r="AQ56" s="670"/>
      <c r="AR56" s="670"/>
      <c r="AS56" s="681">
        <v>1</v>
      </c>
    </row>
    <row s="11993" customFormat="1" customHeight="1" ht="1.05">
      <c r="A57" s="1484"/>
      <c r="B57" s="1484"/>
      <c r="C57" s="1484"/>
      <c r="D57" s="1484"/>
      <c r="E57" s="1513"/>
      <c r="F57" s="1484"/>
      <c r="G57" s="1484"/>
      <c r="H57" s="1484"/>
      <c r="I57" s="1484"/>
      <c r="J57" s="1484"/>
      <c r="K57" s="1484"/>
      <c r="L57" s="1509"/>
      <c r="M57" s="1491"/>
      <c r="N57" s="1491"/>
      <c r="P57" s="1486"/>
      <c r="Q57" s="1487"/>
      <c r="R57" s="1486"/>
      <c r="S57" s="1492"/>
      <c r="T57" s="1495" t="s">
        <v>168</v>
      </c>
      <c r="U57" s="1494"/>
      <c r="V57" s="1494"/>
      <c r="W57" s="1494"/>
      <c r="X57" s="1494"/>
      <c r="Y57" s="1494"/>
      <c r="Z57" s="1494"/>
      <c r="AA57" s="1494"/>
      <c r="AB57" s="1494"/>
      <c r="AC57" s="1494"/>
      <c r="AD57" s="1494"/>
      <c r="AE57" s="1494"/>
      <c r="AF57" s="1494"/>
      <c r="AG57" s="1494"/>
      <c r="AH57" s="1494"/>
      <c r="AI57" s="1494"/>
      <c r="AJ57" s="1494"/>
      <c r="AK57" s="1494"/>
      <c r="AL57" s="1494"/>
      <c r="AM57" s="1494"/>
      <c r="AO57" s="959"/>
      <c r="AP57" s="959" t="str">
        <f>IF(T57="","",T57)</f>
        <v>Добавить наименование тарифа</v>
      </c>
      <c r="AQ57" s="959"/>
      <c r="AR57" s="959"/>
      <c r="AS57" s="688">
        <v>1</v>
      </c>
    </row>
    <row customHeight="1" ht="11.549999999999999">
      <c r="M58" s="1330"/>
      <c r="N58" s="1330"/>
      <c r="O58" s="707"/>
      <c r="P58" s="1325"/>
      <c r="Q58" s="1325"/>
      <c r="R58" s="1325"/>
      <c r="S58" s="1325"/>
      <c r="AN58" s="1325"/>
      <c r="AO58" s="1325"/>
      <c r="AP58" s="1325"/>
      <c r="AQ58" s="1325"/>
      <c r="AR58" s="1325"/>
      <c r="AS58" s="1325">
        <v>11</v>
      </c>
    </row>
    <row customHeight="1" ht="23.25">
      <c r="O59" s="707"/>
      <c r="S59" s="1423"/>
      <c r="T59" s="2455"/>
      <c r="U59" s="2455"/>
      <c r="V59" s="2455"/>
      <c r="W59" s="2455"/>
      <c r="X59" s="2455"/>
      <c r="Y59" s="2455"/>
      <c r="Z59" s="2455"/>
      <c r="AA59" s="2455"/>
      <c r="AB59" s="2455"/>
      <c r="AC59" s="2455"/>
      <c r="AD59" s="2455"/>
      <c r="AE59" s="2455"/>
      <c r="AF59" s="2455"/>
      <c r="AG59" s="2455"/>
      <c r="AH59" s="2455"/>
      <c r="AI59" s="2455"/>
      <c r="AJ59" s="2455"/>
      <c r="AK59" s="2455"/>
      <c r="AL59" s="2455"/>
      <c r="AM59" s="2455"/>
      <c r="AS59" s="1325">
        <v>22</v>
      </c>
    </row>
    <row customHeight="1" ht="30.45">
      <c r="O60" s="707"/>
      <c r="T60" s="2455"/>
      <c r="U60" s="2455"/>
      <c r="V60" s="2455"/>
      <c r="W60" s="2455"/>
      <c r="X60" s="2455"/>
      <c r="Y60" s="2455"/>
      <c r="Z60" s="2455"/>
      <c r="AA60" s="2455"/>
      <c r="AB60" s="2455"/>
      <c r="AC60" s="2455"/>
      <c r="AD60" s="2455"/>
      <c r="AE60" s="2455"/>
      <c r="AF60" s="2455"/>
      <c r="AG60" s="2455"/>
      <c r="AH60" s="2455"/>
      <c r="AI60" s="2455"/>
      <c r="AJ60" s="2455"/>
      <c r="AK60" s="2455"/>
      <c r="AL60" s="2455"/>
      <c r="AM60" s="2455"/>
      <c r="AS60" s="1325">
        <v>29</v>
      </c>
    </row>
    <row customHeight="1" ht="42">
      <c r="O61" s="707"/>
      <c r="T61" s="2455"/>
      <c r="U61" s="2455"/>
      <c r="V61" s="2455"/>
      <c r="W61" s="2455"/>
      <c r="X61" s="2455"/>
      <c r="Y61" s="2455"/>
      <c r="Z61" s="2455"/>
      <c r="AA61" s="2455"/>
      <c r="AB61" s="2455"/>
      <c r="AC61" s="2455"/>
      <c r="AD61" s="2455"/>
      <c r="AE61" s="2455"/>
      <c r="AF61" s="2455"/>
      <c r="AG61" s="2455"/>
      <c r="AH61" s="2455"/>
      <c r="AI61" s="2455"/>
      <c r="AJ61" s="2455"/>
      <c r="AK61" s="2455"/>
      <c r="AL61" s="2455"/>
      <c r="AM61" s="2455"/>
      <c r="AS61" s="1325">
        <v>40</v>
      </c>
    </row>
    <row customHeight="1" ht="14.699999999999998">
      <c r="O62" s="707"/>
      <c r="AS62" s="1325">
        <v>14</v>
      </c>
    </row>
    <row customHeight="1" ht="21">
      <c r="O63" s="707"/>
      <c r="S63" s="1423"/>
      <c r="T63" s="2469"/>
      <c r="U63" s="2455"/>
      <c r="V63" s="2455"/>
      <c r="W63" s="2455"/>
      <c r="X63" s="2455"/>
      <c r="Y63" s="2455"/>
      <c r="Z63" s="2455"/>
      <c r="AA63" s="2455"/>
      <c r="AB63" s="2455"/>
      <c r="AC63" s="2455"/>
      <c r="AD63" s="2455"/>
      <c r="AE63" s="2455"/>
      <c r="AF63" s="2455"/>
      <c r="AG63" s="2455"/>
      <c r="AH63" s="2455"/>
      <c r="AI63" s="2455"/>
      <c r="AJ63" s="2455"/>
      <c r="AK63" s="2455"/>
      <c r="AL63" s="2455"/>
      <c r="AM63" s="2455"/>
      <c r="AS63" s="1325">
        <v>20</v>
      </c>
    </row>
    <row customHeight="1" ht="29.25">
      <c r="O64" s="707"/>
      <c r="T64" s="2455"/>
      <c r="U64" s="2455"/>
      <c r="V64" s="2455"/>
      <c r="W64" s="2455"/>
      <c r="X64" s="2455"/>
      <c r="Y64" s="2455"/>
      <c r="Z64" s="2455"/>
      <c r="AA64" s="2455"/>
      <c r="AB64" s="2455"/>
      <c r="AC64" s="2455"/>
      <c r="AD64" s="2455"/>
      <c r="AE64" s="2455"/>
      <c r="AF64" s="2455"/>
      <c r="AG64" s="2455"/>
      <c r="AH64" s="2455"/>
      <c r="AI64" s="2455"/>
      <c r="AJ64" s="2455"/>
      <c r="AK64" s="2455"/>
      <c r="AL64" s="2455"/>
      <c r="AM64" s="2455"/>
      <c r="AS64" s="1325">
        <v>28</v>
      </c>
    </row>
    <row customHeight="1" ht="35.699999999999996">
      <c r="T65" s="2455"/>
      <c r="U65" s="2455"/>
      <c r="V65" s="2455"/>
      <c r="W65" s="2455"/>
      <c r="X65" s="2455"/>
      <c r="Y65" s="2455"/>
      <c r="Z65" s="2455"/>
      <c r="AA65" s="2455"/>
      <c r="AB65" s="2455"/>
      <c r="AC65" s="2455"/>
      <c r="AD65" s="2455"/>
      <c r="AE65" s="2455"/>
      <c r="AF65" s="2455"/>
      <c r="AG65" s="2455"/>
      <c r="AH65" s="2455"/>
      <c r="AI65" s="2455"/>
      <c r="AJ65" s="2455"/>
      <c r="AK65" s="2455"/>
      <c r="AL65" s="2455"/>
      <c r="AM65" s="2455"/>
      <c r="AS65" s="1325">
        <v>34</v>
      </c>
    </row>
    <row customHeight="1" ht="22.5" hidden="1">
      <c r="A66" s="1330" t="s">
        <v>85</v>
      </c>
      <c r="B66" s="1330">
        <v>0</v>
      </c>
      <c r="C66" s="1330">
        <v>0</v>
      </c>
      <c r="D66" s="1330">
        <v>0</v>
      </c>
      <c r="E66" s="1330">
        <v>0</v>
      </c>
      <c r="F66" s="1330">
        <v>0</v>
      </c>
      <c r="G66" s="1330">
        <v>0</v>
      </c>
      <c r="H66" s="1330">
        <v>0</v>
      </c>
      <c r="I66" s="1330">
        <v>0</v>
      </c>
      <c r="J66" s="1330">
        <v>0</v>
      </c>
      <c r="K66" s="1330">
        <v>0</v>
      </c>
      <c r="L66" s="1499">
        <v>0</v>
      </c>
      <c r="M66" s="1532">
        <v>0</v>
      </c>
      <c r="N66" s="1532">
        <v>0</v>
      </c>
      <c r="O66" s="1532">
        <v>0</v>
      </c>
      <c r="P66" s="1498">
        <v>0</v>
      </c>
      <c r="Q66" s="514">
        <v>3</v>
      </c>
      <c r="R66" s="514">
        <v>3</v>
      </c>
      <c r="S66" s="751">
        <v>12</v>
      </c>
      <c r="T66" s="1325">
        <v>31</v>
      </c>
      <c r="U66" s="1325">
        <v>0</v>
      </c>
      <c r="V66" s="1325">
        <v>0</v>
      </c>
      <c r="W66" s="1325">
        <v>0</v>
      </c>
      <c r="X66" s="1325">
        <v>0</v>
      </c>
      <c r="Y66" s="1325">
        <v>0</v>
      </c>
      <c r="Z66" s="1325">
        <v>0</v>
      </c>
      <c r="AA66" s="1325">
        <v>0</v>
      </c>
      <c r="AB66" s="1325">
        <v>0</v>
      </c>
      <c r="AC66" s="1325">
        <v>0</v>
      </c>
      <c r="AD66" s="1325">
        <v>24</v>
      </c>
      <c r="AE66" s="1325">
        <v>0</v>
      </c>
      <c r="AF66" s="1325">
        <v>24</v>
      </c>
      <c r="AG66" s="1325">
        <v>24</v>
      </c>
      <c r="AH66" s="1325">
        <v>11</v>
      </c>
      <c r="AI66" s="1325">
        <v>3</v>
      </c>
      <c r="AJ66" s="1325">
        <v>11</v>
      </c>
      <c r="AK66" s="1325">
        <v>0</v>
      </c>
      <c r="AL66" s="1325">
        <v>4</v>
      </c>
      <c r="AM66" s="1325">
        <v>115</v>
      </c>
      <c r="AN66" s="681">
        <v>10</v>
      </c>
      <c r="AO66" s="681">
        <v>10</v>
      </c>
      <c r="AP66" s="681">
        <v>10</v>
      </c>
      <c r="AQ66" s="681">
        <v>10</v>
      </c>
      <c r="AR66" s="681">
        <v>10</v>
      </c>
      <c r="AS66" s="132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36BECE-67C1-F27F-BA45-6D8D662D62E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1992" width="10.57421875" hidden="1"/>
    <col min="2" max="2" style="11992" width="11.00390625" hidden="1" customWidth="1"/>
    <col min="3" max="3" style="11992" width="10.57421875" hidden="1"/>
    <col min="4" max="4" style="11992" width="11.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2.00390625" hidden="1" customWidth="1"/>
    <col min="10" max="10" style="11992" width="9.8515625" hidden="1" customWidth="1"/>
    <col min="11" max="11" style="11992" width="11.421875" hidden="1" customWidth="1"/>
    <col min="12" max="12" style="13388" width="19.140625" hidden="1" customWidth="1"/>
    <col min="13" max="14" style="13389" width="12.28125" hidden="1" customWidth="1"/>
    <col min="15" max="15" style="13389" width="23.421875" hidden="1" customWidth="1"/>
    <col min="16" max="16" style="13390" width="3.7109375" hidden="1" customWidth="1"/>
    <col min="17" max="18" style="13391" width="3.00390625" customWidth="1"/>
    <col min="19" max="19" style="13392" width="12.00390625" customWidth="1"/>
    <col min="20" max="20" style="11913" width="31.00390625" customWidth="1"/>
    <col min="21" max="21" style="11913" width="0.140625" customWidth="1"/>
    <col min="22" max="22" style="11913" width="24.7109375" hidden="1" customWidth="1"/>
    <col min="23" max="23" style="11913" width="0.140625" hidden="1" customWidth="1"/>
    <col min="24" max="25" style="11913" width="24.7109375" hidden="1" customWidth="1"/>
    <col min="26" max="26" style="11913" width="11.7109375" hidden="1" customWidth="1"/>
    <col min="27" max="27" style="11913" width="3.7109375" hidden="1" customWidth="1"/>
    <col min="28" max="28" style="11913" width="11.7109375" hidden="1" customWidth="1"/>
    <col min="29" max="29" style="11913" width="8.57421875" hidden="1" customWidth="1"/>
    <col min="30" max="30" style="11913" width="24.7109375" customWidth="1"/>
    <col min="31" max="31" style="11913" width="0.140625" customWidth="1"/>
    <col min="32" max="33" style="11913" width="24.00390625" customWidth="1"/>
    <col min="34" max="34" style="11913" width="11.00390625" customWidth="1"/>
    <col min="35" max="35" style="11913" width="3.7109375" customWidth="1"/>
    <col min="36" max="36" style="11913" width="11.00390625" customWidth="1"/>
    <col min="37" max="37" style="11913" width="8.57421875" hidden="1" customWidth="1"/>
    <col min="38" max="38" style="11913" width="4.00390625" customWidth="1"/>
    <col min="39" max="39" style="11913" width="115.00390625" customWidth="1"/>
    <col min="40" max="44" style="11993" width="10.00390625" customWidth="1"/>
    <col min="45" max="45" style="11913" width="10.57421875" hidden="1"/>
  </cols>
  <sheetData>
    <row customHeight="1" ht="22.5" hidden="1">
      <c r="Y1" s="497"/>
      <c r="Z1" s="497"/>
      <c r="AG1" s="497"/>
      <c r="AH1" s="497"/>
      <c r="AS1" s="1325" t="s">
        <v>14</v>
      </c>
    </row>
    <row customHeight="1" ht="21" hidden="1">
      <c r="A2" s="1533"/>
      <c r="B2" s="1533"/>
      <c r="C2" s="1533"/>
      <c r="D2" s="1533"/>
      <c r="E2" s="2428">
        <v>1</v>
      </c>
      <c r="F2" s="1533"/>
      <c r="G2" s="1533"/>
      <c r="H2" s="1533"/>
      <c r="I2" s="1533"/>
      <c r="J2" s="1533"/>
      <c r="K2" s="1533"/>
      <c r="L2" s="1534"/>
      <c r="M2" s="1535"/>
      <c r="N2" s="1535"/>
      <c r="O2" s="1535"/>
      <c r="P2" s="531"/>
      <c r="Q2" s="530"/>
      <c r="R2" s="525"/>
      <c r="S2" s="1506">
        <f>INDEX(PT_DIFFERENTIATION_NUM_NTAR,MATCH(A2,PT_DIFFERENTIATION_NTAR_ID,0))</f>
      </c>
      <c r="T2" s="468" t="s">
        <v>126</v>
      </c>
      <c r="U2" s="470"/>
      <c r="V2" s="2412"/>
      <c r="W2" s="2413"/>
      <c r="X2" s="2413"/>
      <c r="Y2" s="2413"/>
      <c r="Z2" s="2413"/>
      <c r="AA2" s="2413"/>
      <c r="AB2" s="2413"/>
      <c r="AC2" s="2414"/>
      <c r="AD2" s="2412">
        <f>INDEX(PT_DIFFERENTIATION_NTAR,MATCH(A2,PT_DIFFERENTIATION_NTAR_ID,0))</f>
      </c>
      <c r="AE2" s="2413"/>
      <c r="AF2" s="2413"/>
      <c r="AG2" s="2413"/>
      <c r="AH2" s="2413"/>
      <c r="AI2" s="2413"/>
      <c r="AJ2" s="2413"/>
      <c r="AK2" s="2413"/>
      <c r="AL2" s="2414"/>
      <c r="AM2" s="1428" t="s">
        <v>408</v>
      </c>
      <c r="AO2" s="670"/>
      <c r="AP2" s="670" t="str">
        <f>IF(T2="","",T2)</f>
        <v>Наименование тарифа</v>
      </c>
      <c r="AQ2" s="670"/>
      <c r="AR2" s="670"/>
      <c r="AS2" s="1325">
        <v>0</v>
      </c>
    </row>
    <row customHeight="1" ht="21" hidden="1">
      <c r="A3" s="1533"/>
      <c r="B3" s="1533"/>
      <c r="C3" s="1533"/>
      <c r="D3" s="1533"/>
      <c r="E3" s="2429"/>
      <c r="F3" s="2428">
        <v>1</v>
      </c>
      <c r="G3" s="1533"/>
      <c r="H3" s="1533"/>
      <c r="I3" s="1533"/>
      <c r="J3" s="1533"/>
      <c r="K3" s="1533"/>
      <c r="L3" s="1534"/>
      <c r="M3" s="1535"/>
      <c r="N3" s="1535"/>
      <c r="O3" s="1535"/>
      <c r="P3" s="1502"/>
      <c r="Q3" s="522"/>
      <c r="R3" s="523"/>
      <c r="S3" s="1506">
        <f>INDEX(PT_DIFFERENTIATION_NUM_TER,MATCH(B3,PT_DIFFERENTIATION_TER_ID,0))</f>
      </c>
      <c r="T3" s="478" t="s">
        <v>409</v>
      </c>
      <c r="U3" s="470"/>
      <c r="V3" s="2412"/>
      <c r="W3" s="2413"/>
      <c r="X3" s="2413"/>
      <c r="Y3" s="2413"/>
      <c r="Z3" s="2413"/>
      <c r="AA3" s="2413"/>
      <c r="AB3" s="2413"/>
      <c r="AC3" s="2414"/>
      <c r="AD3" s="2412">
        <f>INDEX(PT_DIFFERENTIATION_TER,MATCH(B3,PT_DIFFERENTIATION_TER_ID,0))</f>
      </c>
      <c r="AE3" s="2413"/>
      <c r="AF3" s="2413"/>
      <c r="AG3" s="2413"/>
      <c r="AH3" s="2413"/>
      <c r="AI3" s="2413"/>
      <c r="AJ3" s="2413"/>
      <c r="AK3" s="2413"/>
      <c r="AL3" s="2414"/>
      <c r="AM3" s="1428" t="s">
        <v>410</v>
      </c>
      <c r="AO3" s="670"/>
      <c r="AP3" s="670" t="str">
        <f>IF(T3="","",T3)</f>
        <v>Территория действия тарифа</v>
      </c>
      <c r="AQ3" s="670"/>
      <c r="AR3" s="670"/>
      <c r="AS3" s="1325">
        <v>0</v>
      </c>
    </row>
    <row customHeight="1" ht="23.25" hidden="1">
      <c r="A4" s="1533"/>
      <c r="B4" s="1533"/>
      <c r="C4" s="1533"/>
      <c r="D4" s="1533"/>
      <c r="E4" s="2429"/>
      <c r="F4" s="2429"/>
      <c r="G4" s="2428">
        <v>1</v>
      </c>
      <c r="H4" s="1533"/>
      <c r="I4" s="1533"/>
      <c r="J4" s="1533"/>
      <c r="K4" s="1533"/>
      <c r="L4" s="1534"/>
      <c r="M4" s="1535"/>
      <c r="N4" s="1535"/>
      <c r="O4" s="1535"/>
      <c r="P4" s="524"/>
      <c r="Q4" s="522"/>
      <c r="R4" s="523"/>
      <c r="S4" s="1506">
        <f>INDEX(PT_DIFFERENTIATION_NUM_CS,MATCH(C4,PT_DIFFERENTIATION_CS_ID,0))</f>
      </c>
      <c r="T4" s="479" t="s">
        <v>411</v>
      </c>
      <c r="U4" s="470"/>
      <c r="V4" s="2412"/>
      <c r="W4" s="2413"/>
      <c r="X4" s="2413"/>
      <c r="Y4" s="2413"/>
      <c r="Z4" s="2413"/>
      <c r="AA4" s="2413"/>
      <c r="AB4" s="2413"/>
      <c r="AC4" s="2414"/>
      <c r="AD4" s="2412">
        <f>INDEX(PT_DIFFERENTIATION_CS,MATCH(C4,PT_DIFFERENTIATION_CS_ID,0))</f>
      </c>
      <c r="AE4" s="2413"/>
      <c r="AF4" s="2413"/>
      <c r="AG4" s="2413"/>
      <c r="AH4" s="2413"/>
      <c r="AI4" s="2413"/>
      <c r="AJ4" s="2413"/>
      <c r="AK4" s="2413"/>
      <c r="AL4" s="2414"/>
      <c r="AM4" s="1428" t="s">
        <v>412</v>
      </c>
      <c r="AO4" s="670"/>
      <c r="AP4" s="670" t="str">
        <f>IF(T4="","",T4)</f>
        <v>Наименование системы теплоснабжения </v>
      </c>
      <c r="AQ4" s="670"/>
      <c r="AR4" s="670"/>
      <c r="AS4" s="1325">
        <v>0</v>
      </c>
    </row>
    <row customHeight="1" ht="21" hidden="1">
      <c r="A5" s="1533"/>
      <c r="B5" s="1533"/>
      <c r="C5" s="1533"/>
      <c r="D5" s="1533"/>
      <c r="E5" s="2429"/>
      <c r="F5" s="2429"/>
      <c r="G5" s="2429"/>
      <c r="H5" s="2428">
        <v>1</v>
      </c>
      <c r="I5" s="1533"/>
      <c r="J5" s="1533"/>
      <c r="K5" s="1533"/>
      <c r="L5" s="1534"/>
      <c r="M5" s="1535"/>
      <c r="N5" s="1535"/>
      <c r="O5" s="1535"/>
      <c r="P5" s="524"/>
      <c r="Q5" s="522"/>
      <c r="R5" s="523"/>
      <c r="S5" s="1506">
        <f>INDEX(PT_DIFFERENTIATION_NUM_IST_TE,MATCH(D5,PT_DIFFERENTIATION_IST_TE_ID,0))</f>
      </c>
      <c r="T5" s="480" t="s">
        <v>413</v>
      </c>
      <c r="U5" s="470"/>
      <c r="V5" s="2412"/>
      <c r="W5" s="2413"/>
      <c r="X5" s="2413"/>
      <c r="Y5" s="2413"/>
      <c r="Z5" s="2413"/>
      <c r="AA5" s="2413"/>
      <c r="AB5" s="2413"/>
      <c r="AC5" s="2414"/>
      <c r="AD5" s="2412">
        <f>INDEX(PT_DIFFERENTIATION_IST_TE,MATCH(D5,PT_DIFFERENTIATION_IST_TE_ID,0))</f>
      </c>
      <c r="AE5" s="2413"/>
      <c r="AF5" s="2413"/>
      <c r="AG5" s="2413"/>
      <c r="AH5" s="2413"/>
      <c r="AI5" s="2413"/>
      <c r="AJ5" s="2413"/>
      <c r="AK5" s="2413"/>
      <c r="AL5" s="2414"/>
      <c r="AM5" s="1428" t="s">
        <v>414</v>
      </c>
      <c r="AO5" s="670"/>
      <c r="AP5" s="670" t="str">
        <f>IF(T5="","",T5)</f>
        <v>Источник тепловой энергии  </v>
      </c>
      <c r="AQ5" s="670"/>
      <c r="AR5" s="670"/>
      <c r="AS5" s="1325">
        <v>0</v>
      </c>
    </row>
    <row customHeight="1" ht="14.25" hidden="1">
      <c r="A6" s="1533"/>
      <c r="B6" s="1533"/>
      <c r="C6" s="1533"/>
      <c r="D6" s="1533"/>
      <c r="E6" s="2429"/>
      <c r="F6" s="2429"/>
      <c r="G6" s="2429"/>
      <c r="H6" s="2429"/>
      <c r="I6" s="2426">
        <f>S5&amp;".1"</f>
      </c>
      <c r="J6" s="1533"/>
      <c r="K6" s="1533"/>
      <c r="L6" s="1534" t="s">
        <v>415</v>
      </c>
      <c r="M6" s="707"/>
      <c r="P6" s="2427">
        <v>1</v>
      </c>
      <c r="Q6" s="1501"/>
      <c r="R6" s="526"/>
      <c r="S6" s="1212"/>
      <c r="T6" s="1553"/>
      <c r="U6" s="1554"/>
      <c r="V6" s="2466"/>
      <c r="W6" s="2467"/>
      <c r="X6" s="2467"/>
      <c r="Y6" s="2467"/>
      <c r="Z6" s="2467"/>
      <c r="AA6" s="2467"/>
      <c r="AB6" s="2467"/>
      <c r="AC6" s="2468"/>
      <c r="AD6" s="2466"/>
      <c r="AE6" s="2467"/>
      <c r="AF6" s="2467"/>
      <c r="AG6" s="2467"/>
      <c r="AH6" s="2467"/>
      <c r="AI6" s="2467"/>
      <c r="AJ6" s="2467"/>
      <c r="AK6" s="2467"/>
      <c r="AL6" s="2468"/>
      <c r="AM6" s="1555"/>
      <c r="AO6" s="670"/>
      <c r="AP6" s="670" t="str">
        <f>IF(T6="","",T6)</f>
        <v/>
      </c>
      <c r="AQ6" s="670"/>
      <c r="AR6" s="670"/>
      <c r="AS6" s="1325">
        <v>0</v>
      </c>
    </row>
    <row customHeight="1" ht="21" hidden="1">
      <c r="A7" s="1533"/>
      <c r="B7" s="1533"/>
      <c r="C7" s="1533"/>
      <c r="D7" s="1533"/>
      <c r="E7" s="2429"/>
      <c r="F7" s="2429"/>
      <c r="G7" s="2429"/>
      <c r="H7" s="2429"/>
      <c r="I7" s="2456"/>
      <c r="J7" s="2426">
        <f>I6&amp;".1"</f>
      </c>
      <c r="K7" s="1533"/>
      <c r="L7" s="1534" t="s">
        <v>418</v>
      </c>
      <c r="M7" s="707"/>
      <c r="N7" s="1536"/>
      <c r="P7" s="2427"/>
      <c r="Q7" s="2427">
        <v>1</v>
      </c>
      <c r="R7" s="527"/>
      <c r="S7" s="1506">
        <f>$J7</f>
      </c>
      <c r="T7" s="456" t="s">
        <v>419</v>
      </c>
      <c r="U7" s="470"/>
      <c r="V7" s="2415"/>
      <c r="W7" s="2416"/>
      <c r="X7" s="2416"/>
      <c r="Y7" s="2416"/>
      <c r="Z7" s="2416"/>
      <c r="AA7" s="2416"/>
      <c r="AB7" s="2416"/>
      <c r="AC7" s="2417"/>
      <c r="AD7" s="2415"/>
      <c r="AE7" s="2416"/>
      <c r="AF7" s="2416"/>
      <c r="AG7" s="2416"/>
      <c r="AH7" s="2416"/>
      <c r="AI7" s="2416"/>
      <c r="AJ7" s="2416"/>
      <c r="AK7" s="2416"/>
      <c r="AL7" s="2417"/>
      <c r="AM7" s="1428" t="s">
        <v>420</v>
      </c>
      <c r="AO7" s="670"/>
      <c r="AP7" s="670" t="str">
        <f>IF(T7="","",T7)</f>
        <v>Группа потребителей</v>
      </c>
      <c r="AQ7" s="670"/>
      <c r="AR7" s="670"/>
      <c r="AS7" s="1325">
        <v>0</v>
      </c>
    </row>
    <row customHeight="1" ht="21" hidden="1">
      <c r="A8" s="1533"/>
      <c r="B8" s="1533"/>
      <c r="C8" s="1533"/>
      <c r="D8" s="1533"/>
      <c r="E8" s="2429"/>
      <c r="F8" s="2429"/>
      <c r="G8" s="2429"/>
      <c r="H8" s="2429"/>
      <c r="I8" s="2456"/>
      <c r="J8" s="2456"/>
      <c r="K8" s="2426">
        <f>J7&amp;".1"</f>
      </c>
      <c r="L8" s="1534" t="s">
        <v>421</v>
      </c>
      <c r="M8" s="707"/>
      <c r="N8" s="1536"/>
      <c r="O8" s="1536"/>
      <c r="P8" s="2427"/>
      <c r="Q8" s="2427"/>
      <c r="R8" s="527">
        <v>1</v>
      </c>
      <c r="S8" s="1506">
        <f>$K8</f>
      </c>
      <c r="T8" s="1517"/>
      <c r="U8" s="470"/>
      <c r="V8" s="921"/>
      <c r="W8" s="495"/>
      <c r="X8" s="921"/>
      <c r="Y8" s="1427"/>
      <c r="Z8" s="2435"/>
      <c r="AA8" s="2277" t="s">
        <v>64</v>
      </c>
      <c r="AB8" s="2435"/>
      <c r="AC8" s="2277" t="s">
        <v>64</v>
      </c>
      <c r="AD8" s="921"/>
      <c r="AE8" s="495"/>
      <c r="AF8" s="921"/>
      <c r="AG8" s="1427"/>
      <c r="AH8" s="2435"/>
      <c r="AI8" s="2277" t="s">
        <v>64</v>
      </c>
      <c r="AJ8" s="2435"/>
      <c r="AK8" s="2277" t="s">
        <v>64</v>
      </c>
      <c r="AL8" s="495"/>
      <c r="AM8" s="2423" t="s">
        <v>422</v>
      </c>
      <c r="AN8" s="681">
        <f>STRCHECKDATE(V9:AL9)</f>
      </c>
      <c r="AO8" s="670"/>
      <c r="AP8" s="670" t="str">
        <f>IF(T8="","",T8)</f>
        <v/>
      </c>
      <c r="AQ8" s="670"/>
      <c r="AR8" s="670"/>
      <c r="AS8" s="1325">
        <v>0</v>
      </c>
    </row>
    <row customHeight="1" ht="14.25" hidden="1">
      <c r="A9" s="1533"/>
      <c r="B9" s="1533"/>
      <c r="C9" s="1533"/>
      <c r="D9" s="1533"/>
      <c r="E9" s="2429"/>
      <c r="F9" s="2429"/>
      <c r="G9" s="2429"/>
      <c r="H9" s="2429"/>
      <c r="I9" s="2456"/>
      <c r="J9" s="2456"/>
      <c r="K9" s="2426"/>
      <c r="L9" s="1534"/>
      <c r="M9" s="707"/>
      <c r="N9" s="1536"/>
      <c r="O9" s="1536"/>
      <c r="P9" s="2427"/>
      <c r="Q9" s="2427"/>
      <c r="R9" s="527"/>
      <c r="S9" s="1512"/>
      <c r="T9" s="470"/>
      <c r="U9" s="470"/>
      <c r="V9" s="495"/>
      <c r="W9" s="495"/>
      <c r="X9" s="495"/>
      <c r="Y9" s="498" t="str">
        <f>Z8&amp;"-"&amp;AB8</f>
        <v>-</v>
      </c>
      <c r="Z9" s="2436"/>
      <c r="AA9" s="2277"/>
      <c r="AB9" s="2436"/>
      <c r="AC9" s="2277"/>
      <c r="AD9" s="495"/>
      <c r="AE9" s="495"/>
      <c r="AF9" s="495"/>
      <c r="AG9" s="498" t="str">
        <f>AH8&amp;"-"&amp;AJ8</f>
        <v>-</v>
      </c>
      <c r="AH9" s="2436"/>
      <c r="AI9" s="2277"/>
      <c r="AJ9" s="2436"/>
      <c r="AK9" s="2277"/>
      <c r="AL9" s="495"/>
      <c r="AM9" s="2424"/>
      <c r="AO9" s="670"/>
      <c r="AP9" s="670" t="str">
        <f>IF(T9="","",T9)</f>
        <v/>
      </c>
      <c r="AQ9" s="670"/>
      <c r="AR9" s="670"/>
      <c r="AS9" s="1325">
        <v>0</v>
      </c>
    </row>
    <row customHeight="1" ht="15" hidden="1">
      <c r="A10" s="1533"/>
      <c r="B10" s="1533"/>
      <c r="C10" s="1533"/>
      <c r="D10" s="1533"/>
      <c r="E10" s="2429"/>
      <c r="F10" s="2429"/>
      <c r="G10" s="2429"/>
      <c r="H10" s="2429"/>
      <c r="I10" s="2456"/>
      <c r="J10" s="2426"/>
      <c r="K10" s="1533"/>
      <c r="L10" s="1534"/>
      <c r="M10" s="707"/>
      <c r="N10" s="1536"/>
      <c r="P10" s="2427"/>
      <c r="Q10" s="2427"/>
      <c r="R10" s="526"/>
      <c r="S10" s="1448"/>
      <c r="T10" s="457" t="s">
        <v>423</v>
      </c>
      <c r="U10" s="537"/>
      <c r="V10" s="537"/>
      <c r="W10" s="537"/>
      <c r="X10" s="537"/>
      <c r="Y10" s="537"/>
      <c r="Z10" s="537"/>
      <c r="AA10" s="537"/>
      <c r="AB10" s="537"/>
      <c r="AC10" s="537"/>
      <c r="AD10" s="537"/>
      <c r="AE10" s="537"/>
      <c r="AF10" s="537"/>
      <c r="AG10" s="537"/>
      <c r="AH10" s="537"/>
      <c r="AI10" s="537"/>
      <c r="AJ10" s="537"/>
      <c r="AK10" s="537"/>
      <c r="AL10" s="494"/>
      <c r="AM10" s="2425"/>
      <c r="AO10" s="670"/>
      <c r="AP10" s="670" t="str">
        <f>IF(T10="","",T10)</f>
        <v>Добавить вид теплоносителя (параметры теплоносителя)</v>
      </c>
      <c r="AQ10" s="670"/>
      <c r="AR10" s="670"/>
      <c r="AS10" s="1325">
        <v>0</v>
      </c>
    </row>
    <row customHeight="1" ht="11.25" hidden="1">
      <c r="A11" s="1533"/>
      <c r="B11" s="1533"/>
      <c r="C11" s="1533"/>
      <c r="D11" s="1533"/>
      <c r="E11" s="2429"/>
      <c r="F11" s="2429"/>
      <c r="G11" s="2429"/>
      <c r="H11" s="2429"/>
      <c r="I11" s="2426"/>
      <c r="J11" s="1533"/>
      <c r="K11" s="1533"/>
      <c r="L11" s="1534"/>
      <c r="M11" s="707"/>
      <c r="P11" s="2427"/>
      <c r="Q11" s="1501"/>
      <c r="R11" s="526"/>
      <c r="S11" s="1448"/>
      <c r="T11" s="535" t="s">
        <v>424</v>
      </c>
      <c r="U11" s="537"/>
      <c r="V11" s="537"/>
      <c r="W11" s="537"/>
      <c r="X11" s="537"/>
      <c r="Y11" s="537"/>
      <c r="Z11" s="537"/>
      <c r="AA11" s="537"/>
      <c r="AB11" s="537"/>
      <c r="AC11" s="536"/>
      <c r="AD11" s="537"/>
      <c r="AE11" s="537"/>
      <c r="AF11" s="537"/>
      <c r="AG11" s="537"/>
      <c r="AH11" s="537"/>
      <c r="AI11" s="537"/>
      <c r="AJ11" s="537"/>
      <c r="AK11" s="536"/>
      <c r="AL11" s="537"/>
      <c r="AM11" s="473"/>
      <c r="AO11" s="670"/>
      <c r="AP11" s="670" t="str">
        <f>IF(T11="","",T11)</f>
        <v>Добавить группу потребителей</v>
      </c>
      <c r="AQ11" s="670"/>
      <c r="AR11" s="670"/>
      <c r="AS11" s="1325">
        <v>0</v>
      </c>
    </row>
    <row customHeight="1" ht="14.25" hidden="1">
      <c r="A12" s="1533"/>
      <c r="B12" s="1533"/>
      <c r="C12" s="1533"/>
      <c r="D12" s="1533"/>
      <c r="E12" s="2429"/>
      <c r="F12" s="2429"/>
      <c r="G12" s="2429"/>
      <c r="H12" s="2428"/>
      <c r="I12" s="1533"/>
      <c r="J12" s="1533"/>
      <c r="K12" s="1533"/>
      <c r="L12" s="1534"/>
      <c r="M12" s="1535"/>
      <c r="N12" s="1535"/>
      <c r="O12" s="707"/>
      <c r="P12" s="530"/>
      <c r="Q12" s="545"/>
      <c r="R12" s="525"/>
      <c r="S12" s="1556"/>
      <c r="T12" s="1557"/>
      <c r="U12" s="1558"/>
      <c r="V12" s="1558"/>
      <c r="W12" s="1558"/>
      <c r="X12" s="1558"/>
      <c r="Y12" s="1558"/>
      <c r="Z12" s="1558"/>
      <c r="AA12" s="1558"/>
      <c r="AB12" s="1558"/>
      <c r="AC12" s="1558"/>
      <c r="AD12" s="1558"/>
      <c r="AE12" s="1558"/>
      <c r="AF12" s="1558"/>
      <c r="AG12" s="1558"/>
      <c r="AH12" s="1558"/>
      <c r="AI12" s="1558"/>
      <c r="AJ12" s="1558"/>
      <c r="AK12" s="1558"/>
      <c r="AL12" s="1558"/>
      <c r="AM12" s="1559"/>
      <c r="AO12" s="670"/>
      <c r="AP12" s="670" t="str">
        <f>IF(T12="","",T12)</f>
        <v/>
      </c>
      <c r="AQ12" s="670"/>
      <c r="AR12" s="670"/>
      <c r="AS12" s="1325">
        <v>0</v>
      </c>
    </row>
    <row s="11993" customFormat="1" customHeight="1" ht="14.25" hidden="1">
      <c r="A13" s="1484"/>
      <c r="B13" s="1484"/>
      <c r="C13" s="1484"/>
      <c r="D13" s="1484"/>
      <c r="E13" s="2429"/>
      <c r="F13" s="2429"/>
      <c r="G13" s="2428"/>
      <c r="H13" s="1484"/>
      <c r="I13" s="1484"/>
      <c r="J13" s="1484"/>
      <c r="K13" s="1484"/>
      <c r="L13" s="1509"/>
      <c r="M13" s="1485"/>
      <c r="N13" s="1485"/>
      <c r="P13" s="1486"/>
      <c r="Q13" s="1487"/>
      <c r="R13" s="1486"/>
      <c r="S13" s="1488"/>
      <c r="T13" s="1489" t="s">
        <v>165</v>
      </c>
      <c r="U13" s="1490"/>
      <c r="V13" s="1490"/>
      <c r="W13" s="1490"/>
      <c r="X13" s="1490"/>
      <c r="Y13" s="1490"/>
      <c r="Z13" s="1490"/>
      <c r="AA13" s="1490"/>
      <c r="AB13" s="1490"/>
      <c r="AC13" s="1490"/>
      <c r="AD13" s="1490"/>
      <c r="AE13" s="1490"/>
      <c r="AF13" s="1490"/>
      <c r="AG13" s="1490"/>
      <c r="AH13" s="1490"/>
      <c r="AI13" s="1490"/>
      <c r="AJ13" s="1490"/>
      <c r="AK13" s="1490"/>
      <c r="AL13" s="1490"/>
      <c r="AM13" s="1490"/>
      <c r="AO13" s="959"/>
      <c r="AP13" s="959" t="str">
        <f>IF(T13="","",T13)</f>
        <v>Добавить источник для дифференциации</v>
      </c>
      <c r="AQ13" s="959"/>
      <c r="AR13" s="959"/>
      <c r="AS13" s="688">
        <v>0</v>
      </c>
    </row>
    <row s="11993" customFormat="1" customHeight="1" ht="14.25" hidden="1">
      <c r="A14" s="1484"/>
      <c r="B14" s="1484"/>
      <c r="C14" s="1484"/>
      <c r="D14" s="1484"/>
      <c r="E14" s="2429"/>
      <c r="F14" s="2428"/>
      <c r="G14" s="1484"/>
      <c r="H14" s="1484"/>
      <c r="I14" s="1484"/>
      <c r="J14" s="1484"/>
      <c r="K14" s="1484"/>
      <c r="L14" s="1509"/>
      <c r="M14" s="1491"/>
      <c r="N14" s="1491"/>
      <c r="P14" s="1486"/>
      <c r="Q14" s="1487"/>
      <c r="R14" s="1486"/>
      <c r="S14" s="1492"/>
      <c r="T14" s="1493" t="s">
        <v>166</v>
      </c>
      <c r="U14" s="1494"/>
      <c r="V14" s="1494"/>
      <c r="W14" s="1494"/>
      <c r="X14" s="1494"/>
      <c r="Y14" s="1494"/>
      <c r="Z14" s="1494"/>
      <c r="AA14" s="1494"/>
      <c r="AB14" s="1494"/>
      <c r="AC14" s="1494"/>
      <c r="AD14" s="1494"/>
      <c r="AE14" s="1494"/>
      <c r="AF14" s="1494"/>
      <c r="AG14" s="1494"/>
      <c r="AH14" s="1494"/>
      <c r="AI14" s="1494"/>
      <c r="AJ14" s="1494"/>
      <c r="AK14" s="1494"/>
      <c r="AL14" s="1494"/>
      <c r="AM14" s="1494"/>
      <c r="AO14" s="959"/>
      <c r="AP14" s="959" t="str">
        <f>IF(T14="","",T14)</f>
        <v>Добавить централизованную систему для дифференциации</v>
      </c>
      <c r="AQ14" s="959"/>
      <c r="AR14" s="959"/>
      <c r="AS14" s="688">
        <v>0</v>
      </c>
    </row>
    <row s="11993" customFormat="1" customHeight="1" ht="14.25" hidden="1">
      <c r="A15" s="1484"/>
      <c r="B15" s="1484"/>
      <c r="C15" s="1484"/>
      <c r="D15" s="1484"/>
      <c r="E15" s="2428"/>
      <c r="F15" s="1484"/>
      <c r="G15" s="1484"/>
      <c r="H15" s="1484"/>
      <c r="I15" s="1484"/>
      <c r="J15" s="1484"/>
      <c r="K15" s="1484"/>
      <c r="L15" s="1509"/>
      <c r="M15" s="1491"/>
      <c r="N15" s="1491"/>
      <c r="P15" s="1486"/>
      <c r="Q15" s="1487"/>
      <c r="R15" s="1486"/>
      <c r="S15" s="1492"/>
      <c r="T15" s="1495" t="s">
        <v>167</v>
      </c>
      <c r="U15" s="1494"/>
      <c r="V15" s="1494"/>
      <c r="W15" s="1494"/>
      <c r="X15" s="1494"/>
      <c r="Y15" s="1494"/>
      <c r="Z15" s="1494"/>
      <c r="AA15" s="1494"/>
      <c r="AB15" s="1494"/>
      <c r="AC15" s="1494"/>
      <c r="AD15" s="1494"/>
      <c r="AE15" s="1494"/>
      <c r="AF15" s="1494"/>
      <c r="AG15" s="1494"/>
      <c r="AH15" s="1494"/>
      <c r="AI15" s="1494"/>
      <c r="AJ15" s="1494"/>
      <c r="AK15" s="1494"/>
      <c r="AL15" s="1494"/>
      <c r="AM15" s="1494"/>
      <c r="AO15" s="959"/>
      <c r="AP15" s="959" t="str">
        <f>IF(T15="","",T15)</f>
        <v>Добавить территорию для дифференциации</v>
      </c>
      <c r="AQ15" s="959"/>
      <c r="AR15" s="959"/>
      <c r="AS15" s="688">
        <v>0</v>
      </c>
    </row>
    <row customHeight="1" ht="14.25" hidden="1">
      <c r="AC16" s="497"/>
      <c r="AK16" s="497"/>
      <c r="AS16" s="1325">
        <v>0</v>
      </c>
    </row>
    <row customHeight="1" ht="14.25" hidden="1">
      <c r="AD17" s="1530"/>
      <c r="AE17" s="1530"/>
      <c r="AF17" s="1530"/>
      <c r="AG17" s="1531"/>
      <c r="AH17" s="2437"/>
      <c r="AI17" s="2438" t="s">
        <v>64</v>
      </c>
      <c r="AJ17" s="2437"/>
      <c r="AK17" s="2438" t="s">
        <v>64</v>
      </c>
      <c r="AS17" s="1325">
        <v>0</v>
      </c>
    </row>
    <row customHeight="1" ht="14.25" hidden="1">
      <c r="AD18" s="1530"/>
      <c r="AE18" s="1530"/>
      <c r="AF18" s="1530"/>
      <c r="AG18" s="498" t="str">
        <f>AH17&amp;"-"&amp;AJ17</f>
        <v>-</v>
      </c>
      <c r="AH18" s="2438"/>
      <c r="AI18" s="2438"/>
      <c r="AJ18" s="2438"/>
      <c r="AK18" s="2438"/>
      <c r="AS18" s="1325">
        <v>0</v>
      </c>
    </row>
    <row customHeight="1" ht="14.25" hidden="1">
      <c r="AK19" s="497"/>
      <c r="AS19" s="1325">
        <v>0</v>
      </c>
    </row>
    <row s="11992" customFormat="1" customHeight="1" ht="22.5" hidden="1">
      <c r="L20" s="1499"/>
      <c r="M20" s="1532"/>
      <c r="N20" s="1532"/>
      <c r="O20" s="1537" t="s">
        <v>426</v>
      </c>
      <c r="P20" s="1532"/>
      <c r="Q20" s="1541"/>
      <c r="R20" s="1541"/>
      <c r="S20" s="899"/>
      <c r="Z20" s="1537"/>
      <c r="AB20" s="1537"/>
      <c r="AC20" s="1536"/>
      <c r="AH20" s="1537"/>
      <c r="AJ20" s="1537"/>
      <c r="AK20" s="1536"/>
      <c r="AN20" s="681"/>
      <c r="AO20" s="681"/>
      <c r="AP20" s="681"/>
      <c r="AQ20" s="681"/>
      <c r="AR20" s="681"/>
      <c r="AS20" s="1330">
        <v>0</v>
      </c>
    </row>
    <row s="11992" customFormat="1" customHeight="1" ht="14.25" hidden="1">
      <c r="L21" s="1499"/>
      <c r="M21" s="1532"/>
      <c r="N21" s="1532"/>
      <c r="O21" s="1532"/>
      <c r="P21" s="1532"/>
      <c r="Q21" s="1541"/>
      <c r="R21" s="1541"/>
      <c r="S21" s="899"/>
      <c r="AC21" s="1536"/>
      <c r="AK21" s="1536"/>
      <c r="AN21" s="681"/>
      <c r="AO21" s="681"/>
      <c r="AP21" s="681"/>
      <c r="AQ21" s="681"/>
      <c r="AR21" s="681"/>
      <c r="AS21" s="1330">
        <v>0</v>
      </c>
    </row>
    <row s="11992" customFormat="1" customHeight="1" ht="14.25" hidden="1">
      <c r="L22" s="1499"/>
      <c r="M22" s="1532"/>
      <c r="N22" s="1532"/>
      <c r="O22" s="1534" t="s">
        <v>427</v>
      </c>
      <c r="P22" s="1532"/>
      <c r="Q22" s="1541"/>
      <c r="R22" s="1541"/>
      <c r="S22" s="899"/>
      <c r="T22" s="1330" t="s">
        <v>428</v>
      </c>
      <c r="AA22" s="356" t="s">
        <v>429</v>
      </c>
      <c r="AC22" s="356" t="s">
        <v>430</v>
      </c>
      <c r="AD22" s="1330" t="s">
        <v>428</v>
      </c>
      <c r="AI22" s="356" t="s">
        <v>431</v>
      </c>
      <c r="AK22" s="356" t="s">
        <v>430</v>
      </c>
      <c r="AN22" s="681"/>
      <c r="AO22" s="681"/>
      <c r="AP22" s="681"/>
      <c r="AQ22" s="681"/>
      <c r="AR22" s="681"/>
      <c r="AS22" s="1330">
        <v>0</v>
      </c>
    </row>
    <row customHeight="1" ht="14.25" hidden="1">
      <c r="O23" s="1534"/>
      <c r="AS23" s="1325">
        <v>0</v>
      </c>
    </row>
    <row customHeight="1" ht="14.25" hidden="1">
      <c r="O24" s="1534"/>
      <c r="AS24" s="1325">
        <v>0</v>
      </c>
    </row>
    <row customHeight="1" ht="14.699999999999998">
      <c r="Q25" s="546"/>
      <c r="R25" s="546"/>
      <c r="S25" s="1445"/>
      <c r="T25" s="533"/>
      <c r="U25" s="533"/>
      <c r="V25" s="679"/>
      <c r="W25" s="679"/>
      <c r="X25" s="679"/>
      <c r="Y25" s="679"/>
      <c r="Z25" s="679"/>
      <c r="AA25" s="679"/>
      <c r="AB25" s="679"/>
      <c r="AC25" s="679"/>
      <c r="AD25" s="679"/>
      <c r="AE25" s="679"/>
      <c r="AF25" s="679"/>
      <c r="AG25" s="679"/>
      <c r="AH25" s="679"/>
      <c r="AI25" s="679"/>
      <c r="AJ25" s="679"/>
      <c r="AK25" s="679"/>
      <c r="AS25" s="1325">
        <v>14</v>
      </c>
    </row>
    <row customHeight="1" ht="53.54999999999999">
      <c r="Q26" s="546"/>
      <c r="R26" s="546"/>
      <c r="S26" s="241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18"/>
      <c r="U26" s="2418"/>
      <c r="V26" s="2418"/>
      <c r="W26" s="2418"/>
      <c r="X26" s="2418"/>
      <c r="Y26" s="2418"/>
      <c r="Z26" s="2418"/>
      <c r="AA26" s="2418"/>
      <c r="AB26" s="2418"/>
      <c r="AC26" s="2418"/>
      <c r="AD26" s="2418"/>
      <c r="AE26" s="2418"/>
      <c r="AF26" s="2418"/>
      <c r="AG26" s="2418"/>
      <c r="AH26" s="2418"/>
      <c r="AI26" s="2418"/>
      <c r="AJ26" s="2418"/>
      <c r="AK26" s="1413"/>
      <c r="AS26" s="1325">
        <v>51</v>
      </c>
    </row>
    <row customHeight="1" ht="14.699999999999998">
      <c r="Q27" s="546"/>
      <c r="R27" s="546"/>
      <c r="S27" s="2419" t="str">
        <f>IF(org=0,"Не определено",org)</f>
        <v>Филиал "Шатурская ГРЭС" ПАО "Юнипро"</v>
      </c>
      <c r="T27" s="2419"/>
      <c r="U27" s="2419"/>
      <c r="V27" s="2419"/>
      <c r="W27" s="2419"/>
      <c r="X27" s="2419"/>
      <c r="Y27" s="2419"/>
      <c r="Z27" s="2419"/>
      <c r="AA27" s="2419"/>
      <c r="AB27" s="2419"/>
      <c r="AC27" s="2419"/>
      <c r="AD27" s="2419"/>
      <c r="AE27" s="2419"/>
      <c r="AF27" s="2419"/>
      <c r="AG27" s="2419"/>
      <c r="AH27" s="2419"/>
      <c r="AI27" s="2419"/>
      <c r="AJ27" s="2419"/>
      <c r="AK27" s="1413"/>
      <c r="AS27" s="1325">
        <v>14</v>
      </c>
    </row>
    <row customHeight="1" ht="14.25">
      <c r="Q28" s="546"/>
      <c r="R28" s="546"/>
      <c r="S28" s="1445"/>
      <c r="T28" s="533"/>
      <c r="U28" s="533"/>
      <c r="V28" s="492"/>
      <c r="W28" s="492"/>
      <c r="X28" s="492"/>
      <c r="Y28" s="492"/>
      <c r="Z28" s="492"/>
      <c r="AA28" s="492"/>
      <c r="AB28" s="492"/>
      <c r="AC28" s="492"/>
      <c r="AD28" s="492"/>
      <c r="AE28" s="492"/>
      <c r="AF28" s="492"/>
      <c r="AG28" s="492"/>
      <c r="AH28" s="492"/>
      <c r="AI28" s="492"/>
      <c r="AJ28" s="492"/>
      <c r="AK28" s="492"/>
      <c r="AL28" s="679"/>
      <c r="AS28" s="1325">
        <v>0</v>
      </c>
    </row>
    <row s="12119" customFormat="1" customHeight="1" ht="25.5">
      <c r="A29" s="1538"/>
      <c r="B29" s="1538"/>
      <c r="C29" s="1538"/>
      <c r="D29" s="1538"/>
      <c r="E29" s="1538"/>
      <c r="F29" s="1538"/>
      <c r="G29" s="1538"/>
      <c r="H29" s="1538"/>
      <c r="I29" s="1538"/>
      <c r="J29" s="1538"/>
      <c r="K29" s="1538"/>
      <c r="L29" s="1539"/>
      <c r="M29" s="1538"/>
      <c r="N29" s="1538"/>
      <c r="O29" s="1538"/>
      <c r="S29" s="2420" t="s">
        <v>42</v>
      </c>
      <c r="T29" s="2420"/>
      <c r="U29" s="1542"/>
      <c r="V29" s="2421" t="str">
        <f>IF(TITLE_NAME_OR_PR_CHANGE="",IF(TITLE_NAME_OR_PR="","",TITLE_NAME_OR_PR),TITLE_NAME_OR_PR_CHANGE)</f>
        <v>Комитет по ценам и тарифам Московской области</v>
      </c>
      <c r="W29" s="2421"/>
      <c r="X29" s="2421"/>
      <c r="Y29" s="2421"/>
      <c r="Z29" s="2421"/>
      <c r="AA29" s="2421"/>
      <c r="AB29" s="2421"/>
      <c r="AC29" s="496"/>
      <c r="AD29" s="2421" t="str">
        <f>IF(TITLE_NAME_OR_PR_CHANGE="",IF(TITLE_NAME_OR_PR="","",TITLE_NAME_OR_PR),TITLE_NAME_OR_PR_CHANGE)</f>
        <v>Комитет по ценам и тарифам Московской области</v>
      </c>
      <c r="AE29" s="2421"/>
      <c r="AF29" s="2421"/>
      <c r="AG29" s="2421"/>
      <c r="AH29" s="2421"/>
      <c r="AI29" s="2421"/>
      <c r="AJ29" s="2421"/>
      <c r="AK29" s="496"/>
      <c r="AL29" s="496"/>
      <c r="AM29" s="450"/>
      <c r="AN29" s="538"/>
      <c r="AO29" s="538"/>
      <c r="AP29" s="538"/>
      <c r="AQ29" s="538"/>
      <c r="AR29" s="538"/>
      <c r="AS29" s="588">
        <v>0</v>
      </c>
    </row>
    <row s="12119" customFormat="1" customHeight="1" ht="18.75">
      <c r="A30" s="1538"/>
      <c r="B30" s="1538"/>
      <c r="C30" s="1538"/>
      <c r="D30" s="1538"/>
      <c r="E30" s="1538"/>
      <c r="F30" s="1538"/>
      <c r="G30" s="1538"/>
      <c r="H30" s="1538"/>
      <c r="I30" s="1538"/>
      <c r="J30" s="1538"/>
      <c r="K30" s="1538"/>
      <c r="L30" s="1539"/>
      <c r="M30" s="1538"/>
      <c r="N30" s="1538"/>
      <c r="O30" s="1538"/>
      <c r="S30" s="2420" t="s">
        <v>432</v>
      </c>
      <c r="T30" s="2420"/>
      <c r="U30" s="1542"/>
      <c r="V30" s="2434" t="str">
        <f>IF(TITLE_DATE_PR_CHANGE="",IF(TITLE_DATE_PR="","",TITLE_DATE_PR),TITLE_DATE_PR_CHANGE)</f>
        <v>45646.459814814814</v>
      </c>
      <c r="W30" s="2434"/>
      <c r="X30" s="2434"/>
      <c r="Y30" s="2434"/>
      <c r="Z30" s="2434"/>
      <c r="AA30" s="2434"/>
      <c r="AB30" s="2434"/>
      <c r="AC30" s="496"/>
      <c r="AD30" s="2434" t="str">
        <f>IF(TITLE_DATE_PR_CHANGE="",IF(TITLE_DATE_PR="","",TITLE_DATE_PR),TITLE_DATE_PR_CHANGE)</f>
        <v>45646.459814814814</v>
      </c>
      <c r="AE30" s="2434"/>
      <c r="AF30" s="2434"/>
      <c r="AG30" s="2434"/>
      <c r="AH30" s="2434"/>
      <c r="AI30" s="2434"/>
      <c r="AJ30" s="2434"/>
      <c r="AK30" s="496"/>
      <c r="AL30" s="496"/>
      <c r="AM30" s="450"/>
      <c r="AN30" s="538"/>
      <c r="AO30" s="538"/>
      <c r="AP30" s="538"/>
      <c r="AQ30" s="538"/>
      <c r="AR30" s="538"/>
      <c r="AS30" s="588">
        <v>0</v>
      </c>
    </row>
    <row s="12119" customFormat="1" customHeight="1" ht="18.75">
      <c r="A31" s="1538"/>
      <c r="B31" s="1538"/>
      <c r="C31" s="1538"/>
      <c r="D31" s="1538"/>
      <c r="E31" s="1538"/>
      <c r="F31" s="1538"/>
      <c r="G31" s="1538"/>
      <c r="H31" s="1538"/>
      <c r="I31" s="1538"/>
      <c r="J31" s="1538"/>
      <c r="K31" s="1538"/>
      <c r="L31" s="1539"/>
      <c r="M31" s="1538"/>
      <c r="N31" s="1538"/>
      <c r="O31" s="1538"/>
      <c r="S31" s="2420" t="s">
        <v>433</v>
      </c>
      <c r="T31" s="2420"/>
      <c r="U31" s="1542"/>
      <c r="V31" s="2421" t="str">
        <f>IF(TITLE_NUMBER_PR_CHANGE="",IF(TITLE_NUMBER_PR="","",TITLE_NUMBER_PR),TITLE_NUMBER_PR_CHANGE)</f>
        <v>329-Р</v>
      </c>
      <c r="W31" s="2421"/>
      <c r="X31" s="2421"/>
      <c r="Y31" s="2421"/>
      <c r="Z31" s="2421"/>
      <c r="AA31" s="2421"/>
      <c r="AB31" s="2421"/>
      <c r="AC31" s="496"/>
      <c r="AD31" s="2421" t="str">
        <f>IF(TITLE_NUMBER_PR_CHANGE="",IF(TITLE_NUMBER_PR="","",TITLE_NUMBER_PR),TITLE_NUMBER_PR_CHANGE)</f>
        <v>329-Р</v>
      </c>
      <c r="AE31" s="2421"/>
      <c r="AF31" s="2421"/>
      <c r="AG31" s="2421"/>
      <c r="AH31" s="2421"/>
      <c r="AI31" s="2421"/>
      <c r="AJ31" s="2421"/>
      <c r="AK31" s="496"/>
      <c r="AL31" s="496"/>
      <c r="AM31" s="450"/>
      <c r="AN31" s="538"/>
      <c r="AO31" s="538"/>
      <c r="AP31" s="538"/>
      <c r="AQ31" s="538"/>
      <c r="AR31" s="538"/>
      <c r="AS31" s="588">
        <v>0</v>
      </c>
    </row>
    <row s="12119" customFormat="1" customHeight="1" ht="18.75">
      <c r="A32" s="1538"/>
      <c r="B32" s="1538"/>
      <c r="C32" s="1538"/>
      <c r="D32" s="1538"/>
      <c r="E32" s="1538"/>
      <c r="F32" s="1538"/>
      <c r="G32" s="1538"/>
      <c r="H32" s="1538"/>
      <c r="I32" s="1538"/>
      <c r="J32" s="1538"/>
      <c r="K32" s="1538"/>
      <c r="L32" s="1539"/>
      <c r="M32" s="1538"/>
      <c r="N32" s="1538"/>
      <c r="O32" s="1538"/>
      <c r="S32" s="2420" t="s">
        <v>44</v>
      </c>
      <c r="T32" s="2420"/>
      <c r="U32" s="1542"/>
      <c r="V32"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2" s="2421"/>
      <c r="X32" s="2421"/>
      <c r="Y32" s="2421"/>
      <c r="Z32" s="2421"/>
      <c r="AA32" s="2421"/>
      <c r="AB32" s="2421"/>
      <c r="AC32" s="496"/>
      <c r="AD32"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2" s="2421"/>
      <c r="AF32" s="2421"/>
      <c r="AG32" s="2421"/>
      <c r="AH32" s="2421"/>
      <c r="AI32" s="2421"/>
      <c r="AJ32" s="2421"/>
      <c r="AK32" s="496"/>
      <c r="AL32" s="496"/>
      <c r="AM32" s="450"/>
      <c r="AN32" s="538"/>
      <c r="AO32" s="538"/>
      <c r="AP32" s="538"/>
      <c r="AQ32" s="538"/>
      <c r="AR32" s="538"/>
      <c r="AS32" s="588">
        <v>0</v>
      </c>
    </row>
    <row customHeight="1" ht="14.25" hidden="1">
      <c r="Q33" s="546"/>
      <c r="R33" s="546"/>
      <c r="S33" s="1445"/>
      <c r="T33" s="533"/>
      <c r="U33" s="533"/>
      <c r="V33" s="492"/>
      <c r="W33" s="492"/>
      <c r="X33" s="492"/>
      <c r="Y33" s="492"/>
      <c r="Z33" s="492"/>
      <c r="AA33" s="492"/>
      <c r="AB33" s="492"/>
      <c r="AC33" s="492"/>
      <c r="AD33" s="492"/>
      <c r="AE33" s="492"/>
      <c r="AF33" s="492"/>
      <c r="AG33" s="492"/>
      <c r="AH33" s="492"/>
      <c r="AI33" s="492"/>
      <c r="AJ33" s="492"/>
      <c r="AK33" s="492"/>
      <c r="AL33" s="679"/>
      <c r="AS33" s="1325">
        <v>0</v>
      </c>
    </row>
    <row s="12119" customFormat="1" customHeight="1" ht="18.75" hidden="1">
      <c r="A34" s="1538"/>
      <c r="B34" s="1538"/>
      <c r="C34" s="1538"/>
      <c r="D34" s="1538"/>
      <c r="E34" s="1538"/>
      <c r="F34" s="1538"/>
      <c r="G34" s="1538"/>
      <c r="H34" s="1538"/>
      <c r="I34" s="1538"/>
      <c r="J34" s="1538"/>
      <c r="K34" s="1538"/>
      <c r="L34" s="1539"/>
      <c r="M34" s="1538"/>
      <c r="N34" s="1538"/>
      <c r="O34" s="1538"/>
      <c r="S34" s="2420" t="s">
        <v>434</v>
      </c>
      <c r="T34" s="2420"/>
      <c r="U34" s="1542"/>
      <c r="V34" s="2434" t="str">
        <f>IF(TITLE_DATE_PR_CHANGE="",IF(TITLE_DATE_PR="","",TITLE_DATE_PR),TITLE_DATE_PR_CHANGE)</f>
        <v>45646.459814814814</v>
      </c>
      <c r="W34" s="2434"/>
      <c r="X34" s="2434"/>
      <c r="Y34" s="2434"/>
      <c r="Z34" s="2434"/>
      <c r="AA34" s="2434"/>
      <c r="AB34" s="2434"/>
      <c r="AC34" s="496"/>
      <c r="AD34" s="2434" t="str">
        <f>IF(TITLE_DATE_PR_CHANGE="",IF(TITLE_DATE_PR="","",TITLE_DATE_PR),TITLE_DATE_PR_CHANGE)</f>
        <v>45646.459814814814</v>
      </c>
      <c r="AE34" s="2434"/>
      <c r="AF34" s="2434"/>
      <c r="AG34" s="2434"/>
      <c r="AH34" s="2434"/>
      <c r="AI34" s="2434"/>
      <c r="AJ34" s="2434"/>
      <c r="AK34" s="496"/>
      <c r="AL34" s="496"/>
      <c r="AM34" s="450"/>
      <c r="AN34" s="538"/>
      <c r="AO34" s="538"/>
      <c r="AP34" s="538"/>
      <c r="AQ34" s="538"/>
      <c r="AR34" s="538"/>
      <c r="AS34" s="588">
        <v>0</v>
      </c>
    </row>
    <row s="12119" customFormat="1" customHeight="1" ht="25.5" hidden="1">
      <c r="A35" s="1538"/>
      <c r="B35" s="1538"/>
      <c r="C35" s="1538"/>
      <c r="D35" s="1538"/>
      <c r="E35" s="1538"/>
      <c r="F35" s="1538"/>
      <c r="G35" s="1538"/>
      <c r="H35" s="1538"/>
      <c r="I35" s="1538"/>
      <c r="J35" s="1538"/>
      <c r="K35" s="1538"/>
      <c r="L35" s="1539"/>
      <c r="M35" s="1538"/>
      <c r="N35" s="1538"/>
      <c r="O35" s="1538"/>
      <c r="S35" s="2420" t="s">
        <v>435</v>
      </c>
      <c r="T35" s="2420"/>
      <c r="U35" s="1542"/>
      <c r="V35" s="2421" t="str">
        <f>IF(TITLE_NUMBER_PR_CHANGE="",IF(TITLE_NUMBER_PR="","",TITLE_NUMBER_PR),TITLE_NUMBER_PR_CHANGE)</f>
        <v>329-Р</v>
      </c>
      <c r="W35" s="2421"/>
      <c r="X35" s="2421"/>
      <c r="Y35" s="2421"/>
      <c r="Z35" s="2421"/>
      <c r="AA35" s="2421"/>
      <c r="AB35" s="2421"/>
      <c r="AC35" s="496"/>
      <c r="AD35" s="2421" t="str">
        <f>IF(TITLE_NUMBER_PR_CHANGE="",IF(TITLE_NUMBER_PR="","",TITLE_NUMBER_PR),TITLE_NUMBER_PR_CHANGE)</f>
        <v>329-Р</v>
      </c>
      <c r="AE35" s="2421"/>
      <c r="AF35" s="2421"/>
      <c r="AG35" s="2421"/>
      <c r="AH35" s="2421"/>
      <c r="AI35" s="2421"/>
      <c r="AJ35" s="2421"/>
      <c r="AK35" s="496"/>
      <c r="AL35" s="496"/>
      <c r="AM35" s="450"/>
      <c r="AN35" s="538"/>
      <c r="AO35" s="538"/>
      <c r="AP35" s="538"/>
      <c r="AQ35" s="538"/>
      <c r="AR35" s="538"/>
      <c r="AS35" s="588">
        <v>0</v>
      </c>
    </row>
    <row s="12119" customFormat="1" customHeight="1" ht="0">
      <c r="A36" s="1538"/>
      <c r="B36" s="1538"/>
      <c r="C36" s="1538"/>
      <c r="D36" s="1538"/>
      <c r="E36" s="1538"/>
      <c r="F36" s="1538"/>
      <c r="G36" s="1538"/>
      <c r="H36" s="1538"/>
      <c r="I36" s="1538"/>
      <c r="J36" s="1538"/>
      <c r="K36" s="1538"/>
      <c r="L36" s="1539"/>
      <c r="M36" s="1538"/>
      <c r="N36" s="1538"/>
      <c r="O36" s="1538"/>
      <c r="S36" s="493"/>
      <c r="T36" s="493"/>
      <c r="U36" s="1510"/>
      <c r="V36" s="496"/>
      <c r="W36" s="496"/>
      <c r="X36" s="496"/>
      <c r="Y36" s="496"/>
      <c r="Z36" s="496"/>
      <c r="AA36" s="496"/>
      <c r="AB36" s="496"/>
      <c r="AC36" s="448" t="s">
        <v>436</v>
      </c>
      <c r="AD36" s="496"/>
      <c r="AE36" s="496"/>
      <c r="AF36" s="496"/>
      <c r="AG36" s="496"/>
      <c r="AH36" s="496"/>
      <c r="AI36" s="496"/>
      <c r="AJ36" s="496"/>
      <c r="AK36" s="448" t="s">
        <v>436</v>
      </c>
      <c r="AN36" s="538"/>
      <c r="AO36" s="538"/>
      <c r="AP36" s="538"/>
      <c r="AQ36" s="538"/>
      <c r="AR36" s="538"/>
      <c r="AS36" s="588">
        <v>0</v>
      </c>
    </row>
    <row customHeight="1" ht="14.699999999999998">
      <c r="Q37" s="546"/>
      <c r="R37" s="546"/>
      <c r="S37" s="1445"/>
      <c r="T37" s="533"/>
      <c r="U37" s="1414"/>
      <c r="V37" s="2422"/>
      <c r="W37" s="2422"/>
      <c r="X37" s="2422"/>
      <c r="Y37" s="2422"/>
      <c r="Z37" s="2422"/>
      <c r="AA37" s="2422"/>
      <c r="AB37" s="2422"/>
      <c r="AC37" s="2422"/>
      <c r="AD37" s="2422"/>
      <c r="AE37" s="2422"/>
      <c r="AF37" s="2422"/>
      <c r="AG37" s="2422"/>
      <c r="AH37" s="2422"/>
      <c r="AI37" s="2422"/>
      <c r="AJ37" s="2422"/>
      <c r="AK37" s="2422"/>
      <c r="AS37" s="1325">
        <v>14</v>
      </c>
    </row>
    <row customHeight="1" ht="14.699999999999998">
      <c r="Q38" s="546"/>
      <c r="R38" s="546"/>
      <c r="S38" s="2297" t="s">
        <v>312</v>
      </c>
      <c r="T38" s="2297"/>
      <c r="U38" s="2297"/>
      <c r="V38" s="2297"/>
      <c r="W38" s="2297"/>
      <c r="X38" s="2297"/>
      <c r="Y38" s="2297"/>
      <c r="Z38" s="2297"/>
      <c r="AA38" s="2297"/>
      <c r="AB38" s="2297"/>
      <c r="AC38" s="2297"/>
      <c r="AD38" s="2297"/>
      <c r="AE38" s="2297"/>
      <c r="AF38" s="2297"/>
      <c r="AG38" s="2297"/>
      <c r="AH38" s="2297"/>
      <c r="AI38" s="2297"/>
      <c r="AJ38" s="2297"/>
      <c r="AK38" s="2297"/>
      <c r="AL38" s="2297"/>
      <c r="AM38" s="2297" t="s">
        <v>313</v>
      </c>
      <c r="AS38" s="1325">
        <v>14</v>
      </c>
    </row>
    <row customHeight="1" ht="14.699999999999998">
      <c r="Q39" s="546"/>
      <c r="R39" s="546"/>
      <c r="S39" s="2443" t="s">
        <v>91</v>
      </c>
      <c r="T39" s="2379" t="s">
        <v>438</v>
      </c>
      <c r="U39" s="471"/>
      <c r="V39" s="2444" t="s">
        <v>439</v>
      </c>
      <c r="W39" s="2445"/>
      <c r="X39" s="2445"/>
      <c r="Y39" s="2445"/>
      <c r="Z39" s="2445"/>
      <c r="AA39" s="2445"/>
      <c r="AB39" s="2446"/>
      <c r="AC39" s="2447" t="s">
        <v>440</v>
      </c>
      <c r="AD39" s="2444" t="s">
        <v>439</v>
      </c>
      <c r="AE39" s="2445"/>
      <c r="AF39" s="2445"/>
      <c r="AG39" s="2445"/>
      <c r="AH39" s="2445"/>
      <c r="AI39" s="2445"/>
      <c r="AJ39" s="2446"/>
      <c r="AK39" s="2447" t="s">
        <v>441</v>
      </c>
      <c r="AL39" s="2450" t="s">
        <v>442</v>
      </c>
      <c r="AM39" s="2297"/>
      <c r="AS39" s="1325">
        <v>14</v>
      </c>
    </row>
    <row customHeight="1" ht="35.699999999999996">
      <c r="Q40" s="546"/>
      <c r="R40" s="546"/>
      <c r="S40" s="2443"/>
      <c r="T40" s="2379"/>
      <c r="U40" s="1201"/>
      <c r="V40" s="2430" t="s">
        <v>443</v>
      </c>
      <c r="W40" s="2453"/>
      <c r="X40" s="2432" t="s">
        <v>445</v>
      </c>
      <c r="Y40" s="2433"/>
      <c r="Z40" s="2432" t="s">
        <v>446</v>
      </c>
      <c r="AA40" s="2439"/>
      <c r="AB40" s="2433"/>
      <c r="AC40" s="2448"/>
      <c r="AD40" s="2430" t="s">
        <v>463</v>
      </c>
      <c r="AE40" s="2453"/>
      <c r="AF40" s="2432" t="s">
        <v>445</v>
      </c>
      <c r="AG40" s="2433"/>
      <c r="AH40" s="2432" t="s">
        <v>446</v>
      </c>
      <c r="AI40" s="2439"/>
      <c r="AJ40" s="2433"/>
      <c r="AK40" s="2448"/>
      <c r="AL40" s="2451"/>
      <c r="AM40" s="2297"/>
      <c r="AS40" s="1325">
        <v>34</v>
      </c>
    </row>
    <row customHeight="1" ht="35.699999999999996">
      <c r="A41" s="1540"/>
      <c r="B41" s="1540" t="s">
        <v>138</v>
      </c>
      <c r="C41" s="1540" t="s">
        <v>139</v>
      </c>
      <c r="D41" s="1540" t="s">
        <v>140</v>
      </c>
      <c r="E41" s="1534" t="s">
        <v>447</v>
      </c>
      <c r="F41" s="1534" t="s">
        <v>448</v>
      </c>
      <c r="G41" s="1534" t="s">
        <v>449</v>
      </c>
      <c r="H41" s="1534" t="s">
        <v>450</v>
      </c>
      <c r="I41" s="1534" t="s">
        <v>451</v>
      </c>
      <c r="J41" s="1534" t="s">
        <v>452</v>
      </c>
      <c r="K41" s="1534" t="s">
        <v>453</v>
      </c>
      <c r="L41" s="1534" t="s">
        <v>427</v>
      </c>
      <c r="Q41" s="546"/>
      <c r="R41" s="546"/>
      <c r="S41" s="2443"/>
      <c r="T41" s="2379"/>
      <c r="U41" s="472"/>
      <c r="V41" s="2431"/>
      <c r="W41" s="2454"/>
      <c r="X41" s="1392" t="s">
        <v>454</v>
      </c>
      <c r="Y41" s="1392" t="s">
        <v>455</v>
      </c>
      <c r="Z41" s="1508" t="s">
        <v>456</v>
      </c>
      <c r="AA41" s="2440" t="s">
        <v>457</v>
      </c>
      <c r="AB41" s="2441"/>
      <c r="AC41" s="2449"/>
      <c r="AD41" s="2431"/>
      <c r="AE41" s="2454"/>
      <c r="AF41" s="1392" t="s">
        <v>454</v>
      </c>
      <c r="AG41" s="1392" t="s">
        <v>455</v>
      </c>
      <c r="AH41" s="1508" t="s">
        <v>456</v>
      </c>
      <c r="AI41" s="2440" t="s">
        <v>457</v>
      </c>
      <c r="AJ41" s="2441"/>
      <c r="AK41" s="2449"/>
      <c r="AL41" s="2452"/>
      <c r="AM41" s="2297"/>
      <c r="AS41" s="1325">
        <v>34</v>
      </c>
    </row>
    <row s="12668" customFormat="1" customHeight="1" ht="11.25" hidden="1">
      <c r="A42" s="1540"/>
      <c r="B42" s="1540"/>
      <c r="C42" s="1540"/>
      <c r="D42" s="1540"/>
      <c r="E42" s="1540"/>
      <c r="F42" s="1540"/>
      <c r="G42" s="1540"/>
      <c r="H42" s="1540"/>
      <c r="I42" s="1540"/>
      <c r="J42" s="1540"/>
      <c r="K42" s="1540"/>
      <c r="L42" s="1534"/>
      <c r="M42" s="1532"/>
      <c r="N42" s="1532"/>
      <c r="O42" s="1532"/>
      <c r="P42" s="1416"/>
      <c r="Q42" s="1417"/>
      <c r="R42" s="1424">
        <v>1</v>
      </c>
      <c r="S42" s="1447" t="s">
        <v>112</v>
      </c>
      <c r="T42" s="1425" t="s">
        <v>113</v>
      </c>
      <c r="U42" s="1415" t="str">
        <f>OFFSET(U42,0,-1)</f>
        <v>2</v>
      </c>
      <c r="V42" s="1505">
        <f>OFFSET(V42,0,-1)+1</f>
        <v>3</v>
      </c>
      <c r="W42" s="1505"/>
      <c r="X42" s="1505">
        <f>OFFSET(X42,0,-1)+1</f>
        <v>1</v>
      </c>
      <c r="Y42" s="1505">
        <f>OFFSET(Y42,0,-1)+1</f>
        <v>2</v>
      </c>
      <c r="Z42" s="1505">
        <f>OFFSET(Z42,0,-1)+1</f>
        <v>3</v>
      </c>
      <c r="AA42" s="2442">
        <f>OFFSET(AA42,0,-1)+1</f>
        <v>4</v>
      </c>
      <c r="AB42" s="2442"/>
      <c r="AC42" s="1505">
        <f>OFFSET(AC42,0,-2)+1</f>
        <v>5</v>
      </c>
      <c r="AD42" s="1505">
        <f>OFFSET(AD42,0,-1)+1</f>
        <v>6</v>
      </c>
      <c r="AE42" s="1505"/>
      <c r="AF42" s="1505">
        <f>OFFSET(AF42,0,-1)+1</f>
        <v>1</v>
      </c>
      <c r="AG42" s="1505">
        <f>OFFSET(AG42,0,-1)+1</f>
        <v>2</v>
      </c>
      <c r="AH42" s="1505">
        <f>OFFSET(AH42,0,-1)+1</f>
        <v>3</v>
      </c>
      <c r="AI42" s="2442">
        <f>OFFSET(AI42,0,-1)+1</f>
        <v>4</v>
      </c>
      <c r="AJ42" s="2442"/>
      <c r="AK42" s="1505">
        <f>OFFSET(AK42,0,-2)+1</f>
        <v>5</v>
      </c>
      <c r="AL42" s="1415">
        <f>OFFSET(AL42,0,-1)</f>
        <v>5</v>
      </c>
      <c r="AM42" s="1505">
        <f>OFFSET(AM42,0,-1)+1</f>
        <v>6</v>
      </c>
      <c r="AN42" s="681"/>
      <c r="AO42" s="681"/>
      <c r="AP42" s="681"/>
      <c r="AQ42" s="681"/>
      <c r="AR42" s="681"/>
      <c r="AS42" s="666">
        <v>0</v>
      </c>
    </row>
    <row customHeight="1" ht="22.049999999999997">
      <c r="A43" s="1533" t="s">
        <v>200</v>
      </c>
      <c r="B43" s="1533"/>
      <c r="C43" s="1533"/>
      <c r="D43" s="1533"/>
      <c r="E43" s="2428">
        <v>1</v>
      </c>
      <c r="F43" s="1533"/>
      <c r="G43" s="1533"/>
      <c r="H43" s="1533"/>
      <c r="I43" s="1533"/>
      <c r="J43" s="1533"/>
      <c r="K43" s="1533"/>
      <c r="L43" s="1534"/>
      <c r="M43" s="1535"/>
      <c r="N43" s="1535"/>
      <c r="O43" s="1535"/>
      <c r="P43" s="531"/>
      <c r="Q43" s="530"/>
      <c r="R43" s="525"/>
      <c r="S43" s="1506">
        <f>INDEX(PT_DIFFERENTIATION_NUM_NTAR,MATCH(A43,PT_DIFFERENTIATION_NTAR_ID,0))</f>
        <v>0</v>
      </c>
      <c r="T43" s="468" t="s">
        <v>126</v>
      </c>
      <c r="U43" s="470"/>
      <c r="V43" s="2412"/>
      <c r="W43" s="2413"/>
      <c r="X43" s="2413"/>
      <c r="Y43" s="2413"/>
      <c r="Z43" s="2413"/>
      <c r="AA43" s="2413"/>
      <c r="AB43" s="2413"/>
      <c r="AC43" s="2414"/>
      <c r="AD43" s="2412" t="str">
        <f>INDEX(PT_DIFFERENTIATION_NTAR,MATCH(A43,PT_DIFFERENTIATION_NTAR_ID,0))</f>
        <v/>
      </c>
      <c r="AE43" s="2413"/>
      <c r="AF43" s="2413"/>
      <c r="AG43" s="2413"/>
      <c r="AH43" s="2413"/>
      <c r="AI43" s="2413"/>
      <c r="AJ43" s="2413"/>
      <c r="AK43" s="2413"/>
      <c r="AL43" s="2414"/>
      <c r="AM43" s="142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670"/>
      <c r="AP43" s="670" t="str">
        <f>IF(T43="","",T43)</f>
        <v>Наименование тарифа</v>
      </c>
      <c r="AQ43" s="670"/>
      <c r="AR43" s="670"/>
      <c r="AS43" s="1325">
        <v>21</v>
      </c>
    </row>
    <row customHeight="1" ht="22.049999999999997">
      <c r="A44" s="1533" t="s">
        <v>200</v>
      </c>
      <c r="B44" s="1533" t="s">
        <v>201</v>
      </c>
      <c r="C44" s="1533"/>
      <c r="D44" s="1533"/>
      <c r="E44" s="2429"/>
      <c r="F44" s="2428">
        <v>1</v>
      </c>
      <c r="G44" s="1533"/>
      <c r="H44" s="1533"/>
      <c r="I44" s="1533"/>
      <c r="J44" s="1533"/>
      <c r="K44" s="1533"/>
      <c r="L44" s="1534"/>
      <c r="M44" s="1535"/>
      <c r="N44" s="1535"/>
      <c r="O44" s="1535"/>
      <c r="P44" s="1502"/>
      <c r="Q44" s="522"/>
      <c r="R44" s="523"/>
      <c r="S44" s="1506" t="str">
        <f>INDEX(PT_DIFFERENTIATION_NUM_TER,MATCH(B44,PT_DIFFERENTIATION_TER_ID,0))</f>
        <v>.</v>
      </c>
      <c r="T44" s="478" t="s">
        <v>409</v>
      </c>
      <c r="U44" s="470"/>
      <c r="V44" s="2412"/>
      <c r="W44" s="2413"/>
      <c r="X44" s="2413"/>
      <c r="Y44" s="2413"/>
      <c r="Z44" s="2413"/>
      <c r="AA44" s="2413"/>
      <c r="AB44" s="2413"/>
      <c r="AC44" s="2414"/>
      <c r="AD44" s="2412" t="str">
        <f>INDEX(PT_DIFFERENTIATION_TER,MATCH(B44,PT_DIFFERENTIATION_TER_ID,0))</f>
        <v/>
      </c>
      <c r="AE44" s="2413"/>
      <c r="AF44" s="2413"/>
      <c r="AG44" s="2413"/>
      <c r="AH44" s="2413"/>
      <c r="AI44" s="2413"/>
      <c r="AJ44" s="2413"/>
      <c r="AK44" s="2413"/>
      <c r="AL44" s="2414"/>
      <c r="AM44" s="1428" t="s">
        <v>410</v>
      </c>
      <c r="AO44" s="670"/>
      <c r="AP44" s="670" t="str">
        <f>IF(T44="","",T44)</f>
        <v>Территория действия тарифа</v>
      </c>
      <c r="AQ44" s="670"/>
      <c r="AR44" s="670"/>
      <c r="AS44" s="1325">
        <v>21</v>
      </c>
    </row>
    <row customHeight="1" ht="24">
      <c r="A45" s="1533" t="s">
        <v>200</v>
      </c>
      <c r="B45" s="1533" t="s">
        <v>201</v>
      </c>
      <c r="C45" s="1533" t="s">
        <v>202</v>
      </c>
      <c r="D45" s="1533"/>
      <c r="E45" s="2429"/>
      <c r="F45" s="2429"/>
      <c r="G45" s="2428">
        <v>1</v>
      </c>
      <c r="H45" s="1533"/>
      <c r="I45" s="1533"/>
      <c r="J45" s="1533"/>
      <c r="K45" s="1533"/>
      <c r="L45" s="1534"/>
      <c r="M45" s="1535"/>
      <c r="N45" s="1535"/>
      <c r="O45" s="1535"/>
      <c r="P45" s="524"/>
      <c r="Q45" s="522"/>
      <c r="R45" s="523"/>
      <c r="S45" s="1506" t="str">
        <f>INDEX(PT_DIFFERENTIATION_NUM_CS,MATCH(C45,PT_DIFFERENTIATION_CS_ID,0))</f>
        <v>..</v>
      </c>
      <c r="T45" s="479" t="s">
        <v>411</v>
      </c>
      <c r="U45" s="470"/>
      <c r="V45" s="2412"/>
      <c r="W45" s="2413"/>
      <c r="X45" s="2413"/>
      <c r="Y45" s="2413"/>
      <c r="Z45" s="2413"/>
      <c r="AA45" s="2413"/>
      <c r="AB45" s="2413"/>
      <c r="AC45" s="2414"/>
      <c r="AD45" s="2412" t="str">
        <f>INDEX(PT_DIFFERENTIATION_CS,MATCH(C45,PT_DIFFERENTIATION_CS_ID,0))</f>
        <v/>
      </c>
      <c r="AE45" s="2413"/>
      <c r="AF45" s="2413"/>
      <c r="AG45" s="2413"/>
      <c r="AH45" s="2413"/>
      <c r="AI45" s="2413"/>
      <c r="AJ45" s="2413"/>
      <c r="AK45" s="2413"/>
      <c r="AL45" s="2414"/>
      <c r="AM45" s="1428" t="s">
        <v>412</v>
      </c>
      <c r="AO45" s="670"/>
      <c r="AP45" s="670" t="str">
        <f>IF(T45="","",T45)</f>
        <v>Наименование системы теплоснабжения </v>
      </c>
      <c r="AQ45" s="670"/>
      <c r="AR45" s="670"/>
      <c r="AS45" s="1325">
        <v>23</v>
      </c>
    </row>
    <row customHeight="1" ht="22.049999999999997">
      <c r="A46" s="1533" t="s">
        <v>200</v>
      </c>
      <c r="B46" s="1533" t="s">
        <v>201</v>
      </c>
      <c r="C46" s="1533" t="s">
        <v>202</v>
      </c>
      <c r="D46" s="1533" t="s">
        <v>203</v>
      </c>
      <c r="E46" s="2429"/>
      <c r="F46" s="2429"/>
      <c r="G46" s="2429"/>
      <c r="H46" s="2428">
        <v>1</v>
      </c>
      <c r="I46" s="1533"/>
      <c r="J46" s="1533"/>
      <c r="K46" s="1533"/>
      <c r="L46" s="1534"/>
      <c r="M46" s="1535"/>
      <c r="N46" s="1535"/>
      <c r="O46" s="1535"/>
      <c r="P46" s="524"/>
      <c r="Q46" s="522"/>
      <c r="R46" s="523"/>
      <c r="S46" s="1506" t="str">
        <f>INDEX(PT_DIFFERENTIATION_NUM_IST_TE,MATCH(D46,PT_DIFFERENTIATION_IST_TE_ID,0))</f>
        <v>...</v>
      </c>
      <c r="T46" s="480" t="s">
        <v>413</v>
      </c>
      <c r="U46" s="470"/>
      <c r="V46" s="2412"/>
      <c r="W46" s="2413"/>
      <c r="X46" s="2413"/>
      <c r="Y46" s="2413"/>
      <c r="Z46" s="2413"/>
      <c r="AA46" s="2413"/>
      <c r="AB46" s="2413"/>
      <c r="AC46" s="2414"/>
      <c r="AD46" s="2412" t="str">
        <f>INDEX(PT_DIFFERENTIATION_IST_TE,MATCH(D46,PT_DIFFERENTIATION_IST_TE_ID,0))</f>
        <v/>
      </c>
      <c r="AE46" s="2413"/>
      <c r="AF46" s="2413"/>
      <c r="AG46" s="2413"/>
      <c r="AH46" s="2413"/>
      <c r="AI46" s="2413"/>
      <c r="AJ46" s="2413"/>
      <c r="AK46" s="2413"/>
      <c r="AL46" s="2414"/>
      <c r="AM46" s="1428" t="s">
        <v>414</v>
      </c>
      <c r="AO46" s="670"/>
      <c r="AP46" s="670" t="str">
        <f>IF(T46="","",T46)</f>
        <v>Источник тепловой энергии  </v>
      </c>
      <c r="AQ46" s="670"/>
      <c r="AR46" s="670"/>
      <c r="AS46" s="1325">
        <v>21</v>
      </c>
    </row>
    <row s="11993" customFormat="1" customHeight="1" ht="0">
      <c r="A47" s="1513" t="s">
        <v>200</v>
      </c>
      <c r="B47" s="1513" t="s">
        <v>201</v>
      </c>
      <c r="C47" s="1513" t="s">
        <v>202</v>
      </c>
      <c r="D47" s="1513" t="s">
        <v>203</v>
      </c>
      <c r="E47" s="2429"/>
      <c r="F47" s="2429"/>
      <c r="G47" s="2429"/>
      <c r="H47" s="2429"/>
      <c r="I47" s="2426" t="str">
        <f>S46&amp;".1"</f>
        <v>....1</v>
      </c>
      <c r="J47" s="1513"/>
      <c r="K47" s="1513"/>
      <c r="L47" s="1516" t="s">
        <v>415</v>
      </c>
      <c r="M47" s="680"/>
      <c r="N47" s="680"/>
      <c r="O47" s="680"/>
      <c r="P47" s="2427">
        <v>1</v>
      </c>
      <c r="Q47" s="1501"/>
      <c r="R47" s="526"/>
      <c r="S47" s="1212"/>
      <c r="T47" s="1553"/>
      <c r="U47" s="1554"/>
      <c r="V47" s="2466"/>
      <c r="W47" s="2467"/>
      <c r="X47" s="2467"/>
      <c r="Y47" s="2467"/>
      <c r="Z47" s="2467"/>
      <c r="AA47" s="2467"/>
      <c r="AB47" s="2467"/>
      <c r="AC47" s="2468"/>
      <c r="AD47" s="2466"/>
      <c r="AE47" s="2467"/>
      <c r="AF47" s="2467"/>
      <c r="AG47" s="2467"/>
      <c r="AH47" s="2467"/>
      <c r="AI47" s="2467"/>
      <c r="AJ47" s="2467"/>
      <c r="AK47" s="2467"/>
      <c r="AL47" s="2468"/>
      <c r="AM47" s="1555"/>
      <c r="AO47" s="670"/>
      <c r="AP47" s="670" t="str">
        <f>IF(T47="","",T47)</f>
        <v/>
      </c>
      <c r="AQ47" s="670"/>
      <c r="AR47" s="670"/>
      <c r="AS47" s="681">
        <v>0</v>
      </c>
    </row>
    <row customHeight="1" ht="22.049999999999997">
      <c r="A48" s="1533" t="s">
        <v>200</v>
      </c>
      <c r="B48" s="1533" t="s">
        <v>201</v>
      </c>
      <c r="C48" s="1533" t="s">
        <v>202</v>
      </c>
      <c r="D48" s="1533" t="s">
        <v>203</v>
      </c>
      <c r="E48" s="2429"/>
      <c r="F48" s="2429"/>
      <c r="G48" s="2429"/>
      <c r="H48" s="2429"/>
      <c r="I48" s="2456"/>
      <c r="J48" s="2426" t="str">
        <f>S46&amp;".1"</f>
        <v>....1</v>
      </c>
      <c r="K48" s="1533"/>
      <c r="L48" s="1534" t="s">
        <v>418</v>
      </c>
      <c r="P48" s="2427"/>
      <c r="Q48" s="2427">
        <v>1</v>
      </c>
      <c r="R48" s="527"/>
      <c r="S48" s="1506" t="str">
        <f>$J48</f>
        <v>....1</v>
      </c>
      <c r="T48" s="456" t="s">
        <v>419</v>
      </c>
      <c r="U48" s="470"/>
      <c r="V48" s="2415"/>
      <c r="W48" s="2416"/>
      <c r="X48" s="2416"/>
      <c r="Y48" s="2416"/>
      <c r="Z48" s="2416"/>
      <c r="AA48" s="2416"/>
      <c r="AB48" s="2416"/>
      <c r="AC48" s="2417"/>
      <c r="AD48" s="2415"/>
      <c r="AE48" s="2416"/>
      <c r="AF48" s="2416"/>
      <c r="AG48" s="2416"/>
      <c r="AH48" s="2416"/>
      <c r="AI48" s="2416"/>
      <c r="AJ48" s="2416"/>
      <c r="AK48" s="2416"/>
      <c r="AL48" s="2417"/>
      <c r="AM48" s="1428" t="s">
        <v>420</v>
      </c>
      <c r="AO48" s="670"/>
      <c r="AP48" s="670" t="str">
        <f>IF(T48="","",T48)</f>
        <v>Группа потребителей</v>
      </c>
      <c r="AQ48" s="670"/>
      <c r="AR48" s="670"/>
      <c r="AS48" s="1325">
        <v>21</v>
      </c>
    </row>
    <row customHeight="1" ht="22.049999999999997">
      <c r="A49" s="1533" t="s">
        <v>200</v>
      </c>
      <c r="B49" s="1533" t="s">
        <v>201</v>
      </c>
      <c r="C49" s="1533" t="s">
        <v>202</v>
      </c>
      <c r="D49" s="1533" t="s">
        <v>203</v>
      </c>
      <c r="E49" s="2429"/>
      <c r="F49" s="2429"/>
      <c r="G49" s="2429"/>
      <c r="H49" s="2429"/>
      <c r="I49" s="2456"/>
      <c r="J49" s="2456"/>
      <c r="K49" s="2426" t="str">
        <f>J48&amp;".1"</f>
        <v>....1.1</v>
      </c>
      <c r="L49" s="1534" t="s">
        <v>421</v>
      </c>
      <c r="P49" s="2427"/>
      <c r="Q49" s="2427"/>
      <c r="R49" s="527">
        <v>1</v>
      </c>
      <c r="S49" s="1506" t="str">
        <f>$K49</f>
        <v>....1.1</v>
      </c>
      <c r="T49" s="1517"/>
      <c r="U49" s="470"/>
      <c r="V49" s="921"/>
      <c r="W49" s="495"/>
      <c r="X49" s="921"/>
      <c r="Y49" s="1427"/>
      <c r="Z49" s="2435"/>
      <c r="AA49" s="2277" t="s">
        <v>64</v>
      </c>
      <c r="AB49" s="2435"/>
      <c r="AC49" s="2277" t="s">
        <v>64</v>
      </c>
      <c r="AD49" s="921"/>
      <c r="AE49" s="495"/>
      <c r="AF49" s="921"/>
      <c r="AG49" s="1427"/>
      <c r="AH49" s="2435"/>
      <c r="AI49" s="2277" t="s">
        <v>64</v>
      </c>
      <c r="AJ49" s="2457"/>
      <c r="AK49" s="2277" t="s">
        <v>64</v>
      </c>
      <c r="AL49" s="1518"/>
      <c r="AM49" s="2423" t="s">
        <v>464</v>
      </c>
      <c r="AN49" s="681">
        <f>STRCHECKDATE(V50:AL50)</f>
      </c>
      <c r="AO49" s="670"/>
      <c r="AP49" s="670" t="str">
        <f>IF(T49="","",T49)</f>
        <v/>
      </c>
      <c r="AQ49" s="670"/>
      <c r="AR49" s="670"/>
      <c r="AS49" s="1325">
        <v>21</v>
      </c>
    </row>
    <row customHeight="1" ht="0">
      <c r="A50" s="1533" t="s">
        <v>200</v>
      </c>
      <c r="B50" s="1533" t="s">
        <v>201</v>
      </c>
      <c r="C50" s="1533" t="s">
        <v>202</v>
      </c>
      <c r="D50" s="1533" t="s">
        <v>203</v>
      </c>
      <c r="E50" s="2429"/>
      <c r="F50" s="2429"/>
      <c r="G50" s="2429"/>
      <c r="H50" s="2429"/>
      <c r="I50" s="2456"/>
      <c r="J50" s="2456"/>
      <c r="K50" s="2426"/>
      <c r="L50" s="1534"/>
      <c r="P50" s="2427"/>
      <c r="Q50" s="2427"/>
      <c r="R50" s="527"/>
      <c r="S50" s="1512"/>
      <c r="T50" s="470"/>
      <c r="U50" s="470"/>
      <c r="V50" s="495"/>
      <c r="W50" s="495"/>
      <c r="X50" s="495"/>
      <c r="Y50" s="498" t="str">
        <f>Z49&amp;"-"&amp;AB49</f>
        <v>-</v>
      </c>
      <c r="Z50" s="2436"/>
      <c r="AA50" s="2277"/>
      <c r="AB50" s="2436"/>
      <c r="AC50" s="2277"/>
      <c r="AD50" s="495"/>
      <c r="AE50" s="495"/>
      <c r="AF50" s="495"/>
      <c r="AG50" s="498" t="str">
        <f>AH49&amp;"-"&amp;AJ49</f>
        <v>-</v>
      </c>
      <c r="AH50" s="2436"/>
      <c r="AI50" s="2277"/>
      <c r="AJ50" s="2458"/>
      <c r="AK50" s="2277"/>
      <c r="AL50" s="1519"/>
      <c r="AM50" s="2424"/>
      <c r="AO50" s="670"/>
      <c r="AP50" s="670" t="str">
        <f>IF(T50="","",T50)</f>
        <v/>
      </c>
      <c r="AQ50" s="670"/>
      <c r="AR50" s="670"/>
      <c r="AS50" s="1325">
        <v>0</v>
      </c>
    </row>
    <row customHeight="1" ht="11.549999999999999">
      <c r="A51" s="1533" t="s">
        <v>200</v>
      </c>
      <c r="B51" s="1533" t="s">
        <v>201</v>
      </c>
      <c r="C51" s="1533" t="s">
        <v>202</v>
      </c>
      <c r="D51" s="1533" t="s">
        <v>203</v>
      </c>
      <c r="E51" s="2429"/>
      <c r="F51" s="2429"/>
      <c r="G51" s="2429"/>
      <c r="H51" s="2429"/>
      <c r="I51" s="2456"/>
      <c r="J51" s="2426"/>
      <c r="K51" s="1533"/>
      <c r="L51" s="1534"/>
      <c r="P51" s="2427"/>
      <c r="Q51" s="2427"/>
      <c r="R51" s="526"/>
      <c r="S51" s="1448"/>
      <c r="T51" s="457" t="s">
        <v>423</v>
      </c>
      <c r="U51" s="537"/>
      <c r="V51" s="537"/>
      <c r="W51" s="537"/>
      <c r="X51" s="537"/>
      <c r="Y51" s="537"/>
      <c r="Z51" s="537"/>
      <c r="AA51" s="537"/>
      <c r="AB51" s="537"/>
      <c r="AC51" s="537"/>
      <c r="AD51" s="537"/>
      <c r="AE51" s="537"/>
      <c r="AF51" s="537"/>
      <c r="AG51" s="537"/>
      <c r="AH51" s="537"/>
      <c r="AI51" s="537"/>
      <c r="AJ51" s="537"/>
      <c r="AK51" s="537"/>
      <c r="AL51" s="494"/>
      <c r="AM51" s="2425"/>
      <c r="AO51" s="670"/>
      <c r="AP51" s="670" t="str">
        <f>IF(T51="","",T51)</f>
        <v>Добавить вид теплоносителя (параметры теплоносителя)</v>
      </c>
      <c r="AQ51" s="670"/>
      <c r="AR51" s="670"/>
      <c r="AS51" s="1325">
        <v>11</v>
      </c>
    </row>
    <row customHeight="1" ht="11.549999999999999">
      <c r="A52" s="1533" t="s">
        <v>200</v>
      </c>
      <c r="B52" s="1533" t="s">
        <v>201</v>
      </c>
      <c r="C52" s="1533" t="s">
        <v>202</v>
      </c>
      <c r="D52" s="1533" t="s">
        <v>203</v>
      </c>
      <c r="E52" s="2429"/>
      <c r="F52" s="2429"/>
      <c r="G52" s="2429"/>
      <c r="H52" s="2429"/>
      <c r="I52" s="2426"/>
      <c r="J52" s="1533"/>
      <c r="K52" s="1533"/>
      <c r="L52" s="1534"/>
      <c r="P52" s="2427"/>
      <c r="Q52" s="1501"/>
      <c r="R52" s="526"/>
      <c r="S52" s="1448"/>
      <c r="T52" s="535" t="s">
        <v>424</v>
      </c>
      <c r="U52" s="537"/>
      <c r="V52" s="537"/>
      <c r="W52" s="537"/>
      <c r="X52" s="537"/>
      <c r="Y52" s="537"/>
      <c r="Z52" s="537"/>
      <c r="AA52" s="537"/>
      <c r="AB52" s="537"/>
      <c r="AC52" s="536"/>
      <c r="AD52" s="537"/>
      <c r="AE52" s="537"/>
      <c r="AF52" s="537"/>
      <c r="AG52" s="537"/>
      <c r="AH52" s="537"/>
      <c r="AI52" s="537"/>
      <c r="AJ52" s="537"/>
      <c r="AK52" s="536"/>
      <c r="AL52" s="537"/>
      <c r="AM52" s="473"/>
      <c r="AO52" s="670"/>
      <c r="AP52" s="670" t="str">
        <f>IF(T52="","",T52)</f>
        <v>Добавить группу потребителей</v>
      </c>
      <c r="AQ52" s="670"/>
      <c r="AR52" s="670"/>
      <c r="AS52" s="1325">
        <v>11</v>
      </c>
    </row>
    <row customHeight="1" ht="0">
      <c r="A53" s="1533" t="s">
        <v>200</v>
      </c>
      <c r="B53" s="1533" t="s">
        <v>201</v>
      </c>
      <c r="C53" s="1533" t="s">
        <v>202</v>
      </c>
      <c r="D53" s="1533" t="s">
        <v>203</v>
      </c>
      <c r="E53" s="2429"/>
      <c r="F53" s="2429"/>
      <c r="G53" s="2429"/>
      <c r="H53" s="2428"/>
      <c r="I53" s="1533"/>
      <c r="J53" s="1533"/>
      <c r="K53" s="1533"/>
      <c r="L53" s="1534"/>
      <c r="M53" s="1535"/>
      <c r="N53" s="1535"/>
      <c r="O53" s="707"/>
      <c r="P53" s="530"/>
      <c r="Q53" s="545"/>
      <c r="R53" s="525"/>
      <c r="S53" s="1556"/>
      <c r="T53" s="1557"/>
      <c r="U53" s="1558"/>
      <c r="V53" s="1558"/>
      <c r="W53" s="1558"/>
      <c r="X53" s="1558"/>
      <c r="Y53" s="1558"/>
      <c r="Z53" s="1558"/>
      <c r="AA53" s="1558"/>
      <c r="AB53" s="1558"/>
      <c r="AC53" s="1558"/>
      <c r="AD53" s="1558"/>
      <c r="AE53" s="1558"/>
      <c r="AF53" s="1558"/>
      <c r="AG53" s="1558"/>
      <c r="AH53" s="1558"/>
      <c r="AI53" s="1558"/>
      <c r="AJ53" s="1558"/>
      <c r="AK53" s="1558"/>
      <c r="AL53" s="1558"/>
      <c r="AM53" s="1559"/>
      <c r="AO53" s="670"/>
      <c r="AP53" s="670" t="str">
        <f>IF(T53="","",T53)</f>
        <v/>
      </c>
      <c r="AQ53" s="670"/>
      <c r="AR53" s="670"/>
      <c r="AS53" s="1325">
        <v>0</v>
      </c>
    </row>
    <row s="11993" customFormat="1" customHeight="1" ht="0">
      <c r="A54" s="1513" t="s">
        <v>200</v>
      </c>
      <c r="B54" s="1513" t="s">
        <v>201</v>
      </c>
      <c r="C54" s="1513" t="s">
        <v>202</v>
      </c>
      <c r="D54" s="1484"/>
      <c r="E54" s="2429"/>
      <c r="F54" s="2429"/>
      <c r="G54" s="2428"/>
      <c r="H54" s="1484"/>
      <c r="I54" s="1484"/>
      <c r="J54" s="1484"/>
      <c r="K54" s="1484"/>
      <c r="L54" s="1509"/>
      <c r="M54" s="1485"/>
      <c r="N54" s="1485"/>
      <c r="P54" s="1486"/>
      <c r="Q54" s="1487"/>
      <c r="R54" s="1486"/>
      <c r="S54" s="1492"/>
      <c r="T54" s="1495" t="s">
        <v>165</v>
      </c>
      <c r="U54" s="1494"/>
      <c r="V54" s="1494"/>
      <c r="W54" s="1494"/>
      <c r="X54" s="1494"/>
      <c r="Y54" s="1494"/>
      <c r="Z54" s="1494"/>
      <c r="AA54" s="1494"/>
      <c r="AB54" s="1494"/>
      <c r="AC54" s="1494"/>
      <c r="AD54" s="1494"/>
      <c r="AE54" s="1494"/>
      <c r="AF54" s="1494"/>
      <c r="AG54" s="1494"/>
      <c r="AH54" s="1494"/>
      <c r="AI54" s="1494"/>
      <c r="AJ54" s="1494"/>
      <c r="AK54" s="1494"/>
      <c r="AL54" s="1494"/>
      <c r="AM54" s="1494"/>
      <c r="AO54" s="959"/>
      <c r="AP54" s="959" t="str">
        <f>IF(T54="","",T54)</f>
        <v>Добавить источник для дифференциации</v>
      </c>
      <c r="AQ54" s="959"/>
      <c r="AR54" s="959"/>
      <c r="AS54" s="688">
        <v>0</v>
      </c>
    </row>
    <row s="11993" customFormat="1" customHeight="1" ht="0">
      <c r="A55" s="1513" t="s">
        <v>200</v>
      </c>
      <c r="B55" s="1513" t="s">
        <v>201</v>
      </c>
      <c r="C55" s="1484"/>
      <c r="D55" s="1484"/>
      <c r="E55" s="2429"/>
      <c r="F55" s="2428"/>
      <c r="G55" s="1484"/>
      <c r="H55" s="1484"/>
      <c r="I55" s="1484"/>
      <c r="J55" s="1484"/>
      <c r="K55" s="1484"/>
      <c r="L55" s="1509"/>
      <c r="M55" s="1491"/>
      <c r="N55" s="1491"/>
      <c r="P55" s="1486"/>
      <c r="Q55" s="1487"/>
      <c r="R55" s="1486"/>
      <c r="S55" s="1492"/>
      <c r="T55" s="1495" t="s">
        <v>166</v>
      </c>
      <c r="U55" s="1494"/>
      <c r="V55" s="1494"/>
      <c r="W55" s="1494"/>
      <c r="X55" s="1494"/>
      <c r="Y55" s="1494"/>
      <c r="Z55" s="1494"/>
      <c r="AA55" s="1494"/>
      <c r="AB55" s="1494"/>
      <c r="AC55" s="1494"/>
      <c r="AD55" s="1494"/>
      <c r="AE55" s="1494"/>
      <c r="AF55" s="1494"/>
      <c r="AG55" s="1494"/>
      <c r="AH55" s="1494"/>
      <c r="AI55" s="1494"/>
      <c r="AJ55" s="1494"/>
      <c r="AK55" s="1494"/>
      <c r="AL55" s="1494"/>
      <c r="AM55" s="1494"/>
      <c r="AO55" s="959"/>
      <c r="AP55" s="959" t="str">
        <f>IF(T55="","",T55)</f>
        <v>Добавить централизованную систему для дифференциации</v>
      </c>
      <c r="AQ55" s="959"/>
      <c r="AR55" s="959"/>
      <c r="AS55" s="688">
        <v>0</v>
      </c>
    </row>
    <row s="11993" customFormat="1" customHeight="1" ht="0">
      <c r="A56" s="1513" t="s">
        <v>200</v>
      </c>
      <c r="B56" s="1513"/>
      <c r="C56" s="1513"/>
      <c r="D56" s="1513"/>
      <c r="E56" s="2428"/>
      <c r="F56" s="1513"/>
      <c r="G56" s="1513"/>
      <c r="H56" s="1513"/>
      <c r="I56" s="1513"/>
      <c r="J56" s="1513"/>
      <c r="K56" s="1513"/>
      <c r="L56" s="1516"/>
      <c r="M56" s="1491"/>
      <c r="N56" s="1491"/>
      <c r="O56" s="688"/>
      <c r="P56" s="550"/>
      <c r="Q56" s="1514"/>
      <c r="R56" s="550"/>
      <c r="S56" s="1492"/>
      <c r="T56" s="1495" t="s">
        <v>167</v>
      </c>
      <c r="U56" s="1494"/>
      <c r="V56" s="1494"/>
      <c r="W56" s="1494"/>
      <c r="X56" s="1494"/>
      <c r="Y56" s="1494"/>
      <c r="Z56" s="1494"/>
      <c r="AA56" s="1494"/>
      <c r="AB56" s="1494"/>
      <c r="AC56" s="1494"/>
      <c r="AD56" s="1494"/>
      <c r="AE56" s="1494"/>
      <c r="AF56" s="1494"/>
      <c r="AG56" s="1494"/>
      <c r="AH56" s="1494"/>
      <c r="AI56" s="1494"/>
      <c r="AJ56" s="1494"/>
      <c r="AK56" s="1494"/>
      <c r="AL56" s="1494"/>
      <c r="AM56" s="1494"/>
      <c r="AO56" s="670"/>
      <c r="AP56" s="670" t="str">
        <f>IF(T56="","",T56)</f>
        <v>Добавить территорию для дифференциации</v>
      </c>
      <c r="AQ56" s="670"/>
      <c r="AR56" s="670"/>
      <c r="AS56" s="681">
        <v>0</v>
      </c>
    </row>
    <row s="11993" customFormat="1" customHeight="1" ht="4.2">
      <c r="A57" s="1484"/>
      <c r="B57" s="1484"/>
      <c r="C57" s="1484"/>
      <c r="D57" s="1484"/>
      <c r="E57" s="1513"/>
      <c r="F57" s="1484"/>
      <c r="G57" s="1484"/>
      <c r="H57" s="1484"/>
      <c r="I57" s="1484"/>
      <c r="J57" s="1484"/>
      <c r="K57" s="1484"/>
      <c r="L57" s="1509"/>
      <c r="M57" s="1491"/>
      <c r="N57" s="1491"/>
      <c r="P57" s="1486"/>
      <c r="Q57" s="1487"/>
      <c r="R57" s="1486"/>
      <c r="S57" s="1492"/>
      <c r="T57" s="1495" t="s">
        <v>168</v>
      </c>
      <c r="U57" s="1494"/>
      <c r="V57" s="1494"/>
      <c r="W57" s="1494"/>
      <c r="X57" s="1494"/>
      <c r="Y57" s="1494"/>
      <c r="Z57" s="1494"/>
      <c r="AA57" s="1494"/>
      <c r="AB57" s="1494"/>
      <c r="AC57" s="1494"/>
      <c r="AD57" s="1494"/>
      <c r="AE57" s="1494"/>
      <c r="AF57" s="1494"/>
      <c r="AG57" s="1494"/>
      <c r="AH57" s="1494"/>
      <c r="AI57" s="1494"/>
      <c r="AJ57" s="1494"/>
      <c r="AK57" s="1494"/>
      <c r="AL57" s="1494"/>
      <c r="AM57" s="1494"/>
      <c r="AO57" s="959"/>
      <c r="AP57" s="959" t="str">
        <f>IF(T57="","",T57)</f>
        <v>Добавить наименование тарифа</v>
      </c>
      <c r="AQ57" s="959"/>
      <c r="AR57" s="959"/>
      <c r="AS57" s="688">
        <v>4</v>
      </c>
    </row>
    <row customHeight="1" ht="11.549999999999999">
      <c r="M58" s="1330"/>
      <c r="N58" s="1330"/>
      <c r="O58" s="707"/>
      <c r="P58" s="1325"/>
      <c r="Q58" s="1325"/>
      <c r="R58" s="1325"/>
      <c r="S58" s="1325"/>
      <c r="AN58" s="1325"/>
      <c r="AO58" s="1325"/>
      <c r="AP58" s="1325"/>
      <c r="AQ58" s="1325"/>
      <c r="AR58" s="1325"/>
      <c r="AS58" s="1325">
        <v>11</v>
      </c>
    </row>
    <row customHeight="1" ht="14.699999999999998">
      <c r="O59" s="707"/>
      <c r="S59" s="1423"/>
      <c r="T59" s="2455"/>
      <c r="U59" s="2455"/>
      <c r="V59" s="2455"/>
      <c r="W59" s="2455"/>
      <c r="X59" s="2455"/>
      <c r="Y59" s="2455"/>
      <c r="Z59" s="2455"/>
      <c r="AA59" s="2455"/>
      <c r="AB59" s="2455"/>
      <c r="AC59" s="2455"/>
      <c r="AD59" s="2455"/>
      <c r="AE59" s="2455"/>
      <c r="AF59" s="2455"/>
      <c r="AG59" s="2455"/>
      <c r="AH59" s="2455"/>
      <c r="AI59" s="2455"/>
      <c r="AJ59" s="2455"/>
      <c r="AK59" s="2455"/>
      <c r="AL59" s="2455"/>
      <c r="AM59" s="2455"/>
      <c r="AS59" s="1325">
        <v>14</v>
      </c>
    </row>
    <row customHeight="1" ht="14.699999999999998">
      <c r="O60" s="707"/>
      <c r="T60" s="2455"/>
      <c r="U60" s="2455"/>
      <c r="V60" s="2455"/>
      <c r="W60" s="2455"/>
      <c r="X60" s="2455"/>
      <c r="Y60" s="2455"/>
      <c r="Z60" s="2455"/>
      <c r="AA60" s="2455"/>
      <c r="AB60" s="2455"/>
      <c r="AC60" s="2455"/>
      <c r="AD60" s="2455"/>
      <c r="AE60" s="2455"/>
      <c r="AF60" s="2455"/>
      <c r="AG60" s="2455"/>
      <c r="AH60" s="2455"/>
      <c r="AI60" s="2455"/>
      <c r="AJ60" s="2455"/>
      <c r="AK60" s="2455"/>
      <c r="AL60" s="2455"/>
      <c r="AM60" s="2455"/>
      <c r="AS60" s="1325">
        <v>14</v>
      </c>
    </row>
    <row customHeight="1" ht="14.699999999999998">
      <c r="O61" s="707"/>
      <c r="T61" s="2455"/>
      <c r="U61" s="2455"/>
      <c r="V61" s="2455"/>
      <c r="W61" s="2455"/>
      <c r="X61" s="2455"/>
      <c r="Y61" s="2455"/>
      <c r="Z61" s="2455"/>
      <c r="AA61" s="2455"/>
      <c r="AB61" s="2455"/>
      <c r="AC61" s="2455"/>
      <c r="AD61" s="2455"/>
      <c r="AE61" s="2455"/>
      <c r="AF61" s="2455"/>
      <c r="AG61" s="2455"/>
      <c r="AH61" s="2455"/>
      <c r="AI61" s="2455"/>
      <c r="AJ61" s="2455"/>
      <c r="AK61" s="2455"/>
      <c r="AL61" s="2455"/>
      <c r="AM61" s="2455"/>
      <c r="AS61" s="1325">
        <v>14</v>
      </c>
    </row>
    <row customHeight="1" ht="14.699999999999998">
      <c r="O62" s="707"/>
      <c r="AS62" s="1325">
        <v>14</v>
      </c>
    </row>
    <row customHeight="1" ht="14.699999999999998">
      <c r="O63" s="707"/>
      <c r="S63" s="1423"/>
      <c r="T63" s="2469"/>
      <c r="U63" s="2455"/>
      <c r="V63" s="2455"/>
      <c r="W63" s="2455"/>
      <c r="X63" s="2455"/>
      <c r="Y63" s="2455"/>
      <c r="Z63" s="2455"/>
      <c r="AA63" s="2455"/>
      <c r="AB63" s="2455"/>
      <c r="AC63" s="2455"/>
      <c r="AD63" s="2455"/>
      <c r="AE63" s="2455"/>
      <c r="AF63" s="2455"/>
      <c r="AG63" s="2455"/>
      <c r="AH63" s="2455"/>
      <c r="AI63" s="2455"/>
      <c r="AJ63" s="2455"/>
      <c r="AK63" s="2455"/>
      <c r="AL63" s="2455"/>
      <c r="AM63" s="2455"/>
      <c r="AS63" s="1325">
        <v>14</v>
      </c>
    </row>
    <row customHeight="1" ht="14.699999999999998">
      <c r="O64" s="707"/>
      <c r="T64" s="2455"/>
      <c r="U64" s="2455"/>
      <c r="V64" s="2455"/>
      <c r="W64" s="2455"/>
      <c r="X64" s="2455"/>
      <c r="Y64" s="2455"/>
      <c r="Z64" s="2455"/>
      <c r="AA64" s="2455"/>
      <c r="AB64" s="2455"/>
      <c r="AC64" s="2455"/>
      <c r="AD64" s="2455"/>
      <c r="AE64" s="2455"/>
      <c r="AF64" s="2455"/>
      <c r="AG64" s="2455"/>
      <c r="AH64" s="2455"/>
      <c r="AI64" s="2455"/>
      <c r="AJ64" s="2455"/>
      <c r="AK64" s="2455"/>
      <c r="AL64" s="2455"/>
      <c r="AM64" s="2455"/>
      <c r="AS64" s="1325">
        <v>14</v>
      </c>
    </row>
    <row customHeight="1" ht="14.699999999999998">
      <c r="T65" s="2455"/>
      <c r="U65" s="2455"/>
      <c r="V65" s="2455"/>
      <c r="W65" s="2455"/>
      <c r="X65" s="2455"/>
      <c r="Y65" s="2455"/>
      <c r="Z65" s="2455"/>
      <c r="AA65" s="2455"/>
      <c r="AB65" s="2455"/>
      <c r="AC65" s="2455"/>
      <c r="AD65" s="2455"/>
      <c r="AE65" s="2455"/>
      <c r="AF65" s="2455"/>
      <c r="AG65" s="2455"/>
      <c r="AH65" s="2455"/>
      <c r="AI65" s="2455"/>
      <c r="AJ65" s="2455"/>
      <c r="AK65" s="2455"/>
      <c r="AL65" s="2455"/>
      <c r="AM65" s="2455"/>
      <c r="AS65" s="1325">
        <v>14</v>
      </c>
    </row>
    <row customHeight="1" ht="22.5" hidden="1">
      <c r="A66" s="1330" t="s">
        <v>85</v>
      </c>
      <c r="B66" s="1330">
        <v>0</v>
      </c>
      <c r="C66" s="1330">
        <v>0</v>
      </c>
      <c r="D66" s="1330">
        <v>0</v>
      </c>
      <c r="E66" s="1330">
        <v>0</v>
      </c>
      <c r="F66" s="1330">
        <v>0</v>
      </c>
      <c r="G66" s="1330">
        <v>0</v>
      </c>
      <c r="H66" s="1330">
        <v>0</v>
      </c>
      <c r="I66" s="1330">
        <v>0</v>
      </c>
      <c r="J66" s="1330">
        <v>0</v>
      </c>
      <c r="K66" s="1330">
        <v>0</v>
      </c>
      <c r="L66" s="1499">
        <v>0</v>
      </c>
      <c r="M66" s="1532">
        <v>0</v>
      </c>
      <c r="N66" s="1532">
        <v>0</v>
      </c>
      <c r="O66" s="1532">
        <v>0</v>
      </c>
      <c r="P66" s="1498">
        <v>0</v>
      </c>
      <c r="Q66" s="514">
        <v>3</v>
      </c>
      <c r="R66" s="514">
        <v>3</v>
      </c>
      <c r="S66" s="751">
        <v>12</v>
      </c>
      <c r="T66" s="1325">
        <v>31</v>
      </c>
      <c r="U66" s="1325">
        <v>0</v>
      </c>
      <c r="V66" s="1325">
        <v>0</v>
      </c>
      <c r="W66" s="1325">
        <v>0</v>
      </c>
      <c r="X66" s="1325">
        <v>0</v>
      </c>
      <c r="Y66" s="1325">
        <v>0</v>
      </c>
      <c r="Z66" s="1325">
        <v>0</v>
      </c>
      <c r="AA66" s="1325">
        <v>0</v>
      </c>
      <c r="AB66" s="1325">
        <v>0</v>
      </c>
      <c r="AC66" s="1325">
        <v>0</v>
      </c>
      <c r="AD66" s="1325">
        <v>24</v>
      </c>
      <c r="AE66" s="1325">
        <v>0</v>
      </c>
      <c r="AF66" s="1325">
        <v>24</v>
      </c>
      <c r="AG66" s="1325">
        <v>24</v>
      </c>
      <c r="AH66" s="1325">
        <v>11</v>
      </c>
      <c r="AI66" s="1325">
        <v>3</v>
      </c>
      <c r="AJ66" s="1325">
        <v>11</v>
      </c>
      <c r="AK66" s="1325">
        <v>0</v>
      </c>
      <c r="AL66" s="1325">
        <v>4</v>
      </c>
      <c r="AM66" s="1325">
        <v>115</v>
      </c>
      <c r="AN66" s="681">
        <v>10</v>
      </c>
      <c r="AO66" s="681">
        <v>10</v>
      </c>
      <c r="AP66" s="681">
        <v>10</v>
      </c>
      <c r="AQ66" s="681">
        <v>10</v>
      </c>
      <c r="AR66" s="681">
        <v>10</v>
      </c>
      <c r="AS66" s="132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B3DAB8-1A4E-AC11-24E9-E3AF64DA6E1E}"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1913" width="10.57421875" hidden="1"/>
    <col min="2" max="2" style="11913" width="11.00390625" hidden="1" customWidth="1"/>
    <col min="3" max="3" style="11913" width="10.57421875" hidden="1"/>
    <col min="4" max="4" style="11913" width="11.8515625" hidden="1" customWidth="1"/>
    <col min="5" max="5" style="11913" width="10.00390625" hidden="1" customWidth="1"/>
    <col min="6" max="6" style="11913" width="8.7109375" hidden="1" customWidth="1"/>
    <col min="7" max="7" style="11913" width="7.57421875" hidden="1" customWidth="1"/>
    <col min="8" max="8" style="11913" width="11.421875" hidden="1" customWidth="1"/>
    <col min="9" max="9" style="11913" width="12.00390625" hidden="1" customWidth="1"/>
    <col min="10" max="10" style="11913" width="9.8515625" hidden="1" customWidth="1"/>
    <col min="11" max="12" style="11913" width="11.421875" hidden="1" customWidth="1"/>
    <col min="13" max="13" style="11990" width="19.140625" hidden="1" customWidth="1"/>
    <col min="14" max="15" style="13390" width="12.28125" hidden="1" customWidth="1"/>
    <col min="16" max="16" style="13390" width="23.421875" hidden="1" customWidth="1"/>
    <col min="17" max="17" style="13390" width="3.7109375" hidden="1" customWidth="1"/>
    <col min="18" max="20" style="13391" width="3.00390625" customWidth="1"/>
    <col min="21" max="21" style="13392" width="12.00390625" customWidth="1"/>
    <col min="22" max="22" style="11913" width="31.00390625" customWidth="1"/>
    <col min="23" max="23" style="11913" width="0.140625" customWidth="1"/>
    <col min="24" max="28" style="11913" width="21.7109375" hidden="1" customWidth="1"/>
    <col min="29" max="29" style="11913" width="11.7109375" hidden="1" customWidth="1"/>
    <col min="30" max="30" style="11913" width="3.7109375" hidden="1" customWidth="1"/>
    <col min="31" max="31" style="11913" width="11.7109375" hidden="1" customWidth="1"/>
    <col min="32" max="32" style="11913" width="8.57421875" hidden="1" customWidth="1"/>
    <col min="33" max="33" style="11913" width="21.7109375" customWidth="1"/>
    <col min="34" max="37" style="11913" width="21.00390625" customWidth="1"/>
    <col min="38" max="38" style="11913" width="11.00390625" customWidth="1"/>
    <col min="39" max="39" style="11913" width="3.7109375" customWidth="1"/>
    <col min="40" max="40" style="11913" width="11.00390625" customWidth="1"/>
    <col min="41" max="41" style="11913" width="8.57421875" hidden="1" customWidth="1"/>
    <col min="42" max="42" style="11913" width="4.00390625" customWidth="1"/>
    <col min="43" max="43" style="11913" width="115.00390625" customWidth="1"/>
    <col min="44" max="48" style="11993" width="10.00390625" customWidth="1"/>
    <col min="49" max="49" style="11913" width="10.57421875" hidden="1"/>
  </cols>
  <sheetData>
    <row customHeight="1" ht="22.5" hidden="1">
      <c r="AB1" s="497"/>
      <c r="AC1" s="497"/>
      <c r="AK1" s="497"/>
      <c r="AL1" s="497"/>
      <c r="AW1" s="1325" t="s">
        <v>14</v>
      </c>
    </row>
    <row customHeight="1" ht="21" hidden="1">
      <c r="A2" s="1437"/>
      <c r="B2" s="1437"/>
      <c r="C2" s="1437"/>
      <c r="D2" s="1437"/>
      <c r="E2" s="2459">
        <v>1</v>
      </c>
      <c r="F2" s="1437"/>
      <c r="G2" s="1437"/>
      <c r="H2" s="1437"/>
      <c r="I2" s="1437"/>
      <c r="J2" s="1437"/>
      <c r="K2" s="1437"/>
      <c r="L2" s="1437"/>
      <c r="M2" s="1480"/>
      <c r="N2" s="858"/>
      <c r="O2" s="858"/>
      <c r="P2" s="858"/>
      <c r="Q2" s="531"/>
      <c r="R2" s="530"/>
      <c r="S2" s="530"/>
      <c r="T2" s="525"/>
      <c r="U2" s="1506">
        <f>INDEX(PT_DIFFERENTIATION_NUM_NTAR,MATCH(A2,PT_DIFFERENTIATION_NTAR_ID,0))</f>
      </c>
      <c r="V2" s="468" t="s">
        <v>126</v>
      </c>
      <c r="W2" s="470"/>
      <c r="X2" s="2412"/>
      <c r="Y2" s="2413"/>
      <c r="Z2" s="2413"/>
      <c r="AA2" s="2413"/>
      <c r="AB2" s="2413"/>
      <c r="AC2" s="2413"/>
      <c r="AD2" s="2413"/>
      <c r="AE2" s="2413"/>
      <c r="AF2" s="2414"/>
      <c r="AG2" s="2412">
        <f>INDEX(PT_DIFFERENTIATION_NTAR,MATCH(A2,PT_DIFFERENTIATION_NTAR_ID,0))</f>
      </c>
      <c r="AH2" s="2413"/>
      <c r="AI2" s="2413"/>
      <c r="AJ2" s="2413"/>
      <c r="AK2" s="2413"/>
      <c r="AL2" s="2413"/>
      <c r="AM2" s="2413"/>
      <c r="AN2" s="2413"/>
      <c r="AO2" s="2413"/>
      <c r="AP2" s="2414"/>
      <c r="AQ2" s="1428" t="s">
        <v>408</v>
      </c>
      <c r="AS2" s="670"/>
      <c r="AT2" s="670" t="str">
        <f>IF(V2="","",V2)</f>
        <v>Наименование тарифа</v>
      </c>
      <c r="AU2" s="670"/>
      <c r="AV2" s="670"/>
      <c r="AW2" s="1325">
        <v>0</v>
      </c>
    </row>
    <row customHeight="1" ht="21" hidden="1">
      <c r="A3" s="1437"/>
      <c r="B3" s="1437"/>
      <c r="C3" s="1437"/>
      <c r="D3" s="1437"/>
      <c r="E3" s="2460"/>
      <c r="F3" s="2459">
        <v>1</v>
      </c>
      <c r="G3" s="1437"/>
      <c r="H3" s="1437"/>
      <c r="I3" s="1437"/>
      <c r="J3" s="1437"/>
      <c r="K3" s="1437"/>
      <c r="L3" s="1437"/>
      <c r="M3" s="1480"/>
      <c r="N3" s="858"/>
      <c r="O3" s="858"/>
      <c r="P3" s="858"/>
      <c r="Q3" s="1502"/>
      <c r="R3" s="522"/>
      <c r="S3" s="679"/>
      <c r="T3" s="523"/>
      <c r="U3" s="1506">
        <f>INDEX(PT_DIFFERENTIATION_NUM_TER,MATCH(B3,PT_DIFFERENTIATION_TER_ID,0))</f>
      </c>
      <c r="V3" s="478" t="s">
        <v>409</v>
      </c>
      <c r="W3" s="470"/>
      <c r="X3" s="2412"/>
      <c r="Y3" s="2413"/>
      <c r="Z3" s="2413"/>
      <c r="AA3" s="2413"/>
      <c r="AB3" s="2413"/>
      <c r="AC3" s="2413"/>
      <c r="AD3" s="2413"/>
      <c r="AE3" s="2413"/>
      <c r="AF3" s="2414"/>
      <c r="AG3" s="2412">
        <f>INDEX(PT_DIFFERENTIATION_TER,MATCH(B3,PT_DIFFERENTIATION_TER_ID,0))</f>
      </c>
      <c r="AH3" s="2413"/>
      <c r="AI3" s="2413"/>
      <c r="AJ3" s="2413"/>
      <c r="AK3" s="2413"/>
      <c r="AL3" s="2413"/>
      <c r="AM3" s="2413"/>
      <c r="AN3" s="2413"/>
      <c r="AO3" s="2413"/>
      <c r="AP3" s="2414"/>
      <c r="AQ3" s="1428" t="s">
        <v>410</v>
      </c>
      <c r="AS3" s="670"/>
      <c r="AT3" s="670" t="str">
        <f>IF(V3="","",V3)</f>
        <v>Территория действия тарифа</v>
      </c>
      <c r="AU3" s="670"/>
      <c r="AV3" s="670"/>
      <c r="AW3" s="1325">
        <v>0</v>
      </c>
    </row>
    <row customHeight="1" ht="22.5" hidden="1">
      <c r="A4" s="1437"/>
      <c r="B4" s="1437"/>
      <c r="C4" s="1437"/>
      <c r="D4" s="1437"/>
      <c r="E4" s="2460"/>
      <c r="F4" s="2460"/>
      <c r="G4" s="2459">
        <v>1</v>
      </c>
      <c r="H4" s="1437"/>
      <c r="I4" s="1437"/>
      <c r="J4" s="1437"/>
      <c r="K4" s="1437"/>
      <c r="L4" s="1437"/>
      <c r="M4" s="1480"/>
      <c r="N4" s="858"/>
      <c r="O4" s="858"/>
      <c r="P4" s="858"/>
      <c r="Q4" s="524"/>
      <c r="R4" s="522"/>
      <c r="S4" s="679"/>
      <c r="T4" s="523"/>
      <c r="U4" s="1506">
        <f>INDEX(PT_DIFFERENTIATION_NUM_CS,MATCH(C4,PT_DIFFERENTIATION_CS_ID,0))</f>
      </c>
      <c r="V4" s="479" t="s">
        <v>411</v>
      </c>
      <c r="W4" s="470"/>
      <c r="X4" s="2412"/>
      <c r="Y4" s="2413"/>
      <c r="Z4" s="2413"/>
      <c r="AA4" s="2413"/>
      <c r="AB4" s="2413"/>
      <c r="AC4" s="2413"/>
      <c r="AD4" s="2413"/>
      <c r="AE4" s="2413"/>
      <c r="AF4" s="2414"/>
      <c r="AG4" s="2412">
        <f>INDEX(PT_DIFFERENTIATION_CS,MATCH(C4,PT_DIFFERENTIATION_CS_ID,0))</f>
      </c>
      <c r="AH4" s="2413"/>
      <c r="AI4" s="2413"/>
      <c r="AJ4" s="2413"/>
      <c r="AK4" s="2413"/>
      <c r="AL4" s="2413"/>
      <c r="AM4" s="2413"/>
      <c r="AN4" s="2413"/>
      <c r="AO4" s="2413"/>
      <c r="AP4" s="2414"/>
      <c r="AQ4" s="1428" t="s">
        <v>412</v>
      </c>
      <c r="AS4" s="670"/>
      <c r="AT4" s="670" t="str">
        <f>IF(V4="","",V4)</f>
        <v>Наименование системы теплоснабжения </v>
      </c>
      <c r="AU4" s="670"/>
      <c r="AV4" s="670"/>
      <c r="AW4" s="1325">
        <v>0</v>
      </c>
    </row>
    <row customHeight="1" ht="21" hidden="1">
      <c r="A5" s="1437"/>
      <c r="B5" s="1437"/>
      <c r="C5" s="1437"/>
      <c r="D5" s="1437"/>
      <c r="E5" s="2460"/>
      <c r="F5" s="2460"/>
      <c r="G5" s="2460"/>
      <c r="H5" s="2459">
        <v>1</v>
      </c>
      <c r="I5" s="1437"/>
      <c r="J5" s="1437"/>
      <c r="K5" s="1437"/>
      <c r="L5" s="1437"/>
      <c r="M5" s="1480"/>
      <c r="N5" s="858"/>
      <c r="O5" s="858"/>
      <c r="P5" s="858"/>
      <c r="Q5" s="524"/>
      <c r="R5" s="522"/>
      <c r="S5" s="679"/>
      <c r="T5" s="523"/>
      <c r="U5" s="1506">
        <f>INDEX(PT_DIFFERENTIATION_NUM_IST_TE,MATCH(D5,PT_DIFFERENTIATION_IST_TE_ID,0))</f>
      </c>
      <c r="V5" s="480" t="s">
        <v>413</v>
      </c>
      <c r="W5" s="470"/>
      <c r="X5" s="2412"/>
      <c r="Y5" s="2413"/>
      <c r="Z5" s="2413"/>
      <c r="AA5" s="2413"/>
      <c r="AB5" s="2413"/>
      <c r="AC5" s="2413"/>
      <c r="AD5" s="2413"/>
      <c r="AE5" s="2413"/>
      <c r="AF5" s="2414"/>
      <c r="AG5" s="2412">
        <f>INDEX(PT_DIFFERENTIATION_IST_TE,MATCH(D5,PT_DIFFERENTIATION_IST_TE_ID,0))</f>
      </c>
      <c r="AH5" s="2413"/>
      <c r="AI5" s="2413"/>
      <c r="AJ5" s="2413"/>
      <c r="AK5" s="2413"/>
      <c r="AL5" s="2413"/>
      <c r="AM5" s="2413"/>
      <c r="AN5" s="2413"/>
      <c r="AO5" s="2413"/>
      <c r="AP5" s="2414"/>
      <c r="AQ5" s="1428" t="s">
        <v>414</v>
      </c>
      <c r="AS5" s="670"/>
      <c r="AT5" s="670" t="str">
        <f>IF(V5="","",V5)</f>
        <v>Источник тепловой энергии  </v>
      </c>
      <c r="AU5" s="670"/>
      <c r="AV5" s="670"/>
      <c r="AW5" s="1325">
        <v>0</v>
      </c>
    </row>
    <row customHeight="1" ht="14.25" hidden="1">
      <c r="A6" s="1437"/>
      <c r="B6" s="1437"/>
      <c r="C6" s="1437"/>
      <c r="D6" s="1437"/>
      <c r="E6" s="2460"/>
      <c r="F6" s="2460"/>
      <c r="G6" s="2460"/>
      <c r="H6" s="2460"/>
      <c r="I6" s="2297">
        <f>U5&amp;".1"</f>
      </c>
      <c r="J6" s="1437"/>
      <c r="K6" s="1437"/>
      <c r="L6" s="1437"/>
      <c r="M6" s="1480" t="s">
        <v>415</v>
      </c>
      <c r="N6" s="679"/>
      <c r="Q6" s="2427">
        <v>1</v>
      </c>
      <c r="R6" s="1501"/>
      <c r="S6" s="1501"/>
      <c r="T6" s="526"/>
      <c r="U6" s="1212"/>
      <c r="V6" s="1553"/>
      <c r="W6" s="1554"/>
      <c r="X6" s="2466"/>
      <c r="Y6" s="2467"/>
      <c r="Z6" s="2467"/>
      <c r="AA6" s="2467"/>
      <c r="AB6" s="2467"/>
      <c r="AC6" s="2467"/>
      <c r="AD6" s="2467"/>
      <c r="AE6" s="2467"/>
      <c r="AF6" s="2468"/>
      <c r="AG6" s="2466"/>
      <c r="AH6" s="2467"/>
      <c r="AI6" s="2467"/>
      <c r="AJ6" s="2467"/>
      <c r="AK6" s="2467"/>
      <c r="AL6" s="2467"/>
      <c r="AM6" s="2467"/>
      <c r="AN6" s="2467"/>
      <c r="AO6" s="2467"/>
      <c r="AP6" s="2468"/>
      <c r="AQ6" s="1555"/>
      <c r="AS6" s="670"/>
      <c r="AT6" s="670" t="str">
        <f>IF(V6="","",V6)</f>
        <v/>
      </c>
      <c r="AU6" s="670"/>
      <c r="AV6" s="670"/>
      <c r="AW6" s="1325">
        <v>0</v>
      </c>
    </row>
    <row customHeight="1" ht="21" hidden="1">
      <c r="A7" s="1437"/>
      <c r="B7" s="1437"/>
      <c r="C7" s="1437"/>
      <c r="D7" s="1437"/>
      <c r="E7" s="2460"/>
      <c r="F7" s="2460"/>
      <c r="G7" s="2460"/>
      <c r="H7" s="2460"/>
      <c r="I7" s="2271"/>
      <c r="J7" s="2297">
        <f>I6&amp;".1"</f>
      </c>
      <c r="K7" s="1437"/>
      <c r="L7" s="1437"/>
      <c r="M7" s="1480" t="s">
        <v>418</v>
      </c>
      <c r="N7" s="679"/>
      <c r="O7" s="497"/>
      <c r="Q7" s="2427"/>
      <c r="R7" s="2427">
        <v>1</v>
      </c>
      <c r="S7" s="688"/>
      <c r="T7" s="527"/>
      <c r="U7" s="1506">
        <f>$J7</f>
      </c>
      <c r="V7" s="456" t="s">
        <v>419</v>
      </c>
      <c r="W7" s="470"/>
      <c r="X7" s="2415"/>
      <c r="Y7" s="2416"/>
      <c r="Z7" s="2416"/>
      <c r="AA7" s="2416"/>
      <c r="AB7" s="2416"/>
      <c r="AC7" s="2405"/>
      <c r="AD7" s="2405"/>
      <c r="AE7" s="2405"/>
      <c r="AF7" s="2478"/>
      <c r="AG7" s="2415"/>
      <c r="AH7" s="2416"/>
      <c r="AI7" s="2416"/>
      <c r="AJ7" s="2416"/>
      <c r="AK7" s="2416"/>
      <c r="AL7" s="2416"/>
      <c r="AM7" s="2416"/>
      <c r="AN7" s="2416"/>
      <c r="AO7" s="2416"/>
      <c r="AP7" s="2417"/>
      <c r="AQ7" s="1428" t="s">
        <v>420</v>
      </c>
      <c r="AS7" s="670"/>
      <c r="AT7" s="670" t="str">
        <f>IF(V7="","",V7)</f>
        <v>Группа потребителей</v>
      </c>
      <c r="AU7" s="670"/>
      <c r="AV7" s="670"/>
      <c r="AW7" s="1325">
        <v>0</v>
      </c>
    </row>
    <row customHeight="1" ht="21" hidden="1">
      <c r="A8" s="1437"/>
      <c r="B8" s="1437"/>
      <c r="C8" s="1437"/>
      <c r="D8" s="1437"/>
      <c r="E8" s="2460"/>
      <c r="F8" s="2460"/>
      <c r="G8" s="2460"/>
      <c r="H8" s="2460"/>
      <c r="I8" s="2271"/>
      <c r="J8" s="2271"/>
      <c r="K8" s="2297">
        <f>J7&amp;".1"</f>
      </c>
      <c r="L8" s="309"/>
      <c r="M8" s="1480" t="s">
        <v>421</v>
      </c>
      <c r="N8" s="679"/>
      <c r="O8" s="497"/>
      <c r="P8" s="497"/>
      <c r="Q8" s="2427"/>
      <c r="R8" s="2427"/>
      <c r="S8" s="2427">
        <v>1</v>
      </c>
      <c r="T8" s="527"/>
      <c r="U8" s="1506">
        <f>$K8</f>
      </c>
      <c r="V8" s="1517"/>
      <c r="W8" s="470"/>
      <c r="X8" s="921"/>
      <c r="Y8" s="921"/>
      <c r="Z8" s="921"/>
      <c r="AA8" s="921"/>
      <c r="AB8" s="1575"/>
      <c r="AC8" s="2435"/>
      <c r="AD8" s="2277" t="s">
        <v>64</v>
      </c>
      <c r="AE8" s="2435"/>
      <c r="AF8" s="2277" t="s">
        <v>64</v>
      </c>
      <c r="AG8" s="1577"/>
      <c r="AH8" s="921"/>
      <c r="AI8" s="921"/>
      <c r="AJ8" s="921"/>
      <c r="AK8" s="1427"/>
      <c r="AL8" s="2435"/>
      <c r="AM8" s="2277" t="s">
        <v>64</v>
      </c>
      <c r="AN8" s="2435"/>
      <c r="AO8" s="2277" t="s">
        <v>64</v>
      </c>
      <c r="AP8" s="495"/>
      <c r="AQ8" s="1477" t="s">
        <v>465</v>
      </c>
      <c r="AR8" s="681">
        <f>STRCHECKDATE(X10:AP10)</f>
      </c>
      <c r="AS8" s="670"/>
      <c r="AT8" s="670" t="str">
        <f>IF(V8="","",V8)</f>
        <v/>
      </c>
      <c r="AU8" s="670"/>
      <c r="AV8" s="670"/>
      <c r="AW8" s="1325">
        <v>0</v>
      </c>
    </row>
    <row customHeight="1" ht="21" hidden="1">
      <c r="A9" s="1437"/>
      <c r="B9" s="1437"/>
      <c r="C9" s="1437"/>
      <c r="D9" s="1437"/>
      <c r="E9" s="2460"/>
      <c r="F9" s="2460"/>
      <c r="G9" s="2460"/>
      <c r="H9" s="2460"/>
      <c r="I9" s="2271"/>
      <c r="J9" s="2271"/>
      <c r="K9" s="2271"/>
      <c r="L9" s="2297">
        <f>K8&amp;".1"</f>
      </c>
      <c r="M9" s="1480"/>
      <c r="N9" s="679"/>
      <c r="O9" s="497"/>
      <c r="P9" s="497"/>
      <c r="Q9" s="2427"/>
      <c r="R9" s="2427"/>
      <c r="S9" s="2427"/>
      <c r="T9" s="527"/>
      <c r="U9" s="1506">
        <f>$L9</f>
      </c>
      <c r="V9" s="1561"/>
      <c r="W9" s="470"/>
      <c r="X9" s="495"/>
      <c r="Y9" s="921"/>
      <c r="Z9" s="921"/>
      <c r="AA9" s="921"/>
      <c r="AB9" s="1575"/>
      <c r="AC9" s="2479"/>
      <c r="AD9" s="2277"/>
      <c r="AE9" s="2479"/>
      <c r="AF9" s="2277"/>
      <c r="AG9" s="1577"/>
      <c r="AH9" s="921"/>
      <c r="AI9" s="921"/>
      <c r="AJ9" s="921"/>
      <c r="AK9" s="1427"/>
      <c r="AL9" s="2479"/>
      <c r="AM9" s="2277"/>
      <c r="AN9" s="2479"/>
      <c r="AO9" s="2277"/>
      <c r="AP9" s="495"/>
      <c r="AQ9" s="2423" t="s">
        <v>466</v>
      </c>
      <c r="AS9" s="670"/>
      <c r="AT9" s="670"/>
      <c r="AU9" s="670"/>
      <c r="AV9" s="670"/>
      <c r="AW9" s="1325">
        <v>0</v>
      </c>
    </row>
    <row customHeight="1" ht="14.25" hidden="1">
      <c r="A10" s="1437"/>
      <c r="B10" s="1437"/>
      <c r="C10" s="1437"/>
      <c r="D10" s="1437"/>
      <c r="E10" s="2460"/>
      <c r="F10" s="2460"/>
      <c r="G10" s="2460"/>
      <c r="H10" s="2460"/>
      <c r="I10" s="2271"/>
      <c r="J10" s="2271"/>
      <c r="K10" s="2271"/>
      <c r="L10" s="2297"/>
      <c r="M10" s="1480"/>
      <c r="N10" s="679"/>
      <c r="O10" s="497"/>
      <c r="P10" s="497"/>
      <c r="Q10" s="2427"/>
      <c r="R10" s="2427"/>
      <c r="S10" s="2427"/>
      <c r="T10" s="527"/>
      <c r="U10" s="1512"/>
      <c r="V10" s="470"/>
      <c r="W10" s="470"/>
      <c r="X10" s="495"/>
      <c r="Y10" s="495"/>
      <c r="Z10" s="495"/>
      <c r="AA10" s="495"/>
      <c r="AB10" s="1576" t="str">
        <f>AC8&amp;"-"&amp;AE8</f>
        <v>-</v>
      </c>
      <c r="AC10" s="2479"/>
      <c r="AD10" s="2277"/>
      <c r="AE10" s="2479"/>
      <c r="AF10" s="2277"/>
      <c r="AG10" s="1552"/>
      <c r="AH10" s="495"/>
      <c r="AI10" s="495"/>
      <c r="AJ10" s="495"/>
      <c r="AK10" s="498" t="str">
        <f>AL8&amp;"-"&amp;AN8</f>
        <v>-</v>
      </c>
      <c r="AL10" s="2479"/>
      <c r="AM10" s="2277"/>
      <c r="AN10" s="2479"/>
      <c r="AO10" s="2277"/>
      <c r="AP10" s="495"/>
      <c r="AQ10" s="2424"/>
      <c r="AS10" s="670"/>
      <c r="AT10" s="670" t="str">
        <f>IF(V10="","",V10)</f>
        <v/>
      </c>
      <c r="AU10" s="670"/>
      <c r="AV10" s="670"/>
      <c r="AW10" s="1325">
        <v>0</v>
      </c>
    </row>
    <row customHeight="1" ht="11.25" hidden="1">
      <c r="A11" s="1437"/>
      <c r="B11" s="1437"/>
      <c r="C11" s="1437"/>
      <c r="D11" s="1437"/>
      <c r="E11" s="2460"/>
      <c r="F11" s="2460"/>
      <c r="G11" s="2460"/>
      <c r="H11" s="2460"/>
      <c r="I11" s="2271"/>
      <c r="J11" s="2271"/>
      <c r="K11" s="2297"/>
      <c r="L11" s="1437"/>
      <c r="M11" s="1480"/>
      <c r="N11" s="679"/>
      <c r="O11" s="497"/>
      <c r="P11" s="497"/>
      <c r="Q11" s="2427"/>
      <c r="R11" s="2427"/>
      <c r="S11" s="2427"/>
      <c r="T11" s="527"/>
      <c r="U11" s="1448"/>
      <c r="V11" s="458" t="s">
        <v>467</v>
      </c>
      <c r="W11" s="1562"/>
      <c r="X11" s="1563"/>
      <c r="Y11" s="1563"/>
      <c r="Z11" s="1563"/>
      <c r="AA11" s="1563"/>
      <c r="AB11" s="1564"/>
      <c r="AC11" s="2479"/>
      <c r="AD11" s="2277"/>
      <c r="AE11" s="2479"/>
      <c r="AF11" s="2277"/>
      <c r="AG11" s="1563"/>
      <c r="AH11" s="1563"/>
      <c r="AI11" s="1563"/>
      <c r="AJ11" s="1563"/>
      <c r="AK11" s="1564"/>
      <c r="AL11" s="2479"/>
      <c r="AM11" s="2277"/>
      <c r="AN11" s="2479"/>
      <c r="AO11" s="2277"/>
      <c r="AP11" s="1565"/>
      <c r="AQ11" s="2424"/>
      <c r="AS11" s="670"/>
      <c r="AT11" s="670"/>
      <c r="AU11" s="670"/>
      <c r="AV11" s="670"/>
      <c r="AW11" s="1325">
        <v>0</v>
      </c>
    </row>
    <row customHeight="1" ht="15" hidden="1">
      <c r="A12" s="1437"/>
      <c r="B12" s="1437"/>
      <c r="C12" s="1437"/>
      <c r="D12" s="1437"/>
      <c r="E12" s="2460"/>
      <c r="F12" s="2460"/>
      <c r="G12" s="2460"/>
      <c r="H12" s="2460"/>
      <c r="I12" s="2271"/>
      <c r="J12" s="2297"/>
      <c r="K12" s="1437"/>
      <c r="L12" s="1437"/>
      <c r="M12" s="1480"/>
      <c r="N12" s="679"/>
      <c r="O12" s="497"/>
      <c r="Q12" s="2427"/>
      <c r="R12" s="2427"/>
      <c r="S12" s="1501"/>
      <c r="T12" s="526"/>
      <c r="U12" s="1448"/>
      <c r="V12" s="457" t="s">
        <v>423</v>
      </c>
      <c r="W12" s="537"/>
      <c r="X12" s="537"/>
      <c r="Y12" s="537"/>
      <c r="Z12" s="537"/>
      <c r="AA12" s="537"/>
      <c r="AB12" s="537"/>
      <c r="AC12" s="1578"/>
      <c r="AD12" s="1578"/>
      <c r="AE12" s="1578"/>
      <c r="AF12" s="1578"/>
      <c r="AG12" s="537"/>
      <c r="AH12" s="537"/>
      <c r="AI12" s="537"/>
      <c r="AJ12" s="537"/>
      <c r="AK12" s="537"/>
      <c r="AL12" s="537"/>
      <c r="AM12" s="537"/>
      <c r="AN12" s="537"/>
      <c r="AO12" s="537"/>
      <c r="AP12" s="494"/>
      <c r="AQ12" s="2425"/>
      <c r="AS12" s="670"/>
      <c r="AT12" s="670" t="str">
        <f>IF(V12="","",V12)</f>
        <v>Добавить вид теплоносителя (параметры теплоносителя)</v>
      </c>
      <c r="AU12" s="670"/>
      <c r="AV12" s="670"/>
      <c r="AW12" s="1325">
        <v>0</v>
      </c>
    </row>
    <row customHeight="1" ht="11.25" hidden="1">
      <c r="A13" s="1437"/>
      <c r="B13" s="1437"/>
      <c r="C13" s="1437"/>
      <c r="D13" s="1437"/>
      <c r="E13" s="2460"/>
      <c r="F13" s="2460"/>
      <c r="G13" s="2460"/>
      <c r="H13" s="2460"/>
      <c r="I13" s="2297"/>
      <c r="J13" s="1437"/>
      <c r="K13" s="1437"/>
      <c r="L13" s="1437"/>
      <c r="M13" s="1480"/>
      <c r="N13" s="679"/>
      <c r="Q13" s="2427"/>
      <c r="R13" s="1501"/>
      <c r="S13" s="1501"/>
      <c r="T13" s="526"/>
      <c r="U13" s="1448"/>
      <c r="V13" s="535" t="s">
        <v>424</v>
      </c>
      <c r="W13" s="537"/>
      <c r="X13" s="537"/>
      <c r="Y13" s="537"/>
      <c r="Z13" s="537"/>
      <c r="AA13" s="537"/>
      <c r="AB13" s="537"/>
      <c r="AC13" s="537"/>
      <c r="AD13" s="537"/>
      <c r="AE13" s="537"/>
      <c r="AF13" s="536"/>
      <c r="AG13" s="537"/>
      <c r="AH13" s="537"/>
      <c r="AI13" s="537"/>
      <c r="AJ13" s="537"/>
      <c r="AK13" s="537"/>
      <c r="AL13" s="537"/>
      <c r="AM13" s="537"/>
      <c r="AN13" s="537"/>
      <c r="AO13" s="536"/>
      <c r="AP13" s="537"/>
      <c r="AQ13" s="473"/>
      <c r="AS13" s="670"/>
      <c r="AT13" s="670" t="str">
        <f>IF(V13="","",V13)</f>
        <v>Добавить группу потребителей</v>
      </c>
      <c r="AU13" s="670"/>
      <c r="AV13" s="670"/>
      <c r="AW13" s="1325">
        <v>0</v>
      </c>
    </row>
    <row customHeight="1" ht="14.25" hidden="1">
      <c r="A14" s="1437"/>
      <c r="B14" s="1437"/>
      <c r="C14" s="1437"/>
      <c r="D14" s="1437"/>
      <c r="E14" s="2460"/>
      <c r="F14" s="2460"/>
      <c r="G14" s="2460"/>
      <c r="H14" s="2459"/>
      <c r="I14" s="1437"/>
      <c r="J14" s="1437"/>
      <c r="K14" s="1437"/>
      <c r="L14" s="1437"/>
      <c r="M14" s="1480"/>
      <c r="N14" s="858"/>
      <c r="O14" s="858"/>
      <c r="P14" s="679"/>
      <c r="Q14" s="530"/>
      <c r="R14" s="545"/>
      <c r="S14" s="525"/>
      <c r="T14" s="530"/>
      <c r="U14" s="1556"/>
      <c r="V14" s="1557"/>
      <c r="W14" s="1558"/>
      <c r="X14" s="1558"/>
      <c r="Y14" s="1558"/>
      <c r="Z14" s="1558"/>
      <c r="AA14" s="1558"/>
      <c r="AB14" s="1558"/>
      <c r="AC14" s="1558"/>
      <c r="AD14" s="1558"/>
      <c r="AE14" s="1558"/>
      <c r="AF14" s="1558"/>
      <c r="AG14" s="1558"/>
      <c r="AH14" s="1558"/>
      <c r="AI14" s="1558"/>
      <c r="AJ14" s="1558"/>
      <c r="AK14" s="1558"/>
      <c r="AL14" s="1558"/>
      <c r="AM14" s="1558"/>
      <c r="AN14" s="1558"/>
      <c r="AO14" s="1558"/>
      <c r="AP14" s="1558"/>
      <c r="AQ14" s="1559"/>
      <c r="AS14" s="670"/>
      <c r="AT14" s="670" t="str">
        <f>IF(V14="","",V14)</f>
        <v/>
      </c>
      <c r="AU14" s="670"/>
      <c r="AV14" s="670"/>
      <c r="AW14" s="1325">
        <v>0</v>
      </c>
    </row>
    <row s="11993" customFormat="1" customHeight="1" ht="14.25" hidden="1">
      <c r="A15" s="1544"/>
      <c r="B15" s="1544"/>
      <c r="C15" s="1544"/>
      <c r="D15" s="1544"/>
      <c r="E15" s="2460"/>
      <c r="F15" s="2460"/>
      <c r="G15" s="2459"/>
      <c r="H15" s="1544"/>
      <c r="I15" s="1544"/>
      <c r="J15" s="1544"/>
      <c r="K15" s="1544"/>
      <c r="L15" s="1544"/>
      <c r="M15" s="1547"/>
      <c r="N15" s="1548"/>
      <c r="O15" s="1548"/>
      <c r="P15" s="521"/>
      <c r="Q15" s="1486"/>
      <c r="R15" s="1487"/>
      <c r="S15" s="1486"/>
      <c r="T15" s="1486"/>
      <c r="U15" s="1488"/>
      <c r="V15" s="1489" t="s">
        <v>165</v>
      </c>
      <c r="W15" s="1490"/>
      <c r="X15" s="1490"/>
      <c r="Y15" s="1490"/>
      <c r="Z15" s="1490"/>
      <c r="AA15" s="1490"/>
      <c r="AB15" s="1490"/>
      <c r="AC15" s="1490"/>
      <c r="AD15" s="1490"/>
      <c r="AE15" s="1490"/>
      <c r="AF15" s="1490"/>
      <c r="AG15" s="1490"/>
      <c r="AH15" s="1490"/>
      <c r="AI15" s="1490"/>
      <c r="AJ15" s="1490"/>
      <c r="AK15" s="1490"/>
      <c r="AL15" s="1490"/>
      <c r="AM15" s="1490"/>
      <c r="AN15" s="1490"/>
      <c r="AO15" s="1490"/>
      <c r="AP15" s="1490"/>
      <c r="AQ15" s="1490"/>
      <c r="AS15" s="959"/>
      <c r="AT15" s="959" t="str">
        <f>IF(V15="","",V15)</f>
        <v>Добавить источник для дифференциации</v>
      </c>
      <c r="AU15" s="959"/>
      <c r="AV15" s="959"/>
      <c r="AW15" s="688">
        <v>0</v>
      </c>
    </row>
    <row s="11993" customFormat="1" customHeight="1" ht="14.25" hidden="1">
      <c r="A16" s="1544"/>
      <c r="B16" s="1544"/>
      <c r="C16" s="1544"/>
      <c r="D16" s="1544"/>
      <c r="E16" s="2460"/>
      <c r="F16" s="2459"/>
      <c r="G16" s="1544"/>
      <c r="H16" s="1544"/>
      <c r="I16" s="1544"/>
      <c r="J16" s="1544"/>
      <c r="K16" s="1544"/>
      <c r="L16" s="1544"/>
      <c r="M16" s="1547"/>
      <c r="N16" s="1549"/>
      <c r="O16" s="1549"/>
      <c r="P16" s="521"/>
      <c r="Q16" s="1486"/>
      <c r="R16" s="1487"/>
      <c r="S16" s="1486"/>
      <c r="T16" s="1486"/>
      <c r="U16" s="1492"/>
      <c r="V16" s="1493" t="s">
        <v>166</v>
      </c>
      <c r="W16" s="1494"/>
      <c r="X16" s="1494"/>
      <c r="Y16" s="1494"/>
      <c r="Z16" s="1494"/>
      <c r="AA16" s="1494"/>
      <c r="AB16" s="1494"/>
      <c r="AC16" s="1494"/>
      <c r="AD16" s="1494"/>
      <c r="AE16" s="1494"/>
      <c r="AF16" s="1494"/>
      <c r="AG16" s="1494"/>
      <c r="AH16" s="1494"/>
      <c r="AI16" s="1494"/>
      <c r="AJ16" s="1494"/>
      <c r="AK16" s="1494"/>
      <c r="AL16" s="1494"/>
      <c r="AM16" s="1494"/>
      <c r="AN16" s="1494"/>
      <c r="AO16" s="1494"/>
      <c r="AP16" s="1494"/>
      <c r="AQ16" s="1494"/>
      <c r="AS16" s="959"/>
      <c r="AT16" s="959" t="str">
        <f>IF(V16="","",V16)</f>
        <v>Добавить централизованную систему для дифференциации</v>
      </c>
      <c r="AU16" s="959"/>
      <c r="AV16" s="959"/>
      <c r="AW16" s="688">
        <v>0</v>
      </c>
    </row>
    <row s="11993" customFormat="1" customHeight="1" ht="14.25" hidden="1">
      <c r="A17" s="1544"/>
      <c r="B17" s="1544"/>
      <c r="C17" s="1544"/>
      <c r="D17" s="1544"/>
      <c r="E17" s="2459"/>
      <c r="F17" s="1544"/>
      <c r="G17" s="1544"/>
      <c r="H17" s="1544"/>
      <c r="I17" s="1544"/>
      <c r="J17" s="1544"/>
      <c r="K17" s="1544"/>
      <c r="L17" s="1544"/>
      <c r="M17" s="1547"/>
      <c r="N17" s="1549"/>
      <c r="O17" s="1549"/>
      <c r="P17" s="521"/>
      <c r="Q17" s="1486"/>
      <c r="R17" s="1487"/>
      <c r="S17" s="1486"/>
      <c r="T17" s="1486"/>
      <c r="U17" s="1492"/>
      <c r="V17" s="1495" t="s">
        <v>167</v>
      </c>
      <c r="W17" s="1494"/>
      <c r="X17" s="1494"/>
      <c r="Y17" s="1494"/>
      <c r="Z17" s="1494"/>
      <c r="AA17" s="1494"/>
      <c r="AB17" s="1494"/>
      <c r="AC17" s="1494"/>
      <c r="AD17" s="1494"/>
      <c r="AE17" s="1494"/>
      <c r="AF17" s="1494"/>
      <c r="AG17" s="1494"/>
      <c r="AH17" s="1494"/>
      <c r="AI17" s="1494"/>
      <c r="AJ17" s="1494"/>
      <c r="AK17" s="1494"/>
      <c r="AL17" s="1494"/>
      <c r="AM17" s="1494"/>
      <c r="AN17" s="1494"/>
      <c r="AO17" s="1494"/>
      <c r="AP17" s="1494"/>
      <c r="AQ17" s="1494"/>
      <c r="AS17" s="959"/>
      <c r="AT17" s="959" t="str">
        <f>IF(V17="","",V17)</f>
        <v>Добавить территорию для дифференциации</v>
      </c>
      <c r="AU17" s="959"/>
      <c r="AV17" s="959"/>
      <c r="AW17" s="688">
        <v>0</v>
      </c>
    </row>
    <row customHeight="1" ht="14.25" hidden="1">
      <c r="AF18" s="497"/>
      <c r="AO18" s="497"/>
      <c r="AW18" s="1325">
        <v>0</v>
      </c>
    </row>
    <row customHeight="1" ht="14.25" hidden="1">
      <c r="AG19" s="1530"/>
      <c r="AH19" s="1530"/>
      <c r="AI19" s="1530"/>
      <c r="AJ19" s="1530"/>
      <c r="AK19" s="1531"/>
      <c r="AL19" s="2437"/>
      <c r="AM19" s="2438" t="s">
        <v>64</v>
      </c>
      <c r="AN19" s="2437"/>
      <c r="AO19" s="2438" t="s">
        <v>64</v>
      </c>
      <c r="AW19" s="1325">
        <v>0</v>
      </c>
    </row>
    <row customHeight="1" ht="14.25" hidden="1">
      <c r="AG20" s="1530"/>
      <c r="AH20" s="1530"/>
      <c r="AI20" s="1530"/>
      <c r="AJ20" s="1530"/>
      <c r="AK20" s="1531"/>
      <c r="AL20" s="2437"/>
      <c r="AM20" s="2438"/>
      <c r="AN20" s="2437"/>
      <c r="AO20" s="2438"/>
      <c r="AW20" s="1325">
        <v>0</v>
      </c>
    </row>
    <row customHeight="1" ht="14.25" hidden="1">
      <c r="AG21" s="1530"/>
      <c r="AH21" s="1530"/>
      <c r="AI21" s="1530"/>
      <c r="AJ21" s="1530"/>
      <c r="AK21" s="1531"/>
      <c r="AL21" s="2437"/>
      <c r="AM21" s="2438"/>
      <c r="AN21" s="2437"/>
      <c r="AO21" s="2438"/>
      <c r="AW21" s="1325">
        <v>0</v>
      </c>
    </row>
    <row customHeight="1" ht="14.25" hidden="1">
      <c r="AG22" s="1530"/>
      <c r="AH22" s="1530"/>
      <c r="AI22" s="1530"/>
      <c r="AJ22" s="1530"/>
      <c r="AK22" s="498" t="str">
        <f>AL19&amp;"-"&amp;AN19</f>
        <v>-</v>
      </c>
      <c r="AL22" s="2438"/>
      <c r="AM22" s="2438"/>
      <c r="AN22" s="2438"/>
      <c r="AO22" s="2438"/>
      <c r="AW22" s="1325">
        <v>0</v>
      </c>
    </row>
    <row customHeight="1" ht="14.25" hidden="1">
      <c r="AO23" s="497"/>
      <c r="AW23" s="1325">
        <v>0</v>
      </c>
    </row>
    <row s="11992" customFormat="1" customHeight="1" ht="22.5" hidden="1">
      <c r="A24" s="1325"/>
      <c r="B24" s="1325"/>
      <c r="C24" s="1325"/>
      <c r="D24" s="1325"/>
      <c r="E24" s="1325"/>
      <c r="F24" s="1325"/>
      <c r="G24" s="1325"/>
      <c r="H24" s="1325"/>
      <c r="I24" s="1325"/>
      <c r="J24" s="1325"/>
      <c r="K24" s="1325"/>
      <c r="L24" s="1325"/>
      <c r="M24" s="1497"/>
      <c r="N24" s="1498"/>
      <c r="O24" s="1498"/>
      <c r="P24" s="1515" t="s">
        <v>426</v>
      </c>
      <c r="Q24" s="1532"/>
      <c r="R24" s="1541"/>
      <c r="S24" s="1541"/>
      <c r="T24" s="1541"/>
      <c r="U24" s="899"/>
      <c r="AC24" s="1537"/>
      <c r="AE24" s="1537"/>
      <c r="AF24" s="1536"/>
      <c r="AL24" s="1537"/>
      <c r="AN24" s="1537"/>
      <c r="AO24" s="1536"/>
      <c r="AR24" s="681"/>
      <c r="AS24" s="681"/>
      <c r="AT24" s="681"/>
      <c r="AU24" s="681"/>
      <c r="AV24" s="681"/>
      <c r="AW24" s="1330">
        <v>0</v>
      </c>
    </row>
    <row s="11992" customFormat="1" customHeight="1" ht="14.25" hidden="1">
      <c r="A25" s="1325"/>
      <c r="B25" s="1325"/>
      <c r="C25" s="1325"/>
      <c r="D25" s="1325"/>
      <c r="E25" s="1325"/>
      <c r="F25" s="1325"/>
      <c r="G25" s="1325"/>
      <c r="H25" s="1325"/>
      <c r="I25" s="1325"/>
      <c r="J25" s="1325"/>
      <c r="K25" s="1325"/>
      <c r="L25" s="1325"/>
      <c r="M25" s="1497"/>
      <c r="N25" s="1498"/>
      <c r="O25" s="1498"/>
      <c r="P25" s="1498"/>
      <c r="Q25" s="1532"/>
      <c r="R25" s="1541"/>
      <c r="S25" s="1541"/>
      <c r="T25" s="1541"/>
      <c r="U25" s="899"/>
      <c r="AF25" s="1536"/>
      <c r="AO25" s="1536"/>
      <c r="AR25" s="681"/>
      <c r="AS25" s="681"/>
      <c r="AT25" s="681"/>
      <c r="AU25" s="681"/>
      <c r="AV25" s="681"/>
      <c r="AW25" s="1330">
        <v>0</v>
      </c>
    </row>
    <row s="11992" customFormat="1" customHeight="1" ht="14.25" hidden="1">
      <c r="A26" s="1325"/>
      <c r="B26" s="1325"/>
      <c r="C26" s="1325"/>
      <c r="D26" s="1325"/>
      <c r="E26" s="1325"/>
      <c r="F26" s="1325"/>
      <c r="G26" s="1325"/>
      <c r="H26" s="1325"/>
      <c r="I26" s="1325"/>
      <c r="J26" s="1325"/>
      <c r="K26" s="1325"/>
      <c r="L26" s="1325"/>
      <c r="M26" s="1497"/>
      <c r="N26" s="1498"/>
      <c r="O26" s="1498"/>
      <c r="P26" s="1480" t="s">
        <v>427</v>
      </c>
      <c r="Q26" s="1532"/>
      <c r="R26" s="1541"/>
      <c r="S26" s="1541"/>
      <c r="T26" s="1541"/>
      <c r="U26" s="899"/>
      <c r="V26" s="1330" t="s">
        <v>428</v>
      </c>
      <c r="AD26" s="356" t="s">
        <v>429</v>
      </c>
      <c r="AF26" s="356" t="s">
        <v>430</v>
      </c>
      <c r="AG26" s="1330" t="s">
        <v>428</v>
      </c>
      <c r="AM26" s="356" t="s">
        <v>431</v>
      </c>
      <c r="AO26" s="356" t="s">
        <v>430</v>
      </c>
      <c r="AR26" s="681"/>
      <c r="AS26" s="681"/>
      <c r="AT26" s="681"/>
      <c r="AU26" s="681"/>
      <c r="AV26" s="681"/>
      <c r="AW26" s="1330">
        <v>0</v>
      </c>
    </row>
    <row customHeight="1" ht="14.25" hidden="1">
      <c r="P27" s="1480"/>
      <c r="AW27" s="1325">
        <v>0</v>
      </c>
    </row>
    <row customHeight="1" ht="14.25" hidden="1">
      <c r="P28" s="1480"/>
      <c r="AW28" s="1325">
        <v>0</v>
      </c>
    </row>
    <row customHeight="1" ht="14.699999999999998">
      <c r="R29" s="546"/>
      <c r="S29" s="546"/>
      <c r="T29" s="546"/>
      <c r="U29" s="1445"/>
      <c r="V29" s="533"/>
      <c r="W29" s="533"/>
      <c r="X29" s="679"/>
      <c r="Y29" s="679"/>
      <c r="Z29" s="679"/>
      <c r="AA29" s="679"/>
      <c r="AB29" s="679"/>
      <c r="AC29" s="679"/>
      <c r="AD29" s="679"/>
      <c r="AE29" s="679"/>
      <c r="AF29" s="679"/>
      <c r="AG29" s="679"/>
      <c r="AH29" s="679"/>
      <c r="AI29" s="679"/>
      <c r="AJ29" s="679"/>
      <c r="AK29" s="679"/>
      <c r="AL29" s="679"/>
      <c r="AM29" s="679"/>
      <c r="AN29" s="679"/>
      <c r="AO29" s="679"/>
      <c r="AW29" s="1325">
        <v>14</v>
      </c>
    </row>
    <row customHeight="1" ht="56.699999999999996">
      <c r="R30" s="546"/>
      <c r="S30" s="546"/>
      <c r="T30" s="546"/>
      <c r="U30" s="2418"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418"/>
      <c r="W30" s="2418"/>
      <c r="X30" s="2418"/>
      <c r="Y30" s="2418"/>
      <c r="Z30" s="2418"/>
      <c r="AA30" s="2418"/>
      <c r="AB30" s="2418"/>
      <c r="AC30" s="2418"/>
      <c r="AD30" s="2418"/>
      <c r="AE30" s="2418"/>
      <c r="AF30" s="2418"/>
      <c r="AG30" s="2418"/>
      <c r="AH30" s="2418"/>
      <c r="AI30" s="2418"/>
      <c r="AJ30" s="2418"/>
      <c r="AK30" s="2418"/>
      <c r="AL30" s="2418"/>
      <c r="AM30" s="2418"/>
      <c r="AN30" s="2418"/>
      <c r="AO30" s="1413"/>
      <c r="AW30" s="1325">
        <v>54</v>
      </c>
    </row>
    <row customHeight="1" ht="14.699999999999998">
      <c r="R31" s="546"/>
      <c r="S31" s="546"/>
      <c r="T31" s="546"/>
      <c r="U31" s="2419" t="str">
        <f>IF(org=0,"Не определено",org)</f>
        <v>Филиал "Шатурская ГРЭС" ПАО "Юнипро"</v>
      </c>
      <c r="V31" s="2419"/>
      <c r="W31" s="2419"/>
      <c r="X31" s="2419"/>
      <c r="Y31" s="2419"/>
      <c r="Z31" s="2419"/>
      <c r="AA31" s="2419"/>
      <c r="AB31" s="2419"/>
      <c r="AC31" s="2419"/>
      <c r="AD31" s="2419"/>
      <c r="AE31" s="2419"/>
      <c r="AF31" s="2419"/>
      <c r="AG31" s="2419"/>
      <c r="AH31" s="2419"/>
      <c r="AI31" s="2419"/>
      <c r="AJ31" s="2419"/>
      <c r="AK31" s="2419"/>
      <c r="AL31" s="2419"/>
      <c r="AM31" s="2419"/>
      <c r="AN31" s="2419"/>
      <c r="AO31" s="1413"/>
      <c r="AW31" s="1325">
        <v>14</v>
      </c>
    </row>
    <row customHeight="1" ht="14.25">
      <c r="R32" s="546"/>
      <c r="S32" s="546"/>
      <c r="T32" s="546"/>
      <c r="U32" s="1445"/>
      <c r="V32" s="533"/>
      <c r="W32" s="533"/>
      <c r="X32" s="492"/>
      <c r="Y32" s="492"/>
      <c r="Z32" s="492"/>
      <c r="AA32" s="492"/>
      <c r="AB32" s="492"/>
      <c r="AC32" s="492"/>
      <c r="AD32" s="492"/>
      <c r="AE32" s="492"/>
      <c r="AF32" s="492"/>
      <c r="AG32" s="492"/>
      <c r="AH32" s="492"/>
      <c r="AI32" s="492"/>
      <c r="AJ32" s="492"/>
      <c r="AK32" s="492"/>
      <c r="AL32" s="492"/>
      <c r="AM32" s="492"/>
      <c r="AN32" s="492"/>
      <c r="AO32" s="492"/>
      <c r="AP32" s="679"/>
      <c r="AW32" s="1325">
        <v>0</v>
      </c>
    </row>
    <row s="12119" customFormat="1" customHeight="1" ht="25.5">
      <c r="A33" s="1418"/>
      <c r="B33" s="1418"/>
      <c r="C33" s="1418"/>
      <c r="D33" s="1418"/>
      <c r="E33" s="1418"/>
      <c r="F33" s="1418"/>
      <c r="G33" s="1418"/>
      <c r="H33" s="1418"/>
      <c r="I33" s="1418"/>
      <c r="J33" s="1418"/>
      <c r="K33" s="1418"/>
      <c r="L33" s="1418"/>
      <c r="M33" s="1550"/>
      <c r="N33" s="1418"/>
      <c r="O33" s="1418"/>
      <c r="P33" s="1418"/>
      <c r="U33" s="2420" t="s">
        <v>42</v>
      </c>
      <c r="V33" s="2420"/>
      <c r="W33" s="1542"/>
      <c r="X33" s="2421" t="str">
        <f>IF(TITLE_NAME_OR_PR_CHANGE="",IF(TITLE_NAME_OR_PR="","",TITLE_NAME_OR_PR),TITLE_NAME_OR_PR_CHANGE)</f>
        <v>Комитет по ценам и тарифам Московской области</v>
      </c>
      <c r="Y33" s="2421"/>
      <c r="Z33" s="2421"/>
      <c r="AA33" s="2421"/>
      <c r="AB33" s="2421"/>
      <c r="AC33" s="2421"/>
      <c r="AD33" s="2421"/>
      <c r="AE33" s="2421"/>
      <c r="AF33" s="496"/>
      <c r="AG33" s="2421" t="str">
        <f>IF(TITLE_NAME_OR_PR_CHANGE="",IF(TITLE_NAME_OR_PR="","",TITLE_NAME_OR_PR),TITLE_NAME_OR_PR_CHANGE)</f>
        <v>Комитет по ценам и тарифам Московской области</v>
      </c>
      <c r="AH33" s="2421"/>
      <c r="AI33" s="2421"/>
      <c r="AJ33" s="2421"/>
      <c r="AK33" s="2421"/>
      <c r="AL33" s="2421"/>
      <c r="AM33" s="2421"/>
      <c r="AN33" s="2421"/>
      <c r="AO33" s="496"/>
      <c r="AP33" s="496"/>
      <c r="AQ33" s="450"/>
      <c r="AR33" s="538"/>
      <c r="AS33" s="538"/>
      <c r="AT33" s="538"/>
      <c r="AU33" s="538"/>
      <c r="AV33" s="538"/>
      <c r="AW33" s="588">
        <v>0</v>
      </c>
    </row>
    <row s="12119" customFormat="1" customHeight="1" ht="18.75">
      <c r="A34" s="1418"/>
      <c r="B34" s="1418"/>
      <c r="C34" s="1418"/>
      <c r="D34" s="1418"/>
      <c r="E34" s="1418"/>
      <c r="F34" s="1418"/>
      <c r="G34" s="1418"/>
      <c r="H34" s="1418"/>
      <c r="I34" s="1418"/>
      <c r="J34" s="1418"/>
      <c r="K34" s="1418"/>
      <c r="L34" s="1418"/>
      <c r="M34" s="1550"/>
      <c r="N34" s="1418"/>
      <c r="O34" s="1418"/>
      <c r="P34" s="1418"/>
      <c r="U34" s="2420" t="s">
        <v>432</v>
      </c>
      <c r="V34" s="2420"/>
      <c r="W34" s="1542"/>
      <c r="X34" s="2434" t="str">
        <f>IF(TITLE_DATE_PR_CHANGE="",IF(TITLE_DATE_PR="","",TITLE_DATE_PR),TITLE_DATE_PR_CHANGE)</f>
        <v>45646.459814814814</v>
      </c>
      <c r="Y34" s="2434"/>
      <c r="Z34" s="2434"/>
      <c r="AA34" s="2434"/>
      <c r="AB34" s="2434"/>
      <c r="AC34" s="2434"/>
      <c r="AD34" s="2434"/>
      <c r="AE34" s="2434"/>
      <c r="AF34" s="496"/>
      <c r="AG34" s="2434" t="str">
        <f>IF(TITLE_DATE_PR_CHANGE="",IF(TITLE_DATE_PR="","",TITLE_DATE_PR),TITLE_DATE_PR_CHANGE)</f>
        <v>45646.459814814814</v>
      </c>
      <c r="AH34" s="2434"/>
      <c r="AI34" s="2434"/>
      <c r="AJ34" s="2434"/>
      <c r="AK34" s="2434"/>
      <c r="AL34" s="2434"/>
      <c r="AM34" s="2434"/>
      <c r="AN34" s="2434"/>
      <c r="AO34" s="496"/>
      <c r="AP34" s="496"/>
      <c r="AQ34" s="450"/>
      <c r="AR34" s="538"/>
      <c r="AS34" s="538"/>
      <c r="AT34" s="538"/>
      <c r="AU34" s="538"/>
      <c r="AV34" s="538"/>
      <c r="AW34" s="588">
        <v>0</v>
      </c>
    </row>
    <row s="12119" customFormat="1" customHeight="1" ht="18.75">
      <c r="A35" s="1418"/>
      <c r="B35" s="1418"/>
      <c r="C35" s="1418"/>
      <c r="D35" s="1418"/>
      <c r="E35" s="1418"/>
      <c r="F35" s="1418"/>
      <c r="G35" s="1418"/>
      <c r="H35" s="1418"/>
      <c r="I35" s="1418"/>
      <c r="J35" s="1418"/>
      <c r="K35" s="1418"/>
      <c r="L35" s="1418"/>
      <c r="M35" s="1550"/>
      <c r="N35" s="1418"/>
      <c r="O35" s="1418"/>
      <c r="P35" s="1418"/>
      <c r="U35" s="2420" t="s">
        <v>433</v>
      </c>
      <c r="V35" s="2420"/>
      <c r="W35" s="1542"/>
      <c r="X35" s="2421" t="str">
        <f>IF(TITLE_NUMBER_PR_CHANGE="",IF(TITLE_NUMBER_PR="","",TITLE_NUMBER_PR),TITLE_NUMBER_PR_CHANGE)</f>
        <v>329-Р</v>
      </c>
      <c r="Y35" s="2421"/>
      <c r="Z35" s="2421"/>
      <c r="AA35" s="2421"/>
      <c r="AB35" s="2421"/>
      <c r="AC35" s="2421"/>
      <c r="AD35" s="2421"/>
      <c r="AE35" s="2421"/>
      <c r="AF35" s="496"/>
      <c r="AG35" s="2421" t="str">
        <f>IF(TITLE_NUMBER_PR_CHANGE="",IF(TITLE_NUMBER_PR="","",TITLE_NUMBER_PR),TITLE_NUMBER_PR_CHANGE)</f>
        <v>329-Р</v>
      </c>
      <c r="AH35" s="2421"/>
      <c r="AI35" s="2421"/>
      <c r="AJ35" s="2421"/>
      <c r="AK35" s="2421"/>
      <c r="AL35" s="2421"/>
      <c r="AM35" s="2421"/>
      <c r="AN35" s="2421"/>
      <c r="AO35" s="496"/>
      <c r="AP35" s="496"/>
      <c r="AQ35" s="450"/>
      <c r="AR35" s="538"/>
      <c r="AS35" s="538"/>
      <c r="AT35" s="538"/>
      <c r="AU35" s="538"/>
      <c r="AV35" s="538"/>
      <c r="AW35" s="588">
        <v>0</v>
      </c>
    </row>
    <row s="12119" customFormat="1" customHeight="1" ht="18.75">
      <c r="A36" s="1418"/>
      <c r="B36" s="1418"/>
      <c r="C36" s="1418"/>
      <c r="D36" s="1418"/>
      <c r="E36" s="1418"/>
      <c r="F36" s="1418"/>
      <c r="G36" s="1418"/>
      <c r="H36" s="1418"/>
      <c r="I36" s="1418"/>
      <c r="J36" s="1418"/>
      <c r="K36" s="1418"/>
      <c r="L36" s="1418"/>
      <c r="M36" s="1550"/>
      <c r="N36" s="1418"/>
      <c r="O36" s="1418"/>
      <c r="P36" s="1418"/>
      <c r="U36" s="2420" t="s">
        <v>44</v>
      </c>
      <c r="V36" s="2420"/>
      <c r="W36" s="1542"/>
      <c r="X36"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Y36" s="2421"/>
      <c r="Z36" s="2421"/>
      <c r="AA36" s="2421"/>
      <c r="AB36" s="2421"/>
      <c r="AC36" s="2421"/>
      <c r="AD36" s="2421"/>
      <c r="AE36" s="2421"/>
      <c r="AF36" s="496"/>
      <c r="AG36"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H36" s="2421"/>
      <c r="AI36" s="2421"/>
      <c r="AJ36" s="2421"/>
      <c r="AK36" s="2421"/>
      <c r="AL36" s="2421"/>
      <c r="AM36" s="2421"/>
      <c r="AN36" s="2421"/>
      <c r="AO36" s="496"/>
      <c r="AP36" s="496"/>
      <c r="AQ36" s="450"/>
      <c r="AR36" s="538"/>
      <c r="AS36" s="538"/>
      <c r="AT36" s="538"/>
      <c r="AU36" s="538"/>
      <c r="AV36" s="538"/>
      <c r="AW36" s="588">
        <v>0</v>
      </c>
    </row>
    <row customHeight="1" ht="14.25" hidden="1">
      <c r="R37" s="546"/>
      <c r="S37" s="546"/>
      <c r="T37" s="546"/>
      <c r="U37" s="1445"/>
      <c r="V37" s="533"/>
      <c r="W37" s="533"/>
      <c r="X37" s="492"/>
      <c r="Y37" s="492"/>
      <c r="Z37" s="492"/>
      <c r="AA37" s="492"/>
      <c r="AB37" s="492"/>
      <c r="AC37" s="492"/>
      <c r="AD37" s="492"/>
      <c r="AE37" s="492"/>
      <c r="AF37" s="492"/>
      <c r="AG37" s="492"/>
      <c r="AH37" s="492"/>
      <c r="AI37" s="492"/>
      <c r="AJ37" s="492"/>
      <c r="AK37" s="492"/>
      <c r="AL37" s="492"/>
      <c r="AM37" s="492"/>
      <c r="AN37" s="492"/>
      <c r="AO37" s="492"/>
      <c r="AP37" s="679"/>
      <c r="AW37" s="1325">
        <v>0</v>
      </c>
    </row>
    <row s="12119" customFormat="1" customHeight="1" ht="18.75" hidden="1">
      <c r="A38" s="1418"/>
      <c r="B38" s="1418"/>
      <c r="C38" s="1418"/>
      <c r="D38" s="1418"/>
      <c r="E38" s="1418"/>
      <c r="F38" s="1418"/>
      <c r="G38" s="1418"/>
      <c r="H38" s="1418"/>
      <c r="I38" s="1418"/>
      <c r="J38" s="1418"/>
      <c r="K38" s="1418"/>
      <c r="L38" s="1418"/>
      <c r="M38" s="1550"/>
      <c r="N38" s="1418"/>
      <c r="O38" s="1418"/>
      <c r="P38" s="1418"/>
      <c r="U38" s="2420" t="s">
        <v>434</v>
      </c>
      <c r="V38" s="2420"/>
      <c r="W38" s="1542"/>
      <c r="X38" s="2434" t="str">
        <f>IF(TITLE_DATE_PR_CHANGE="",IF(TITLE_DATE_PR="","",TITLE_DATE_PR),TITLE_DATE_PR_CHANGE)</f>
        <v>45646.459814814814</v>
      </c>
      <c r="Y38" s="2434"/>
      <c r="Z38" s="2434"/>
      <c r="AA38" s="2434"/>
      <c r="AB38" s="2434"/>
      <c r="AC38" s="2434"/>
      <c r="AD38" s="2434"/>
      <c r="AE38" s="2434"/>
      <c r="AF38" s="496"/>
      <c r="AG38" s="2434" t="str">
        <f>IF(TITLE_DATE_PR_CHANGE="",IF(TITLE_DATE_PR="","",TITLE_DATE_PR),TITLE_DATE_PR_CHANGE)</f>
        <v>45646.459814814814</v>
      </c>
      <c r="AH38" s="2434"/>
      <c r="AI38" s="2434"/>
      <c r="AJ38" s="2434"/>
      <c r="AK38" s="2434"/>
      <c r="AL38" s="2434"/>
      <c r="AM38" s="2434"/>
      <c r="AN38" s="2434"/>
      <c r="AO38" s="496"/>
      <c r="AP38" s="496"/>
      <c r="AQ38" s="450"/>
      <c r="AR38" s="538"/>
      <c r="AS38" s="538"/>
      <c r="AT38" s="538"/>
      <c r="AU38" s="538"/>
      <c r="AV38" s="538"/>
      <c r="AW38" s="588">
        <v>0</v>
      </c>
    </row>
    <row s="12119" customFormat="1" customHeight="1" ht="18.75" hidden="1">
      <c r="A39" s="1418"/>
      <c r="B39" s="1418"/>
      <c r="C39" s="1418"/>
      <c r="D39" s="1418"/>
      <c r="E39" s="1418"/>
      <c r="F39" s="1418"/>
      <c r="G39" s="1418"/>
      <c r="H39" s="1418"/>
      <c r="I39" s="1418"/>
      <c r="J39" s="1418"/>
      <c r="K39" s="1418"/>
      <c r="L39" s="1418"/>
      <c r="M39" s="1550"/>
      <c r="N39" s="1418"/>
      <c r="O39" s="1418"/>
      <c r="P39" s="1418"/>
      <c r="U39" s="2420" t="s">
        <v>435</v>
      </c>
      <c r="V39" s="2420"/>
      <c r="W39" s="1542"/>
      <c r="X39" s="2421" t="str">
        <f>IF(TITLE_NUMBER_PR_CHANGE="",IF(TITLE_NUMBER_PR="","",TITLE_NUMBER_PR),TITLE_NUMBER_PR_CHANGE)</f>
        <v>329-Р</v>
      </c>
      <c r="Y39" s="2421"/>
      <c r="Z39" s="2421"/>
      <c r="AA39" s="2421"/>
      <c r="AB39" s="2421"/>
      <c r="AC39" s="2421"/>
      <c r="AD39" s="2421"/>
      <c r="AE39" s="2421"/>
      <c r="AF39" s="496"/>
      <c r="AG39" s="2421" t="str">
        <f>IF(TITLE_NUMBER_PR_CHANGE="",IF(TITLE_NUMBER_PR="","",TITLE_NUMBER_PR),TITLE_NUMBER_PR_CHANGE)</f>
        <v>329-Р</v>
      </c>
      <c r="AH39" s="2421"/>
      <c r="AI39" s="2421"/>
      <c r="AJ39" s="2421"/>
      <c r="AK39" s="2421"/>
      <c r="AL39" s="2421"/>
      <c r="AM39" s="2421"/>
      <c r="AN39" s="2421"/>
      <c r="AO39" s="496"/>
      <c r="AP39" s="496"/>
      <c r="AQ39" s="450"/>
      <c r="AR39" s="538"/>
      <c r="AS39" s="538"/>
      <c r="AT39" s="538"/>
      <c r="AU39" s="538"/>
      <c r="AV39" s="538"/>
      <c r="AW39" s="588">
        <v>0</v>
      </c>
    </row>
    <row s="12119" customFormat="1" customHeight="1" ht="0">
      <c r="A40" s="1418"/>
      <c r="B40" s="1418"/>
      <c r="C40" s="1418"/>
      <c r="D40" s="1418"/>
      <c r="E40" s="1418"/>
      <c r="F40" s="1418"/>
      <c r="G40" s="1418"/>
      <c r="H40" s="1418"/>
      <c r="I40" s="1418"/>
      <c r="J40" s="1418"/>
      <c r="K40" s="1418"/>
      <c r="L40" s="1418"/>
      <c r="M40" s="1550"/>
      <c r="N40" s="1418"/>
      <c r="O40" s="1418"/>
      <c r="P40" s="1418"/>
      <c r="U40" s="493"/>
      <c r="V40" s="493"/>
      <c r="W40" s="1510"/>
      <c r="X40" s="496"/>
      <c r="Y40" s="496"/>
      <c r="Z40" s="496"/>
      <c r="AA40" s="496"/>
      <c r="AB40" s="496"/>
      <c r="AC40" s="496"/>
      <c r="AD40" s="496"/>
      <c r="AE40" s="496"/>
      <c r="AF40" s="448" t="s">
        <v>436</v>
      </c>
      <c r="AG40" s="496"/>
      <c r="AH40" s="496"/>
      <c r="AI40" s="496"/>
      <c r="AJ40" s="496"/>
      <c r="AK40" s="496"/>
      <c r="AL40" s="496"/>
      <c r="AM40" s="496"/>
      <c r="AN40" s="496"/>
      <c r="AO40" s="448" t="s">
        <v>436</v>
      </c>
      <c r="AR40" s="538"/>
      <c r="AS40" s="538"/>
      <c r="AT40" s="538"/>
      <c r="AU40" s="538"/>
      <c r="AV40" s="538"/>
      <c r="AW40" s="588">
        <v>0</v>
      </c>
    </row>
    <row customHeight="1" ht="14.699999999999998">
      <c r="R41" s="546"/>
      <c r="S41" s="546"/>
      <c r="T41" s="546"/>
      <c r="U41" s="1445"/>
      <c r="V41" s="533"/>
      <c r="W41" s="1414"/>
      <c r="X41" s="2422"/>
      <c r="Y41" s="2422"/>
      <c r="Z41" s="2422"/>
      <c r="AA41" s="2422"/>
      <c r="AB41" s="2422"/>
      <c r="AC41" s="2422"/>
      <c r="AD41" s="2422"/>
      <c r="AE41" s="2422"/>
      <c r="AF41" s="2422"/>
      <c r="AG41" s="2422"/>
      <c r="AH41" s="2422"/>
      <c r="AI41" s="2422"/>
      <c r="AJ41" s="2422"/>
      <c r="AK41" s="2422"/>
      <c r="AL41" s="2422"/>
      <c r="AM41" s="2422"/>
      <c r="AN41" s="2422"/>
      <c r="AO41" s="2422"/>
      <c r="AW41" s="1325">
        <v>14</v>
      </c>
    </row>
    <row customHeight="1" ht="14.699999999999998">
      <c r="R42" s="546"/>
      <c r="S42" s="546"/>
      <c r="T42" s="546"/>
      <c r="U42" s="2297" t="s">
        <v>312</v>
      </c>
      <c r="V42" s="2297"/>
      <c r="W42" s="2297"/>
      <c r="X42" s="2297"/>
      <c r="Y42" s="2297"/>
      <c r="Z42" s="2297"/>
      <c r="AA42" s="2297"/>
      <c r="AB42" s="2297"/>
      <c r="AC42" s="2297"/>
      <c r="AD42" s="2297"/>
      <c r="AE42" s="2297"/>
      <c r="AF42" s="2297"/>
      <c r="AG42" s="2297"/>
      <c r="AH42" s="2297"/>
      <c r="AI42" s="2297"/>
      <c r="AJ42" s="2297"/>
      <c r="AK42" s="2297"/>
      <c r="AL42" s="2297"/>
      <c r="AM42" s="2297"/>
      <c r="AN42" s="2297"/>
      <c r="AO42" s="2297"/>
      <c r="AP42" s="2297"/>
      <c r="AQ42" s="2297" t="s">
        <v>313</v>
      </c>
      <c r="AW42" s="1325">
        <v>14</v>
      </c>
    </row>
    <row customHeight="1" ht="14.699999999999998">
      <c r="R43" s="546"/>
      <c r="S43" s="546"/>
      <c r="T43" s="546"/>
      <c r="U43" s="2443" t="s">
        <v>91</v>
      </c>
      <c r="V43" s="2379" t="s">
        <v>438</v>
      </c>
      <c r="W43" s="471"/>
      <c r="X43" s="2444" t="s">
        <v>439</v>
      </c>
      <c r="Y43" s="2461"/>
      <c r="Z43" s="2461"/>
      <c r="AA43" s="2461"/>
      <c r="AB43" s="2461"/>
      <c r="AC43" s="2445"/>
      <c r="AD43" s="2445"/>
      <c r="AE43" s="2446"/>
      <c r="AF43" s="2447" t="s">
        <v>440</v>
      </c>
      <c r="AG43" s="2444" t="s">
        <v>439</v>
      </c>
      <c r="AH43" s="2461"/>
      <c r="AI43" s="2461"/>
      <c r="AJ43" s="2461"/>
      <c r="AK43" s="2461"/>
      <c r="AL43" s="2445"/>
      <c r="AM43" s="2445"/>
      <c r="AN43" s="2446"/>
      <c r="AO43" s="2447" t="s">
        <v>441</v>
      </c>
      <c r="AP43" s="2450" t="s">
        <v>442</v>
      </c>
      <c r="AQ43" s="2297"/>
      <c r="AW43" s="1325">
        <v>14</v>
      </c>
    </row>
    <row customHeight="1" ht="35.699999999999996">
      <c r="R44" s="546"/>
      <c r="S44" s="546"/>
      <c r="T44" s="546"/>
      <c r="U44" s="2443"/>
      <c r="V44" s="2379"/>
      <c r="W44" s="1201"/>
      <c r="X44" s="2464" t="s">
        <v>468</v>
      </c>
      <c r="Y44" s="2482" t="s">
        <v>469</v>
      </c>
      <c r="Z44" s="2482"/>
      <c r="AA44" s="2482"/>
      <c r="AB44" s="2482"/>
      <c r="AC44" s="2464" t="s">
        <v>446</v>
      </c>
      <c r="AD44" s="2781"/>
      <c r="AE44" s="2484"/>
      <c r="AF44" s="2448"/>
      <c r="AG44" s="2464" t="s">
        <v>468</v>
      </c>
      <c r="AH44" s="2482" t="s">
        <v>469</v>
      </c>
      <c r="AI44" s="2482"/>
      <c r="AJ44" s="2482"/>
      <c r="AK44" s="2482"/>
      <c r="AL44" s="2464" t="s">
        <v>446</v>
      </c>
      <c r="AM44" s="2781"/>
      <c r="AN44" s="2484"/>
      <c r="AO44" s="2448"/>
      <c r="AP44" s="2451"/>
      <c r="AQ44" s="2297"/>
      <c r="AW44" s="1325">
        <v>34</v>
      </c>
    </row>
    <row customHeight="1" ht="14.699999999999998">
      <c r="R45" s="546"/>
      <c r="S45" s="546"/>
      <c r="T45" s="546"/>
      <c r="U45" s="2443"/>
      <c r="V45" s="2379"/>
      <c r="W45" s="1201"/>
      <c r="X45" s="2495"/>
      <c r="Y45" s="2487" t="s">
        <v>470</v>
      </c>
      <c r="Z45" s="2440" t="s">
        <v>471</v>
      </c>
      <c r="AA45" s="2490"/>
      <c r="AB45" s="2441"/>
      <c r="AC45" s="2465"/>
      <c r="AD45" s="2782"/>
      <c r="AE45" s="2486"/>
      <c r="AF45" s="2448"/>
      <c r="AG45" s="2495"/>
      <c r="AH45" s="2487" t="s">
        <v>470</v>
      </c>
      <c r="AI45" s="2440" t="s">
        <v>471</v>
      </c>
      <c r="AJ45" s="2490"/>
      <c r="AK45" s="2441"/>
      <c r="AL45" s="2465"/>
      <c r="AM45" s="2782"/>
      <c r="AN45" s="2486"/>
      <c r="AO45" s="2448"/>
      <c r="AP45" s="2451"/>
      <c r="AQ45" s="2297"/>
      <c r="AW45" s="1325">
        <v>14</v>
      </c>
    </row>
    <row customHeight="1" ht="27.299999999999997">
      <c r="R46" s="546"/>
      <c r="S46" s="546"/>
      <c r="T46" s="546"/>
      <c r="U46" s="2443"/>
      <c r="V46" s="2379"/>
      <c r="W46" s="1201"/>
      <c r="X46" s="2495"/>
      <c r="Y46" s="2488"/>
      <c r="Z46" s="2487" t="s">
        <v>472</v>
      </c>
      <c r="AA46" s="2440" t="s">
        <v>473</v>
      </c>
      <c r="AB46" s="2441"/>
      <c r="AC46" s="2487" t="s">
        <v>456</v>
      </c>
      <c r="AD46" s="2491" t="s">
        <v>457</v>
      </c>
      <c r="AE46" s="2492"/>
      <c r="AF46" s="2448"/>
      <c r="AG46" s="2495"/>
      <c r="AH46" s="2488"/>
      <c r="AI46" s="2487" t="s">
        <v>472</v>
      </c>
      <c r="AJ46" s="2440" t="s">
        <v>473</v>
      </c>
      <c r="AK46" s="2441"/>
      <c r="AL46" s="2487" t="s">
        <v>456</v>
      </c>
      <c r="AM46" s="2491" t="s">
        <v>457</v>
      </c>
      <c r="AN46" s="2492"/>
      <c r="AO46" s="2448"/>
      <c r="AP46" s="2451"/>
      <c r="AQ46" s="2297"/>
      <c r="AW46" s="1325">
        <v>26</v>
      </c>
    </row>
    <row customHeight="1" ht="65.25">
      <c r="A47" s="1429"/>
      <c r="B47" s="1429" t="s">
        <v>138</v>
      </c>
      <c r="C47" s="1429" t="s">
        <v>139</v>
      </c>
      <c r="D47" s="1429" t="s">
        <v>140</v>
      </c>
      <c r="E47" s="1480" t="s">
        <v>447</v>
      </c>
      <c r="F47" s="1480" t="s">
        <v>448</v>
      </c>
      <c r="G47" s="1480" t="s">
        <v>449</v>
      </c>
      <c r="H47" s="1480" t="s">
        <v>450</v>
      </c>
      <c r="I47" s="1480" t="s">
        <v>451</v>
      </c>
      <c r="J47" s="1480" t="s">
        <v>452</v>
      </c>
      <c r="K47" s="1480" t="s">
        <v>453</v>
      </c>
      <c r="L47" s="1480" t="s">
        <v>474</v>
      </c>
      <c r="M47" s="1480" t="s">
        <v>427</v>
      </c>
      <c r="R47" s="546"/>
      <c r="S47" s="546"/>
      <c r="T47" s="546"/>
      <c r="U47" s="2443"/>
      <c r="V47" s="2379"/>
      <c r="W47" s="472"/>
      <c r="X47" s="2465"/>
      <c r="Y47" s="2489"/>
      <c r="Z47" s="2489"/>
      <c r="AA47" s="1392" t="s">
        <v>475</v>
      </c>
      <c r="AB47" s="1392" t="s">
        <v>476</v>
      </c>
      <c r="AC47" s="2489"/>
      <c r="AD47" s="2493"/>
      <c r="AE47" s="2494"/>
      <c r="AF47" s="2449"/>
      <c r="AG47" s="2465"/>
      <c r="AH47" s="2489"/>
      <c r="AI47" s="2489"/>
      <c r="AJ47" s="1392" t="s">
        <v>475</v>
      </c>
      <c r="AK47" s="1392" t="s">
        <v>476</v>
      </c>
      <c r="AL47" s="2489"/>
      <c r="AM47" s="2493"/>
      <c r="AN47" s="2494"/>
      <c r="AO47" s="2449"/>
      <c r="AP47" s="2452"/>
      <c r="AQ47" s="2297"/>
      <c r="AW47" s="1325">
        <v>62</v>
      </c>
    </row>
    <row s="12668" customFormat="1" customHeight="1" ht="11.25" hidden="1">
      <c r="A48" s="1429"/>
      <c r="B48" s="1429"/>
      <c r="C48" s="1429"/>
      <c r="D48" s="1429"/>
      <c r="E48" s="1429"/>
      <c r="F48" s="1429"/>
      <c r="G48" s="1429"/>
      <c r="H48" s="1429"/>
      <c r="I48" s="1429"/>
      <c r="J48" s="1429"/>
      <c r="K48" s="1429"/>
      <c r="L48" s="1429"/>
      <c r="M48" s="1480"/>
      <c r="N48" s="1498"/>
      <c r="O48" s="1498"/>
      <c r="P48" s="1498"/>
      <c r="Q48" s="1416"/>
      <c r="R48" s="1417"/>
      <c r="S48" s="1424">
        <v>1</v>
      </c>
      <c r="T48" s="1424"/>
      <c r="U48" s="1447" t="s">
        <v>112</v>
      </c>
      <c r="V48" s="1425" t="s">
        <v>113</v>
      </c>
      <c r="W48" s="1415" t="str">
        <f>OFFSET(W48,0,-1)</f>
        <v>2</v>
      </c>
      <c r="X48" s="1505">
        <f>OFFSET(X48,0,-1)+1</f>
        <v>3</v>
      </c>
      <c r="Y48" s="1511"/>
      <c r="Z48" s="1511"/>
      <c r="AA48" s="1511">
        <f>OFFSET(AA48,0,-1)+1</f>
        <v>1</v>
      </c>
      <c r="AB48" s="1511">
        <f>OFFSET(AB48,0,-1)+1</f>
        <v>2</v>
      </c>
      <c r="AC48" s="1505">
        <f>OFFSET(AC48,0,-1)+1</f>
        <v>3</v>
      </c>
      <c r="AD48" s="2442">
        <f>OFFSET(AD48,0,-1)+1</f>
        <v>4</v>
      </c>
      <c r="AE48" s="2442"/>
      <c r="AF48" s="1505">
        <f>OFFSET(AF48,0,-2)+1</f>
        <v>5</v>
      </c>
      <c r="AG48" s="1505">
        <f>OFFSET(AG48,0,-1)+1</f>
        <v>6</v>
      </c>
      <c r="AH48" s="1505"/>
      <c r="AI48" s="1505"/>
      <c r="AJ48" s="1505">
        <f>OFFSET(AJ48,0,-1)+1</f>
        <v>1</v>
      </c>
      <c r="AK48" s="1505">
        <f>OFFSET(AK48,0,-1)+1</f>
        <v>2</v>
      </c>
      <c r="AL48" s="1505">
        <f>OFFSET(AL48,0,-1)+1</f>
        <v>3</v>
      </c>
      <c r="AM48" s="2442">
        <f>OFFSET(AM48,0,-1)+1</f>
        <v>4</v>
      </c>
      <c r="AN48" s="2442"/>
      <c r="AO48" s="1505">
        <f>OFFSET(AO48,0,-2)+1</f>
        <v>5</v>
      </c>
      <c r="AP48" s="1415">
        <f>OFFSET(AP48,0,-1)</f>
        <v>5</v>
      </c>
      <c r="AQ48" s="1505">
        <f>OFFSET(AQ48,0,-1)+1</f>
        <v>6</v>
      </c>
      <c r="AR48" s="681"/>
      <c r="AS48" s="681"/>
      <c r="AT48" s="681"/>
      <c r="AU48" s="681"/>
      <c r="AV48" s="681"/>
      <c r="AW48" s="666">
        <v>0</v>
      </c>
    </row>
    <row customHeight="1" ht="22.049999999999997">
      <c r="A49" s="1437" t="s">
        <v>188</v>
      </c>
      <c r="B49" s="1437"/>
      <c r="C49" s="1437"/>
      <c r="D49" s="1437"/>
      <c r="E49" s="2459">
        <v>1</v>
      </c>
      <c r="F49" s="1437"/>
      <c r="G49" s="1437"/>
      <c r="H49" s="1437"/>
      <c r="I49" s="1437"/>
      <c r="J49" s="1437"/>
      <c r="K49" s="1437"/>
      <c r="L49" s="1437"/>
      <c r="M49" s="1480"/>
      <c r="N49" s="858"/>
      <c r="O49" s="858"/>
      <c r="P49" s="858"/>
      <c r="Q49" s="531"/>
      <c r="R49" s="530"/>
      <c r="S49" s="530"/>
      <c r="T49" s="525"/>
      <c r="U49" s="1506">
        <f>INDEX(PT_DIFFERENTIATION_NUM_NTAR,MATCH(A49,PT_DIFFERENTIATION_NTAR_ID,0))</f>
        <v>0</v>
      </c>
      <c r="V49" s="468" t="s">
        <v>126</v>
      </c>
      <c r="W49" s="470"/>
      <c r="X49" s="2412"/>
      <c r="Y49" s="2413"/>
      <c r="Z49" s="2413"/>
      <c r="AA49" s="2413"/>
      <c r="AB49" s="2413"/>
      <c r="AC49" s="2413"/>
      <c r="AD49" s="2413"/>
      <c r="AE49" s="2413"/>
      <c r="AF49" s="2414"/>
      <c r="AG49" s="2412" t="str">
        <f>INDEX(PT_DIFFERENTIATION_NTAR,MATCH(A49,PT_DIFFERENTIATION_NTAR_ID,0))</f>
        <v/>
      </c>
      <c r="AH49" s="2413"/>
      <c r="AI49" s="2413"/>
      <c r="AJ49" s="2413"/>
      <c r="AK49" s="2413"/>
      <c r="AL49" s="2413"/>
      <c r="AM49" s="2413"/>
      <c r="AN49" s="2413"/>
      <c r="AO49" s="2413"/>
      <c r="AP49" s="2414"/>
      <c r="AQ49" s="142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670"/>
      <c r="AT49" s="670" t="str">
        <f>IF(V49="","",V49)</f>
        <v>Наименование тарифа</v>
      </c>
      <c r="AU49" s="670"/>
      <c r="AV49" s="670"/>
      <c r="AW49" s="1325">
        <v>21</v>
      </c>
    </row>
    <row customHeight="1" ht="22.049999999999997">
      <c r="A50" s="1437" t="s">
        <v>188</v>
      </c>
      <c r="B50" s="1437" t="s">
        <v>189</v>
      </c>
      <c r="C50" s="1437"/>
      <c r="D50" s="1437"/>
      <c r="E50" s="2460"/>
      <c r="F50" s="2459">
        <v>1</v>
      </c>
      <c r="G50" s="1437"/>
      <c r="H50" s="1437"/>
      <c r="I50" s="1437"/>
      <c r="J50" s="1437"/>
      <c r="K50" s="1437"/>
      <c r="L50" s="1437"/>
      <c r="M50" s="1480"/>
      <c r="N50" s="858"/>
      <c r="O50" s="858"/>
      <c r="P50" s="858"/>
      <c r="Q50" s="1502"/>
      <c r="R50" s="522"/>
      <c r="S50" s="679"/>
      <c r="T50" s="523"/>
      <c r="U50" s="1506" t="str">
        <f>INDEX(PT_DIFFERENTIATION_NUM_TER,MATCH(B50,PT_DIFFERENTIATION_TER_ID,0))</f>
        <v>.</v>
      </c>
      <c r="V50" s="478" t="s">
        <v>409</v>
      </c>
      <c r="W50" s="470"/>
      <c r="X50" s="2412"/>
      <c r="Y50" s="2413"/>
      <c r="Z50" s="2413"/>
      <c r="AA50" s="2413"/>
      <c r="AB50" s="2413"/>
      <c r="AC50" s="2413"/>
      <c r="AD50" s="2413"/>
      <c r="AE50" s="2413"/>
      <c r="AF50" s="2414"/>
      <c r="AG50" s="2412" t="str">
        <f>INDEX(PT_DIFFERENTIATION_TER,MATCH(B50,PT_DIFFERENTIATION_TER_ID,0))</f>
        <v/>
      </c>
      <c r="AH50" s="2413"/>
      <c r="AI50" s="2413"/>
      <c r="AJ50" s="2413"/>
      <c r="AK50" s="2413"/>
      <c r="AL50" s="2413"/>
      <c r="AM50" s="2413"/>
      <c r="AN50" s="2413"/>
      <c r="AO50" s="2413"/>
      <c r="AP50" s="2414"/>
      <c r="AQ50" s="1428" t="s">
        <v>410</v>
      </c>
      <c r="AS50" s="670"/>
      <c r="AT50" s="670" t="str">
        <f>IF(V50="","",V50)</f>
        <v>Территория действия тарифа</v>
      </c>
      <c r="AU50" s="670"/>
      <c r="AV50" s="670"/>
      <c r="AW50" s="1325">
        <v>21</v>
      </c>
    </row>
    <row customHeight="1" ht="24">
      <c r="A51" s="1437" t="s">
        <v>188</v>
      </c>
      <c r="B51" s="1437" t="s">
        <v>189</v>
      </c>
      <c r="C51" s="1437" t="s">
        <v>190</v>
      </c>
      <c r="D51" s="1437"/>
      <c r="E51" s="2460"/>
      <c r="F51" s="2460"/>
      <c r="G51" s="2459">
        <v>1</v>
      </c>
      <c r="H51" s="1437"/>
      <c r="I51" s="1437"/>
      <c r="J51" s="1437"/>
      <c r="K51" s="1437"/>
      <c r="L51" s="1437"/>
      <c r="M51" s="1480"/>
      <c r="N51" s="858"/>
      <c r="O51" s="858"/>
      <c r="P51" s="858"/>
      <c r="Q51" s="524"/>
      <c r="R51" s="522"/>
      <c r="S51" s="679"/>
      <c r="T51" s="523"/>
      <c r="U51" s="1506" t="str">
        <f>INDEX(PT_DIFFERENTIATION_NUM_CS,MATCH(C51,PT_DIFFERENTIATION_CS_ID,0))</f>
        <v>..</v>
      </c>
      <c r="V51" s="479" t="s">
        <v>411</v>
      </c>
      <c r="W51" s="470"/>
      <c r="X51" s="2412"/>
      <c r="Y51" s="2413"/>
      <c r="Z51" s="2413"/>
      <c r="AA51" s="2413"/>
      <c r="AB51" s="2413"/>
      <c r="AC51" s="2413"/>
      <c r="AD51" s="2413"/>
      <c r="AE51" s="2413"/>
      <c r="AF51" s="2414"/>
      <c r="AG51" s="2412" t="str">
        <f>INDEX(PT_DIFFERENTIATION_CS,MATCH(C51,PT_DIFFERENTIATION_CS_ID,0))</f>
        <v/>
      </c>
      <c r="AH51" s="2413"/>
      <c r="AI51" s="2413"/>
      <c r="AJ51" s="2413"/>
      <c r="AK51" s="2413"/>
      <c r="AL51" s="2413"/>
      <c r="AM51" s="2413"/>
      <c r="AN51" s="2413"/>
      <c r="AO51" s="2413"/>
      <c r="AP51" s="2414"/>
      <c r="AQ51" s="1428" t="s">
        <v>412</v>
      </c>
      <c r="AS51" s="670"/>
      <c r="AT51" s="670" t="str">
        <f>IF(V51="","",V51)</f>
        <v>Наименование системы теплоснабжения </v>
      </c>
      <c r="AU51" s="670"/>
      <c r="AV51" s="670"/>
      <c r="AW51" s="1325">
        <v>23</v>
      </c>
    </row>
    <row customHeight="1" ht="22.049999999999997">
      <c r="A52" s="1437" t="s">
        <v>188</v>
      </c>
      <c r="B52" s="1437" t="s">
        <v>189</v>
      </c>
      <c r="C52" s="1437" t="s">
        <v>190</v>
      </c>
      <c r="D52" s="1437" t="s">
        <v>191</v>
      </c>
      <c r="E52" s="2460"/>
      <c r="F52" s="2460"/>
      <c r="G52" s="2460"/>
      <c r="H52" s="2480">
        <v>1</v>
      </c>
      <c r="I52" s="1437"/>
      <c r="J52" s="1437"/>
      <c r="K52" s="1437"/>
      <c r="L52" s="1437"/>
      <c r="M52" s="1480"/>
      <c r="N52" s="858"/>
      <c r="O52" s="858"/>
      <c r="P52" s="858"/>
      <c r="Q52" s="524"/>
      <c r="R52" s="522"/>
      <c r="S52" s="679"/>
      <c r="T52" s="523"/>
      <c r="U52" s="1506" t="str">
        <f>INDEX(PT_DIFFERENTIATION_NUM_IST_TE,MATCH(D52,PT_DIFFERENTIATION_IST_TE_ID,0))</f>
        <v>...</v>
      </c>
      <c r="V52" s="480" t="s">
        <v>413</v>
      </c>
      <c r="W52" s="470"/>
      <c r="X52" s="2412"/>
      <c r="Y52" s="2413"/>
      <c r="Z52" s="2413"/>
      <c r="AA52" s="2413"/>
      <c r="AB52" s="2413"/>
      <c r="AC52" s="2413"/>
      <c r="AD52" s="2413"/>
      <c r="AE52" s="2413"/>
      <c r="AF52" s="2414"/>
      <c r="AG52" s="2412" t="str">
        <f>INDEX(PT_DIFFERENTIATION_IST_TE,MATCH(D52,PT_DIFFERENTIATION_IST_TE_ID,0))</f>
        <v/>
      </c>
      <c r="AH52" s="2413"/>
      <c r="AI52" s="2413"/>
      <c r="AJ52" s="2413"/>
      <c r="AK52" s="2413"/>
      <c r="AL52" s="2413"/>
      <c r="AM52" s="2413"/>
      <c r="AN52" s="2413"/>
      <c r="AO52" s="2413"/>
      <c r="AP52" s="2414"/>
      <c r="AQ52" s="1428" t="s">
        <v>414</v>
      </c>
      <c r="AS52" s="670"/>
      <c r="AT52" s="670" t="str">
        <f>IF(V52="","",V52)</f>
        <v>Источник тепловой энергии  </v>
      </c>
      <c r="AU52" s="670"/>
      <c r="AV52" s="670"/>
      <c r="AW52" s="1325">
        <v>21</v>
      </c>
    </row>
    <row s="11993" customFormat="1" customHeight="1" ht="0">
      <c r="A53" s="1545" t="s">
        <v>188</v>
      </c>
      <c r="B53" s="1545" t="s">
        <v>189</v>
      </c>
      <c r="C53" s="1545" t="s">
        <v>190</v>
      </c>
      <c r="D53" s="1545" t="s">
        <v>191</v>
      </c>
      <c r="E53" s="2460"/>
      <c r="F53" s="2460"/>
      <c r="G53" s="2460"/>
      <c r="H53" s="2481"/>
      <c r="I53" s="2297" t="str">
        <f>U52&amp;".1"</f>
        <v>....1</v>
      </c>
      <c r="J53" s="1545"/>
      <c r="K53" s="1545"/>
      <c r="L53" s="1545"/>
      <c r="M53" s="1551" t="s">
        <v>415</v>
      </c>
      <c r="N53" s="1416"/>
      <c r="O53" s="1416"/>
      <c r="P53" s="1416"/>
      <c r="Q53" s="2427">
        <v>1</v>
      </c>
      <c r="R53" s="1501"/>
      <c r="S53" s="1501"/>
      <c r="T53" s="526"/>
      <c r="U53" s="1212"/>
      <c r="V53" s="1553"/>
      <c r="W53" s="1554"/>
      <c r="X53" s="2466"/>
      <c r="Y53" s="2467"/>
      <c r="Z53" s="2467"/>
      <c r="AA53" s="2467"/>
      <c r="AB53" s="2467"/>
      <c r="AC53" s="2467"/>
      <c r="AD53" s="2467"/>
      <c r="AE53" s="2467"/>
      <c r="AF53" s="2468"/>
      <c r="AG53" s="2466"/>
      <c r="AH53" s="2467"/>
      <c r="AI53" s="2467"/>
      <c r="AJ53" s="2467"/>
      <c r="AK53" s="2467"/>
      <c r="AL53" s="2467"/>
      <c r="AM53" s="2467"/>
      <c r="AN53" s="2467"/>
      <c r="AO53" s="2467"/>
      <c r="AP53" s="2468"/>
      <c r="AQ53" s="1555"/>
      <c r="AS53" s="670"/>
      <c r="AT53" s="670" t="str">
        <f>IF(V53="","",V53)</f>
        <v/>
      </c>
      <c r="AU53" s="670"/>
      <c r="AV53" s="670"/>
      <c r="AW53" s="681">
        <v>0</v>
      </c>
    </row>
    <row customHeight="1" ht="22.049999999999997">
      <c r="A54" s="1437" t="s">
        <v>188</v>
      </c>
      <c r="B54" s="1437" t="s">
        <v>189</v>
      </c>
      <c r="C54" s="1437" t="s">
        <v>190</v>
      </c>
      <c r="D54" s="1437" t="s">
        <v>191</v>
      </c>
      <c r="E54" s="2460"/>
      <c r="F54" s="2460"/>
      <c r="G54" s="2460"/>
      <c r="H54" s="2481"/>
      <c r="I54" s="2271"/>
      <c r="J54" s="2297" t="str">
        <f>I53&amp;".1"</f>
        <v>....1.1</v>
      </c>
      <c r="K54" s="1437"/>
      <c r="L54" s="1437"/>
      <c r="M54" s="1480" t="s">
        <v>418</v>
      </c>
      <c r="Q54" s="2427"/>
      <c r="R54" s="2427">
        <v>1</v>
      </c>
      <c r="S54" s="688"/>
      <c r="T54" s="527"/>
      <c r="U54" s="1506" t="str">
        <f>$J54</f>
        <v>....1.1</v>
      </c>
      <c r="V54" s="456" t="s">
        <v>419</v>
      </c>
      <c r="W54" s="470"/>
      <c r="X54" s="2415"/>
      <c r="Y54" s="2416"/>
      <c r="Z54" s="2416"/>
      <c r="AA54" s="2416"/>
      <c r="AB54" s="2416"/>
      <c r="AC54" s="2405"/>
      <c r="AD54" s="2405"/>
      <c r="AE54" s="2405"/>
      <c r="AF54" s="2478"/>
      <c r="AG54" s="2415"/>
      <c r="AH54" s="2416"/>
      <c r="AI54" s="2416"/>
      <c r="AJ54" s="2416"/>
      <c r="AK54" s="2416"/>
      <c r="AL54" s="2416"/>
      <c r="AM54" s="2416"/>
      <c r="AN54" s="2416"/>
      <c r="AO54" s="2416"/>
      <c r="AP54" s="2417"/>
      <c r="AQ54" s="1428" t="s">
        <v>420</v>
      </c>
      <c r="AS54" s="670"/>
      <c r="AT54" s="670" t="str">
        <f>IF(V54="","",V54)</f>
        <v>Группа потребителей</v>
      </c>
      <c r="AU54" s="670"/>
      <c r="AV54" s="670"/>
      <c r="AW54" s="1325">
        <v>21</v>
      </c>
    </row>
    <row customHeight="1" ht="22.049999999999997">
      <c r="A55" s="1437" t="s">
        <v>188</v>
      </c>
      <c r="B55" s="1437" t="s">
        <v>189</v>
      </c>
      <c r="C55" s="1437" t="s">
        <v>190</v>
      </c>
      <c r="D55" s="1437" t="s">
        <v>191</v>
      </c>
      <c r="E55" s="2460"/>
      <c r="F55" s="2460"/>
      <c r="G55" s="2460"/>
      <c r="H55" s="2481"/>
      <c r="I55" s="2271"/>
      <c r="J55" s="2271"/>
      <c r="K55" s="2297" t="str">
        <f>J54&amp;".1"</f>
        <v>....1.1.1</v>
      </c>
      <c r="L55" s="309"/>
      <c r="M55" s="1480" t="s">
        <v>421</v>
      </c>
      <c r="Q55" s="2427"/>
      <c r="R55" s="2427"/>
      <c r="S55" s="688">
        <v>1</v>
      </c>
      <c r="T55" s="527"/>
      <c r="U55" s="1506" t="str">
        <f>$K55</f>
        <v>....1.1.1</v>
      </c>
      <c r="V55" s="1517"/>
      <c r="W55" s="470"/>
      <c r="X55" s="921"/>
      <c r="Y55" s="921"/>
      <c r="Z55" s="921"/>
      <c r="AA55" s="921"/>
      <c r="AB55" s="1575"/>
      <c r="AC55" s="2435"/>
      <c r="AD55" s="2277" t="s">
        <v>64</v>
      </c>
      <c r="AE55" s="2435"/>
      <c r="AF55" s="2277" t="s">
        <v>64</v>
      </c>
      <c r="AG55" s="1577"/>
      <c r="AH55" s="921"/>
      <c r="AI55" s="921"/>
      <c r="AJ55" s="921"/>
      <c r="AK55" s="1427"/>
      <c r="AL55" s="2435"/>
      <c r="AM55" s="2277" t="s">
        <v>64</v>
      </c>
      <c r="AN55" s="2435"/>
      <c r="AO55" s="2277" t="s">
        <v>64</v>
      </c>
      <c r="AP55" s="1518"/>
      <c r="AQ55" s="1477" t="s">
        <v>465</v>
      </c>
      <c r="AR55" s="681">
        <f>STRCHECKDATE(X57:AP57)</f>
      </c>
      <c r="AS55" s="670"/>
      <c r="AT55" s="670" t="str">
        <f>IF(V55="","",V55)</f>
        <v/>
      </c>
      <c r="AU55" s="670"/>
      <c r="AV55" s="670"/>
      <c r="AW55" s="1325">
        <v>21</v>
      </c>
    </row>
    <row customHeight="1" ht="11.549999999999999">
      <c r="A56" s="1437" t="s">
        <v>188</v>
      </c>
      <c r="B56" s="1437" t="s">
        <v>189</v>
      </c>
      <c r="C56" s="1437" t="s">
        <v>190</v>
      </c>
      <c r="D56" s="1437" t="s">
        <v>191</v>
      </c>
      <c r="E56" s="2460"/>
      <c r="F56" s="2460"/>
      <c r="G56" s="2460"/>
      <c r="H56" s="2481"/>
      <c r="I56" s="2271"/>
      <c r="J56" s="2271"/>
      <c r="K56" s="2271"/>
      <c r="L56" s="2297" t="str">
        <f>K55&amp;".1"</f>
        <v>....1.1.1.1</v>
      </c>
      <c r="M56" s="1480"/>
      <c r="Q56" s="2427"/>
      <c r="R56" s="2427"/>
      <c r="S56" s="688">
        <v>1</v>
      </c>
      <c r="T56" s="527"/>
      <c r="U56" s="1506" t="str">
        <f>$L56</f>
        <v>....1.1.1.1</v>
      </c>
      <c r="V56" s="1561"/>
      <c r="W56" s="470"/>
      <c r="X56" s="495"/>
      <c r="Y56" s="921"/>
      <c r="Z56" s="921"/>
      <c r="AA56" s="921"/>
      <c r="AB56" s="1575"/>
      <c r="AC56" s="2479"/>
      <c r="AD56" s="2277"/>
      <c r="AE56" s="2479"/>
      <c r="AF56" s="2277"/>
      <c r="AG56" s="1577"/>
      <c r="AH56" s="921"/>
      <c r="AI56" s="921"/>
      <c r="AJ56" s="921"/>
      <c r="AK56" s="1427"/>
      <c r="AL56" s="2479"/>
      <c r="AM56" s="2277"/>
      <c r="AN56" s="2479"/>
      <c r="AO56" s="2277"/>
      <c r="AP56" s="1518"/>
      <c r="AQ56" s="2423" t="s">
        <v>466</v>
      </c>
      <c r="AR56" s="681">
        <f>STRCHECKDATE(X58:AP58)</f>
      </c>
      <c r="AS56" s="670"/>
      <c r="AT56" s="670" t="str">
        <f>IF(V56="","",V56)</f>
        <v/>
      </c>
      <c r="AU56" s="670"/>
      <c r="AV56" s="670"/>
      <c r="AW56" s="1325">
        <v>11</v>
      </c>
    </row>
    <row customHeight="1" ht="0">
      <c r="A57" s="1437" t="s">
        <v>188</v>
      </c>
      <c r="B57" s="1437" t="s">
        <v>189</v>
      </c>
      <c r="C57" s="1437" t="s">
        <v>190</v>
      </c>
      <c r="D57" s="1437" t="s">
        <v>191</v>
      </c>
      <c r="E57" s="2460"/>
      <c r="F57" s="2460"/>
      <c r="G57" s="2460"/>
      <c r="H57" s="2481"/>
      <c r="I57" s="2271"/>
      <c r="J57" s="2271"/>
      <c r="K57" s="2271"/>
      <c r="L57" s="2297"/>
      <c r="M57" s="1480"/>
      <c r="Q57" s="2427"/>
      <c r="R57" s="2427"/>
      <c r="S57" s="688"/>
      <c r="T57" s="527"/>
      <c r="U57" s="1512"/>
      <c r="V57" s="470"/>
      <c r="W57" s="470"/>
      <c r="X57" s="495"/>
      <c r="Y57" s="495"/>
      <c r="Z57" s="495"/>
      <c r="AA57" s="495"/>
      <c r="AB57" s="1576" t="str">
        <f>AC55&amp;"-"&amp;AE55</f>
        <v>-</v>
      </c>
      <c r="AC57" s="2479"/>
      <c r="AD57" s="2277"/>
      <c r="AE57" s="2479"/>
      <c r="AF57" s="2277"/>
      <c r="AG57" s="1552"/>
      <c r="AH57" s="495"/>
      <c r="AI57" s="495"/>
      <c r="AJ57" s="495"/>
      <c r="AK57" s="498" t="str">
        <f>AL55&amp;"-"&amp;AN55</f>
        <v>-</v>
      </c>
      <c r="AL57" s="2479"/>
      <c r="AM57" s="2277"/>
      <c r="AN57" s="2479"/>
      <c r="AO57" s="2277"/>
      <c r="AP57" s="1519"/>
      <c r="AQ57" s="2424"/>
      <c r="AS57" s="670"/>
      <c r="AT57" s="670" t="str">
        <f>IF(V57="","",V57)</f>
        <v/>
      </c>
      <c r="AU57" s="670"/>
      <c r="AV57" s="670"/>
      <c r="AW57" s="1325">
        <v>0</v>
      </c>
    </row>
    <row customHeight="1" ht="11.549999999999999">
      <c r="A58" s="1437" t="s">
        <v>188</v>
      </c>
      <c r="B58" s="1437" t="s">
        <v>189</v>
      </c>
      <c r="C58" s="1437" t="s">
        <v>190</v>
      </c>
      <c r="D58" s="1437" t="s">
        <v>191</v>
      </c>
      <c r="E58" s="2460"/>
      <c r="F58" s="2460"/>
      <c r="G58" s="2460"/>
      <c r="H58" s="2481"/>
      <c r="I58" s="2271"/>
      <c r="J58" s="2271"/>
      <c r="K58" s="2297"/>
      <c r="L58" s="1437"/>
      <c r="M58" s="1480"/>
      <c r="Q58" s="2427"/>
      <c r="R58" s="2427"/>
      <c r="S58" s="1501"/>
      <c r="T58" s="526"/>
      <c r="U58" s="1448"/>
      <c r="V58" s="458" t="s">
        <v>467</v>
      </c>
      <c r="W58" s="537"/>
      <c r="X58" s="537"/>
      <c r="Y58" s="537"/>
      <c r="Z58" s="537"/>
      <c r="AA58" s="537"/>
      <c r="AB58" s="537"/>
      <c r="AC58" s="2479"/>
      <c r="AD58" s="2277"/>
      <c r="AE58" s="2479"/>
      <c r="AF58" s="2277"/>
      <c r="AG58" s="537"/>
      <c r="AH58" s="537"/>
      <c r="AI58" s="537"/>
      <c r="AJ58" s="537"/>
      <c r="AK58" s="537"/>
      <c r="AL58" s="2479"/>
      <c r="AM58" s="2277"/>
      <c r="AN58" s="2479"/>
      <c r="AO58" s="2277"/>
      <c r="AP58" s="494"/>
      <c r="AQ58" s="2424"/>
      <c r="AS58" s="670"/>
      <c r="AT58" s="670" t="str">
        <f>IF(V58="","",V58)</f>
        <v>Добавить наименование поставщика</v>
      </c>
      <c r="AU58" s="670"/>
      <c r="AV58" s="670"/>
      <c r="AW58" s="1325">
        <v>11</v>
      </c>
    </row>
    <row customHeight="1" ht="11.549999999999999">
      <c r="A59" s="1437" t="s">
        <v>188</v>
      </c>
      <c r="B59" s="1437" t="s">
        <v>189</v>
      </c>
      <c r="C59" s="1437" t="s">
        <v>190</v>
      </c>
      <c r="D59" s="1437" t="s">
        <v>191</v>
      </c>
      <c r="E59" s="2460"/>
      <c r="F59" s="2460"/>
      <c r="G59" s="2460"/>
      <c r="H59" s="2481"/>
      <c r="I59" s="2271"/>
      <c r="J59" s="2297"/>
      <c r="K59" s="1437"/>
      <c r="L59" s="1437"/>
      <c r="M59" s="1480"/>
      <c r="Q59" s="2427"/>
      <c r="R59" s="2427"/>
      <c r="S59" s="1501"/>
      <c r="T59" s="526"/>
      <c r="U59" s="1448"/>
      <c r="V59" s="457" t="s">
        <v>423</v>
      </c>
      <c r="W59" s="537"/>
      <c r="X59" s="537"/>
      <c r="Y59" s="537"/>
      <c r="Z59" s="537"/>
      <c r="AA59" s="537"/>
      <c r="AB59" s="537"/>
      <c r="AC59" s="1578"/>
      <c r="AD59" s="1578"/>
      <c r="AE59" s="1578"/>
      <c r="AF59" s="1578"/>
      <c r="AG59" s="537"/>
      <c r="AH59" s="537"/>
      <c r="AI59" s="537"/>
      <c r="AJ59" s="537"/>
      <c r="AK59" s="537"/>
      <c r="AL59" s="537"/>
      <c r="AM59" s="537"/>
      <c r="AN59" s="537"/>
      <c r="AO59" s="537"/>
      <c r="AP59" s="494"/>
      <c r="AQ59" s="2425"/>
      <c r="AS59" s="670"/>
      <c r="AT59" s="670" t="str">
        <f>IF(V59="","",V59)</f>
        <v>Добавить вид теплоносителя (параметры теплоносителя)</v>
      </c>
      <c r="AU59" s="670"/>
      <c r="AV59" s="670"/>
      <c r="AW59" s="1325">
        <v>11</v>
      </c>
    </row>
    <row customHeight="1" ht="11.549999999999999">
      <c r="A60" s="1437" t="s">
        <v>188</v>
      </c>
      <c r="B60" s="1437" t="s">
        <v>189</v>
      </c>
      <c r="C60" s="1437" t="s">
        <v>190</v>
      </c>
      <c r="D60" s="1437" t="s">
        <v>191</v>
      </c>
      <c r="E60" s="2460"/>
      <c r="F60" s="2460"/>
      <c r="G60" s="2460"/>
      <c r="H60" s="2481"/>
      <c r="I60" s="2297"/>
      <c r="J60" s="1437"/>
      <c r="K60" s="1437"/>
      <c r="L60" s="1437"/>
      <c r="M60" s="1480"/>
      <c r="Q60" s="2427"/>
      <c r="R60" s="1501"/>
      <c r="S60" s="1501"/>
      <c r="T60" s="526"/>
      <c r="U60" s="1448"/>
      <c r="V60" s="535" t="s">
        <v>424</v>
      </c>
      <c r="W60" s="537"/>
      <c r="X60" s="537"/>
      <c r="Y60" s="537"/>
      <c r="Z60" s="537"/>
      <c r="AA60" s="537"/>
      <c r="AB60" s="537"/>
      <c r="AC60" s="537"/>
      <c r="AD60" s="537"/>
      <c r="AE60" s="537"/>
      <c r="AF60" s="536"/>
      <c r="AG60" s="537"/>
      <c r="AH60" s="537"/>
      <c r="AI60" s="537"/>
      <c r="AJ60" s="537"/>
      <c r="AK60" s="537"/>
      <c r="AL60" s="537"/>
      <c r="AM60" s="537"/>
      <c r="AN60" s="537"/>
      <c r="AO60" s="536"/>
      <c r="AP60" s="537"/>
      <c r="AQ60" s="473"/>
      <c r="AS60" s="670"/>
      <c r="AT60" s="670" t="str">
        <f>IF(V60="","",V60)</f>
        <v>Добавить группу потребителей</v>
      </c>
      <c r="AU60" s="670"/>
      <c r="AV60" s="670"/>
      <c r="AW60" s="1325">
        <v>11</v>
      </c>
    </row>
    <row customHeight="1" ht="0">
      <c r="A61" s="1437" t="s">
        <v>188</v>
      </c>
      <c r="B61" s="1437" t="s">
        <v>189</v>
      </c>
      <c r="C61" s="1437" t="s">
        <v>190</v>
      </c>
      <c r="D61" s="1437" t="s">
        <v>191</v>
      </c>
      <c r="E61" s="2460"/>
      <c r="F61" s="2460"/>
      <c r="G61" s="2460"/>
      <c r="H61" s="2480"/>
      <c r="I61" s="1437"/>
      <c r="J61" s="1437"/>
      <c r="K61" s="1437"/>
      <c r="L61" s="1437"/>
      <c r="M61" s="1480"/>
      <c r="N61" s="858"/>
      <c r="O61" s="858"/>
      <c r="P61" s="679"/>
      <c r="Q61" s="530"/>
      <c r="R61" s="545"/>
      <c r="S61" s="525"/>
      <c r="T61" s="530"/>
      <c r="U61" s="1556"/>
      <c r="V61" s="1557"/>
      <c r="W61" s="1558"/>
      <c r="X61" s="1558"/>
      <c r="Y61" s="1558"/>
      <c r="Z61" s="1558"/>
      <c r="AA61" s="1558"/>
      <c r="AB61" s="1558"/>
      <c r="AC61" s="1558"/>
      <c r="AD61" s="1558"/>
      <c r="AE61" s="1558"/>
      <c r="AF61" s="1558"/>
      <c r="AG61" s="1558"/>
      <c r="AH61" s="1558"/>
      <c r="AI61" s="1558"/>
      <c r="AJ61" s="1558"/>
      <c r="AK61" s="1558"/>
      <c r="AL61" s="1558"/>
      <c r="AM61" s="1558"/>
      <c r="AN61" s="1558"/>
      <c r="AO61" s="1558"/>
      <c r="AP61" s="1558"/>
      <c r="AQ61" s="1559"/>
      <c r="AS61" s="670"/>
      <c r="AT61" s="670" t="str">
        <f>IF(V61="","",V61)</f>
        <v/>
      </c>
      <c r="AU61" s="670"/>
      <c r="AV61" s="670"/>
      <c r="AW61" s="1325">
        <v>0</v>
      </c>
    </row>
    <row s="11993" customFormat="1" customHeight="1" ht="0">
      <c r="A62" s="1545" t="s">
        <v>188</v>
      </c>
      <c r="B62" s="1545" t="s">
        <v>189</v>
      </c>
      <c r="C62" s="1545" t="s">
        <v>190</v>
      </c>
      <c r="D62" s="1544"/>
      <c r="E62" s="2460"/>
      <c r="F62" s="2460"/>
      <c r="G62" s="2459"/>
      <c r="H62" s="1544"/>
      <c r="I62" s="1544"/>
      <c r="J62" s="1544"/>
      <c r="K62" s="1544"/>
      <c r="L62" s="1544"/>
      <c r="M62" s="1547"/>
      <c r="N62" s="1548"/>
      <c r="O62" s="1548"/>
      <c r="P62" s="521"/>
      <c r="Q62" s="1486"/>
      <c r="R62" s="1487"/>
      <c r="S62" s="1486"/>
      <c r="T62" s="1486"/>
      <c r="U62" s="1492"/>
      <c r="V62" s="1495" t="s">
        <v>165</v>
      </c>
      <c r="W62" s="1494"/>
      <c r="X62" s="1494"/>
      <c r="Y62" s="1494"/>
      <c r="Z62" s="1494"/>
      <c r="AA62" s="1494"/>
      <c r="AB62" s="1494"/>
      <c r="AC62" s="1494"/>
      <c r="AD62" s="1494"/>
      <c r="AE62" s="1494"/>
      <c r="AF62" s="1494"/>
      <c r="AG62" s="1494"/>
      <c r="AH62" s="1494"/>
      <c r="AI62" s="1494"/>
      <c r="AJ62" s="1494"/>
      <c r="AK62" s="1494"/>
      <c r="AL62" s="1494"/>
      <c r="AM62" s="1494"/>
      <c r="AN62" s="1494"/>
      <c r="AO62" s="1494"/>
      <c r="AP62" s="1494"/>
      <c r="AQ62" s="1494"/>
      <c r="AS62" s="959"/>
      <c r="AT62" s="959" t="str">
        <f>IF(V62="","",V62)</f>
        <v>Добавить источник для дифференциации</v>
      </c>
      <c r="AU62" s="959"/>
      <c r="AV62" s="959"/>
      <c r="AW62" s="688">
        <v>0</v>
      </c>
    </row>
    <row s="11993" customFormat="1" customHeight="1" ht="0">
      <c r="A63" s="1545" t="s">
        <v>188</v>
      </c>
      <c r="B63" s="1545" t="s">
        <v>189</v>
      </c>
      <c r="C63" s="1544"/>
      <c r="D63" s="1544"/>
      <c r="E63" s="2460"/>
      <c r="F63" s="2459"/>
      <c r="G63" s="1544"/>
      <c r="H63" s="1544"/>
      <c r="I63" s="1544"/>
      <c r="J63" s="1544"/>
      <c r="K63" s="1544"/>
      <c r="L63" s="1544"/>
      <c r="M63" s="1547"/>
      <c r="N63" s="1549"/>
      <c r="O63" s="1549"/>
      <c r="P63" s="521"/>
      <c r="Q63" s="1486"/>
      <c r="R63" s="1487"/>
      <c r="S63" s="1486"/>
      <c r="T63" s="1486"/>
      <c r="U63" s="1492"/>
      <c r="V63" s="1495" t="s">
        <v>166</v>
      </c>
      <c r="W63" s="1494"/>
      <c r="X63" s="1494"/>
      <c r="Y63" s="1494"/>
      <c r="Z63" s="1494"/>
      <c r="AA63" s="1494"/>
      <c r="AB63" s="1494"/>
      <c r="AC63" s="1494"/>
      <c r="AD63" s="1494"/>
      <c r="AE63" s="1494"/>
      <c r="AF63" s="1494"/>
      <c r="AG63" s="1494"/>
      <c r="AH63" s="1494"/>
      <c r="AI63" s="1494"/>
      <c r="AJ63" s="1494"/>
      <c r="AK63" s="1494"/>
      <c r="AL63" s="1494"/>
      <c r="AM63" s="1494"/>
      <c r="AN63" s="1494"/>
      <c r="AO63" s="1494"/>
      <c r="AP63" s="1494"/>
      <c r="AQ63" s="1494"/>
      <c r="AS63" s="959"/>
      <c r="AT63" s="959" t="str">
        <f>IF(V63="","",V63)</f>
        <v>Добавить централизованную систему для дифференциации</v>
      </c>
      <c r="AU63" s="959"/>
      <c r="AV63" s="959"/>
      <c r="AW63" s="688">
        <v>0</v>
      </c>
    </row>
    <row s="11993" customFormat="1" customHeight="1" ht="0">
      <c r="A64" s="1545" t="s">
        <v>188</v>
      </c>
      <c r="B64" s="1545"/>
      <c r="C64" s="1545"/>
      <c r="D64" s="1545"/>
      <c r="E64" s="2459"/>
      <c r="F64" s="1545"/>
      <c r="G64" s="1545"/>
      <c r="H64" s="1545"/>
      <c r="I64" s="1545"/>
      <c r="J64" s="1545"/>
      <c r="K64" s="1545"/>
      <c r="L64" s="1545"/>
      <c r="M64" s="1551"/>
      <c r="N64" s="1549"/>
      <c r="O64" s="1549"/>
      <c r="P64" s="521"/>
      <c r="Q64" s="550"/>
      <c r="R64" s="1514"/>
      <c r="S64" s="550"/>
      <c r="T64" s="550"/>
      <c r="U64" s="1492"/>
      <c r="V64" s="1495" t="s">
        <v>167</v>
      </c>
      <c r="W64" s="1494"/>
      <c r="X64" s="1494"/>
      <c r="Y64" s="1494"/>
      <c r="Z64" s="1494"/>
      <c r="AA64" s="1494"/>
      <c r="AB64" s="1494"/>
      <c r="AC64" s="1494"/>
      <c r="AD64" s="1494"/>
      <c r="AE64" s="1494"/>
      <c r="AF64" s="1494"/>
      <c r="AG64" s="1494"/>
      <c r="AH64" s="1494"/>
      <c r="AI64" s="1494"/>
      <c r="AJ64" s="1494"/>
      <c r="AK64" s="1494"/>
      <c r="AL64" s="1494"/>
      <c r="AM64" s="1494"/>
      <c r="AN64" s="1494"/>
      <c r="AO64" s="1494"/>
      <c r="AP64" s="1494"/>
      <c r="AQ64" s="1494"/>
      <c r="AS64" s="670"/>
      <c r="AT64" s="670" t="str">
        <f>IF(V64="","",V64)</f>
        <v>Добавить территорию для дифференциации</v>
      </c>
      <c r="AU64" s="670"/>
      <c r="AV64" s="670"/>
      <c r="AW64" s="681">
        <v>0</v>
      </c>
    </row>
    <row s="11993" customFormat="1" customHeight="1" ht="4.2">
      <c r="A65" s="1544"/>
      <c r="B65" s="1544"/>
      <c r="C65" s="1544"/>
      <c r="D65" s="1544"/>
      <c r="E65" s="1545"/>
      <c r="F65" s="1544"/>
      <c r="G65" s="1544"/>
      <c r="H65" s="1544"/>
      <c r="I65" s="1544"/>
      <c r="J65" s="1544"/>
      <c r="K65" s="1544"/>
      <c r="L65" s="1544"/>
      <c r="M65" s="1547"/>
      <c r="N65" s="1549"/>
      <c r="O65" s="1549"/>
      <c r="P65" s="521"/>
      <c r="Q65" s="1486"/>
      <c r="R65" s="1487"/>
      <c r="S65" s="1486"/>
      <c r="T65" s="1486"/>
      <c r="U65" s="1492"/>
      <c r="V65" s="1495" t="s">
        <v>168</v>
      </c>
      <c r="W65" s="1494"/>
      <c r="X65" s="1494"/>
      <c r="Y65" s="1494"/>
      <c r="Z65" s="1494"/>
      <c r="AA65" s="1494"/>
      <c r="AB65" s="1494"/>
      <c r="AC65" s="1494"/>
      <c r="AD65" s="1494"/>
      <c r="AE65" s="1494"/>
      <c r="AF65" s="1494"/>
      <c r="AG65" s="1494"/>
      <c r="AH65" s="1494"/>
      <c r="AI65" s="1494"/>
      <c r="AJ65" s="1494"/>
      <c r="AK65" s="1494"/>
      <c r="AL65" s="1494"/>
      <c r="AM65" s="1494"/>
      <c r="AN65" s="1494"/>
      <c r="AO65" s="1494"/>
      <c r="AP65" s="1494"/>
      <c r="AQ65" s="1494"/>
      <c r="AS65" s="959"/>
      <c r="AT65" s="959" t="str">
        <f>IF(V65="","",V65)</f>
        <v>Добавить наименование тарифа</v>
      </c>
      <c r="AU65" s="959"/>
      <c r="AV65" s="959"/>
      <c r="AW65" s="688">
        <v>4</v>
      </c>
    </row>
    <row customHeight="1" ht="11.549999999999999">
      <c r="N66" s="1325"/>
      <c r="O66" s="1325"/>
      <c r="P66" s="679"/>
      <c r="Q66" s="1325"/>
      <c r="R66" s="1325"/>
      <c r="S66" s="1325"/>
      <c r="T66" s="1325"/>
      <c r="U66" s="1325"/>
      <c r="AR66" s="1325"/>
      <c r="AS66" s="1325"/>
      <c r="AT66" s="1325"/>
      <c r="AU66" s="1325"/>
      <c r="AV66" s="1325"/>
      <c r="AW66" s="1325">
        <v>11</v>
      </c>
    </row>
    <row customHeight="1" ht="35.699999999999996">
      <c r="P67" s="679"/>
      <c r="U67" s="1423"/>
      <c r="V67" s="2455"/>
      <c r="W67" s="2455"/>
      <c r="X67" s="2455"/>
      <c r="Y67" s="2455"/>
      <c r="Z67" s="2455"/>
      <c r="AA67" s="2455"/>
      <c r="AB67" s="2455"/>
      <c r="AC67" s="2455"/>
      <c r="AD67" s="2455"/>
      <c r="AE67" s="2455"/>
      <c r="AF67" s="2455"/>
      <c r="AG67" s="2455"/>
      <c r="AH67" s="2455"/>
      <c r="AI67" s="2455"/>
      <c r="AJ67" s="2455"/>
      <c r="AK67" s="2455"/>
      <c r="AL67" s="2455"/>
      <c r="AM67" s="2455"/>
      <c r="AN67" s="2455"/>
      <c r="AO67" s="2455"/>
      <c r="AP67" s="2455"/>
      <c r="AQ67" s="2455"/>
      <c r="AW67" s="1325">
        <v>34</v>
      </c>
    </row>
    <row customHeight="1" ht="21">
      <c r="P68" s="679"/>
      <c r="V68" s="2455"/>
      <c r="W68" s="2455"/>
      <c r="X68" s="2455"/>
      <c r="Y68" s="2455"/>
      <c r="Z68" s="2455"/>
      <c r="AA68" s="2455"/>
      <c r="AB68" s="2455"/>
      <c r="AC68" s="2455"/>
      <c r="AD68" s="2455"/>
      <c r="AE68" s="2455"/>
      <c r="AF68" s="2455"/>
      <c r="AG68" s="2455"/>
      <c r="AH68" s="2455"/>
      <c r="AI68" s="2455"/>
      <c r="AJ68" s="2455"/>
      <c r="AK68" s="2455"/>
      <c r="AL68" s="2455"/>
      <c r="AM68" s="2455"/>
      <c r="AN68" s="2455"/>
      <c r="AO68" s="2455"/>
      <c r="AP68" s="2455"/>
      <c r="AQ68" s="2455"/>
      <c r="AW68" s="1325">
        <v>20</v>
      </c>
    </row>
    <row customHeight="1" ht="14.699999999999998">
      <c r="P69" s="679"/>
      <c r="AW69" s="1325">
        <v>14</v>
      </c>
    </row>
    <row customHeight="1" ht="28.5">
      <c r="P70" s="679"/>
      <c r="V70" s="2455"/>
      <c r="W70" s="2455"/>
      <c r="X70" s="2455"/>
      <c r="Y70" s="2455"/>
      <c r="Z70" s="2455"/>
      <c r="AA70" s="2455"/>
      <c r="AB70" s="2455"/>
      <c r="AC70" s="2455"/>
      <c r="AD70" s="2455"/>
      <c r="AE70" s="2455"/>
      <c r="AF70" s="2455"/>
      <c r="AG70" s="2455"/>
      <c r="AH70" s="2455"/>
      <c r="AI70" s="2455"/>
      <c r="AJ70" s="2455"/>
      <c r="AK70" s="2455"/>
      <c r="AL70" s="2455"/>
      <c r="AM70" s="2455"/>
      <c r="AN70" s="2455"/>
      <c r="AO70" s="2455"/>
      <c r="AP70" s="2455"/>
      <c r="AQ70" s="2455"/>
      <c r="AW70" s="1325">
        <v>27</v>
      </c>
    </row>
    <row customHeight="1" ht="18.75">
      <c r="P71" s="679"/>
      <c r="V71" s="2455"/>
      <c r="W71" s="2455"/>
      <c r="X71" s="2455"/>
      <c r="Y71" s="2455"/>
      <c r="Z71" s="2455"/>
      <c r="AA71" s="2455"/>
      <c r="AB71" s="2455"/>
      <c r="AC71" s="2455"/>
      <c r="AD71" s="2455"/>
      <c r="AE71" s="2455"/>
      <c r="AF71" s="2455"/>
      <c r="AG71" s="2455"/>
      <c r="AH71" s="2455"/>
      <c r="AI71" s="2455"/>
      <c r="AJ71" s="2455"/>
      <c r="AK71" s="2455"/>
      <c r="AL71" s="2455"/>
      <c r="AM71" s="2455"/>
      <c r="AN71" s="2455"/>
      <c r="AO71" s="2455"/>
      <c r="AP71" s="2455"/>
      <c r="AQ71" s="2455"/>
      <c r="AW71" s="1325">
        <v>18</v>
      </c>
    </row>
    <row customHeight="1" ht="22.5" hidden="1">
      <c r="A72" s="1325" t="s">
        <v>85</v>
      </c>
      <c r="B72" s="1325">
        <v>0</v>
      </c>
      <c r="C72" s="1325">
        <v>0</v>
      </c>
      <c r="D72" s="1325">
        <v>0</v>
      </c>
      <c r="E72" s="1325">
        <v>0</v>
      </c>
      <c r="F72" s="1325">
        <v>0</v>
      </c>
      <c r="G72" s="1325">
        <v>0</v>
      </c>
      <c r="H72" s="1325">
        <v>0</v>
      </c>
      <c r="I72" s="1325">
        <v>0</v>
      </c>
      <c r="J72" s="1325">
        <v>0</v>
      </c>
      <c r="K72" s="1325">
        <v>0</v>
      </c>
      <c r="L72" s="1325">
        <v>0</v>
      </c>
      <c r="M72" s="1497">
        <v>0</v>
      </c>
      <c r="N72" s="1498">
        <v>0</v>
      </c>
      <c r="O72" s="1498">
        <v>0</v>
      </c>
      <c r="P72" s="1498">
        <v>0</v>
      </c>
      <c r="Q72" s="1498">
        <v>0</v>
      </c>
      <c r="R72" s="514">
        <v>3</v>
      </c>
      <c r="S72" s="514">
        <v>3</v>
      </c>
      <c r="T72" s="514">
        <v>3</v>
      </c>
      <c r="U72" s="751">
        <v>12</v>
      </c>
      <c r="V72" s="1325">
        <v>31</v>
      </c>
      <c r="W72" s="1325">
        <v>0</v>
      </c>
      <c r="X72" s="1325">
        <v>0</v>
      </c>
      <c r="Y72" s="1325">
        <v>0</v>
      </c>
      <c r="Z72" s="1325">
        <v>0</v>
      </c>
      <c r="AA72" s="1325">
        <v>0</v>
      </c>
      <c r="AB72" s="1325">
        <v>0</v>
      </c>
      <c r="AC72" s="1325">
        <v>0</v>
      </c>
      <c r="AD72" s="1325">
        <v>0</v>
      </c>
      <c r="AE72" s="1325">
        <v>0</v>
      </c>
      <c r="AF72" s="1325">
        <v>0</v>
      </c>
      <c r="AG72" s="1325">
        <v>21</v>
      </c>
      <c r="AH72" s="1325">
        <v>21</v>
      </c>
      <c r="AI72" s="1325">
        <v>21</v>
      </c>
      <c r="AJ72" s="1325">
        <v>21</v>
      </c>
      <c r="AK72" s="1325">
        <v>21</v>
      </c>
      <c r="AL72" s="1325">
        <v>11</v>
      </c>
      <c r="AM72" s="1325">
        <v>3</v>
      </c>
      <c r="AN72" s="1325">
        <v>11</v>
      </c>
      <c r="AO72" s="1325">
        <v>8</v>
      </c>
      <c r="AP72" s="1325">
        <v>4</v>
      </c>
      <c r="AQ72" s="1325">
        <v>115</v>
      </c>
      <c r="AR72" s="681">
        <v>10</v>
      </c>
      <c r="AS72" s="681">
        <v>10</v>
      </c>
      <c r="AT72" s="681">
        <v>10</v>
      </c>
      <c r="AU72" s="681">
        <v>10</v>
      </c>
      <c r="AV72" s="681">
        <v>10</v>
      </c>
      <c r="AW72" s="132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CA8ADDC-1694-2E71-6A8C-4B6A5A6FFF75}" mc:Ignorable="x14ac xr xr2 xr3">
  <sheetPr>
    <tabColor rgb="FFCCCCFF"/>
  </sheetPr>
  <dimension ref="A1:Q79"/>
  <sheetViews>
    <sheetView topLeftCell="A1" showGridLines="0" zoomScale="90" workbookViewId="0">
      <selection activeCell="I29" sqref="I29"/>
    </sheetView>
  </sheetViews>
  <sheetFormatPr defaultColWidth="9.140625" customHeight="1" defaultRowHeight="11.25"/>
  <cols>
    <col min="1" max="1" style="11987" width="10.7109375" hidden="1" customWidth="1"/>
    <col min="2" max="2" style="11988" width="10.7109375" hidden="1" customWidth="1"/>
    <col min="3" max="3" style="11989" width="3.00390625" customWidth="1"/>
    <col min="4" max="4" style="11913" width="1.00390625" customWidth="1"/>
    <col min="5" max="6" style="11913" width="55.00390625" customWidth="1"/>
    <col min="7" max="7" style="11990" width="1.00390625" customWidth="1"/>
    <col min="8" max="8" style="11913" width="18.00390625" hidden="1" customWidth="1"/>
    <col min="9" max="9" style="11991" width="59.00390625" customWidth="1"/>
    <col min="10" max="10" style="11992" width="52.140625" hidden="1" customWidth="1"/>
    <col min="11" max="11" style="11913" width="8.00390625" customWidth="1"/>
    <col min="12" max="12" style="11913" width="77.00390625" customWidth="1"/>
    <col min="13" max="16" style="11913" width="8.00390625" customWidth="1"/>
    <col min="17" max="17" style="11913" width="12.00390625" hidden="1" customWidth="1"/>
  </cols>
  <sheetData>
    <row s="11870" customFormat="1" customHeight="1" ht="3">
      <c r="A1" s="953"/>
      <c r="B1" s="411"/>
      <c r="F1" s="412" t="s">
        <v>13</v>
      </c>
      <c r="G1" s="581"/>
      <c r="H1" s="241"/>
      <c r="I1" s="581"/>
      <c r="J1" s="1041"/>
      <c r="Q1" s="412" t="s">
        <v>14</v>
      </c>
    </row>
    <row s="11877" customFormat="1" customHeight="1" ht="14.25">
      <c r="A2" s="953"/>
      <c r="B2" s="268"/>
      <c r="E2" s="1910" t="str">
        <f>code</f>
        <v>Код отчёта: PP110.OPEN.INFO.PRICE.HEAT.EIAS</v>
      </c>
      <c r="F2" s="439"/>
      <c r="G2" s="415"/>
      <c r="H2" s="415"/>
      <c r="I2" s="415"/>
      <c r="J2" s="1042"/>
      <c r="K2" s="415"/>
      <c r="Q2" s="241">
        <v>14</v>
      </c>
    </row>
    <row customHeight="1" ht="14.699999999999998">
      <c r="E3" s="416" t="str">
        <f>version</f>
        <v>Версия отчёта: 1.1.1</v>
      </c>
      <c r="F3" s="439"/>
      <c r="G3" s="940"/>
      <c r="H3" s="940"/>
      <c r="I3" s="940"/>
      <c r="J3" s="1043"/>
      <c r="K3" s="258"/>
      <c r="Q3" s="244">
        <v>14</v>
      </c>
    </row>
    <row s="11888" customFormat="1" customHeight="1" ht="6.3">
      <c r="A4" s="954"/>
      <c r="B4" s="402"/>
      <c r="C4" s="403"/>
      <c r="D4" s="404"/>
      <c r="E4" s="413"/>
      <c r="F4" s="414"/>
      <c r="G4" s="941"/>
      <c r="H4" s="579"/>
      <c r="I4" s="581"/>
      <c r="J4" s="1044"/>
      <c r="Q4" s="406">
        <v>6</v>
      </c>
    </row>
    <row customHeight="1" ht="39.75">
      <c r="D5" s="245"/>
      <c r="E5" s="2265" t="str">
        <f>NameTemplatesInTitle</f>
        <v>Показатели, подлежащие раскрытию в сфере теплоснабжения (цены и тарифы)</v>
      </c>
      <c r="F5" s="2266"/>
      <c r="G5" s="942"/>
      <c r="J5" s="1045"/>
      <c r="Q5" s="244">
        <v>38</v>
      </c>
    </row>
    <row s="11888" customFormat="1" customHeight="1" ht="6.3">
      <c r="A6" s="954"/>
      <c r="B6" s="402"/>
      <c r="C6" s="403"/>
      <c r="D6" s="404"/>
      <c r="E6" s="407"/>
      <c r="F6" s="408"/>
      <c r="G6" s="942"/>
      <c r="H6" s="579"/>
      <c r="I6" s="581"/>
      <c r="J6" s="1044"/>
      <c r="Q6" s="406">
        <v>6</v>
      </c>
    </row>
    <row customHeight="1" ht="21">
      <c r="D7" s="245"/>
      <c r="E7" s="561" t="s">
        <v>15</v>
      </c>
      <c r="F7" s="385" t="s">
        <v>16</v>
      </c>
      <c r="G7" s="942"/>
      <c r="Q7" s="244">
        <v>20</v>
      </c>
    </row>
    <row s="11888" customFormat="1" customHeight="1" ht="6.3">
      <c r="A8" s="955"/>
      <c r="B8" s="402"/>
      <c r="C8" s="403"/>
      <c r="D8" s="409"/>
      <c r="E8" s="407"/>
      <c r="F8" s="410"/>
      <c r="G8" s="247"/>
      <c r="H8" s="579"/>
      <c r="I8" s="581"/>
      <c r="J8" s="1047"/>
      <c r="Q8" s="406">
        <v>6</v>
      </c>
    </row>
    <row s="11913" customFormat="1" customHeight="1" ht="19.5" hidden="1">
      <c r="A9" s="954"/>
      <c r="B9" s="268"/>
      <c r="C9" s="578"/>
      <c r="D9" s="580"/>
      <c r="E9" s="1335" t="s">
        <v>17</v>
      </c>
      <c r="F9" s="2091"/>
      <c r="G9" s="942"/>
      <c r="I9" s="2070" t="str">
        <f>IF(TITLE_STRUCTURE_INFO_ROIV="","","раскрывается "&amp;INDEX(ROIV_INFO_COMMENT,MATCH(TITLE_STRUCTURE_INFO_ROIV,ROIV_INFO_LIST,0)))</f>
        <v/>
      </c>
      <c r="J9" s="1046"/>
      <c r="Q9" s="579">
        <v>0</v>
      </c>
    </row>
    <row s="11888" customFormat="1" customHeight="1" ht="24" hidden="1">
      <c r="A10" s="955"/>
      <c r="B10" s="596"/>
      <c r="C10" s="597"/>
      <c r="D10" s="409"/>
      <c r="E10" s="1335" t="s">
        <v>18</v>
      </c>
      <c r="F10" s="2236" t="s">
        <v>19</v>
      </c>
      <c r="G10" s="247"/>
      <c r="H10" s="579"/>
      <c r="I10" s="581"/>
      <c r="J10" s="1047"/>
      <c r="Q10" s="600">
        <v>24</v>
      </c>
    </row>
    <row customHeight="1" ht="22.5">
      <c r="A11" s="2268" t="s">
        <v>20</v>
      </c>
      <c r="D11" s="245"/>
      <c r="E11" s="1335" t="s">
        <v>21</v>
      </c>
      <c r="F11" s="2900">
        <v>45658.45217592592</v>
      </c>
      <c r="G11" s="247"/>
      <c r="H11" s="943" t="s">
        <v>22</v>
      </c>
      <c r="J11" s="1046" t="s">
        <v>23</v>
      </c>
      <c r="Q11" s="244">
        <v>0</v>
      </c>
    </row>
    <row customHeight="1" ht="22.5">
      <c r="A12" s="2268"/>
      <c r="D12" s="245"/>
      <c r="E12" s="1335" t="s">
        <v>24</v>
      </c>
      <c r="F12" s="2900">
        <v>46022.45243055555</v>
      </c>
      <c r="G12" s="243"/>
      <c r="J12" s="1046" t="s">
        <v>25</v>
      </c>
      <c r="Q12" s="244">
        <v>0</v>
      </c>
    </row>
    <row s="11913" customFormat="1" customHeight="1" ht="22.5" hidden="1">
      <c r="A13" s="958" t="s">
        <v>26</v>
      </c>
      <c r="B13" s="268"/>
      <c r="C13" s="578"/>
      <c r="D13" s="580"/>
      <c r="E13" s="1945" t="s">
        <v>27</v>
      </c>
      <c r="F13" s="1902" t="s">
        <v>28</v>
      </c>
      <c r="G13" s="247"/>
      <c r="H13" s="940"/>
      <c r="I13" s="581"/>
      <c r="J13" s="1946" t="s">
        <v>29</v>
      </c>
      <c r="Q13" s="579">
        <v>0</v>
      </c>
    </row>
    <row s="11913" customFormat="1" customHeight="1" ht="27" hidden="1">
      <c r="A14" s="958" t="s">
        <v>30</v>
      </c>
      <c r="B14" s="268"/>
      <c r="C14" s="578"/>
      <c r="D14" s="580"/>
      <c r="E14" s="1335" t="s">
        <v>31</v>
      </c>
      <c r="F14" s="1937"/>
      <c r="G14" s="247"/>
      <c r="H14" s="940"/>
      <c r="I14" s="581"/>
      <c r="J14" s="1046" t="s">
        <v>32</v>
      </c>
      <c r="Q14" s="579">
        <v>0</v>
      </c>
    </row>
    <row s="11913" customFormat="1" customHeight="1" ht="19.5" hidden="1">
      <c r="A15" s="958" t="s">
        <v>33</v>
      </c>
      <c r="B15" s="268"/>
      <c r="C15" s="578"/>
      <c r="D15" s="580"/>
      <c r="E15" s="1335" t="s">
        <v>34</v>
      </c>
      <c r="F15" s="1937"/>
      <c r="G15" s="247"/>
      <c r="H15" s="940"/>
      <c r="I15" s="581"/>
      <c r="J15" s="1046" t="s">
        <v>35</v>
      </c>
      <c r="Q15" s="579">
        <v>0</v>
      </c>
    </row>
    <row s="11888" customFormat="1" customHeight="1" ht="6.3">
      <c r="A16" s="955"/>
      <c r="B16" s="402"/>
      <c r="C16" s="403"/>
      <c r="D16" s="409"/>
      <c r="E16" s="407"/>
      <c r="F16" s="410"/>
      <c r="G16" s="247"/>
      <c r="H16" s="579"/>
      <c r="I16" s="581"/>
      <c r="J16" s="1044"/>
      <c r="Q16" s="406">
        <v>6</v>
      </c>
    </row>
    <row customHeight="1" ht="21">
      <c r="D17" s="245"/>
      <c r="E17" s="561" t="s">
        <v>36</v>
      </c>
      <c r="F17" s="7900" t="s">
        <v>37</v>
      </c>
      <c r="G17" s="243"/>
      <c r="H17" s="943" t="s">
        <v>22</v>
      </c>
      <c r="Q17" s="244">
        <v>20</v>
      </c>
    </row>
    <row customHeight="1" ht="25.5">
      <c r="D18" s="245"/>
      <c r="E18" s="1945" t="s">
        <v>38</v>
      </c>
      <c r="F18" s="7901">
        <v>45646.45943287037</v>
      </c>
      <c r="G18" s="243"/>
      <c r="I18" s="944"/>
      <c r="J18" s="2267" t="s">
        <v>39</v>
      </c>
      <c r="Q18" s="244">
        <v>0</v>
      </c>
    </row>
    <row customHeight="1" ht="25.5">
      <c r="D19" s="245"/>
      <c r="E19" s="1335"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7901">
        <v>45658.45920138889</v>
      </c>
      <c r="G19" s="243"/>
      <c r="I19" s="944"/>
      <c r="J19" s="2267"/>
      <c r="Q19" s="244">
        <v>0</v>
      </c>
    </row>
    <row customHeight="1" ht="22.5">
      <c r="D20" s="245"/>
      <c r="E20" s="246"/>
      <c r="F20" s="440" t="str">
        <f>"Первичное "&amp;IF(TEMPLATE_GROUP="P","установление тарифов","предложение по тарифам")</f>
        <v>Первичное установление тарифов</v>
      </c>
      <c r="G20" s="243"/>
      <c r="I20" s="564"/>
      <c r="J20" s="1045" t="s">
        <v>40</v>
      </c>
      <c r="Q20" s="244">
        <v>0</v>
      </c>
    </row>
    <row customHeight="1" ht="19.5">
      <c r="D21" s="245"/>
      <c r="E21" s="561" t="str">
        <f>"Дата "&amp;IF(TEMPLATE_GROUP="P","документа","подачи заявления")&amp;" об утверждении тарифов"</f>
        <v>Дата документа об утверждении тарифов</v>
      </c>
      <c r="F21" s="7907">
        <v>45280.45271990741</v>
      </c>
      <c r="G21" s="243"/>
      <c r="I21" s="945"/>
      <c r="Q21" s="244">
        <v>0</v>
      </c>
    </row>
    <row customHeight="1" ht="19.5">
      <c r="D22" s="245"/>
      <c r="E22" s="561" t="str">
        <f>"Номер "&amp;IF(TEMPLATE_GROUP="P","документа","подачи заявления")&amp;" об утверждении тарифов"</f>
        <v>Номер документа об утверждении тарифов</v>
      </c>
      <c r="F22" s="386" t="s">
        <v>41</v>
      </c>
      <c r="G22" s="243"/>
      <c r="I22" s="945"/>
      <c r="Q22" s="244">
        <v>0</v>
      </c>
    </row>
    <row customHeight="1" ht="22.5">
      <c r="D23" s="245"/>
      <c r="E23" s="561" t="s">
        <v>42</v>
      </c>
      <c r="F23" s="386" t="s">
        <v>43</v>
      </c>
      <c r="G23" s="243"/>
      <c r="Q23" s="244">
        <v>0</v>
      </c>
    </row>
    <row customHeight="1" ht="30.75">
      <c r="D24" s="245"/>
      <c r="E24" s="561" t="s">
        <v>44</v>
      </c>
      <c r="F24" s="386" t="s">
        <v>45</v>
      </c>
      <c r="G24" s="243"/>
      <c r="Q24" s="244">
        <v>0</v>
      </c>
    </row>
    <row customHeight="1" ht="22.5">
      <c r="D25" s="245"/>
      <c r="E25" s="246"/>
      <c r="F25" s="440" t="str">
        <f>"Изменение "&amp;IF(TEMPLATE_GROUP="P","тарифов","предложения по тарифам")</f>
        <v>Изменение тарифов</v>
      </c>
      <c r="G25" s="243"/>
      <c r="J25" s="1045" t="s">
        <v>46</v>
      </c>
      <c r="Q25" s="244">
        <v>0</v>
      </c>
    </row>
    <row customHeight="1" ht="19.5">
      <c r="D26" s="245"/>
      <c r="E26" s="561" t="str">
        <f>"Дата "&amp;IF(TEMPLATE_GROUP="P","принятия решения","подачи заявления")&amp;" об изменении тарифов"</f>
        <v>Дата принятия решения об изменении тарифов</v>
      </c>
      <c r="F26" s="7901">
        <v>45646.459814814814</v>
      </c>
      <c r="G26" s="243"/>
      <c r="Q26" s="244">
        <v>0</v>
      </c>
    </row>
    <row customHeight="1" ht="19.5">
      <c r="D27" s="245"/>
      <c r="E27" s="1335" t="str">
        <f>"Номер "&amp;IF(TEMPLATE_GROUP="P","принятия решения","заявления")&amp;" об изменении тарифов"</f>
        <v>Номер принятия решения об изменении тарифов</v>
      </c>
      <c r="F27" s="7910" t="s">
        <v>47</v>
      </c>
      <c r="G27" s="243"/>
      <c r="Q27" s="244">
        <v>0</v>
      </c>
    </row>
    <row customHeight="1" ht="24.75">
      <c r="D28" s="245"/>
      <c r="E28" s="561" t="s">
        <v>48</v>
      </c>
      <c r="F28" s="7910" t="s">
        <v>43</v>
      </c>
      <c r="G28" s="243"/>
      <c r="Q28" s="244">
        <v>0</v>
      </c>
    </row>
    <row customHeight="1" ht="30">
      <c r="D29" s="245"/>
      <c r="E29" s="561" t="s">
        <v>44</v>
      </c>
      <c r="F29" s="7910" t="s">
        <v>45</v>
      </c>
      <c r="G29" s="243"/>
      <c r="Q29" s="244">
        <v>0</v>
      </c>
    </row>
    <row s="11888" customFormat="1" customHeight="1" ht="6.3">
      <c r="A30" s="955"/>
      <c r="B30" s="402"/>
      <c r="C30" s="403"/>
      <c r="D30" s="409"/>
      <c r="E30" s="407"/>
      <c r="F30" s="410"/>
      <c r="G30" s="247"/>
      <c r="H30" s="579"/>
      <c r="I30" s="581"/>
      <c r="J30" s="1044"/>
      <c r="Q30" s="406">
        <v>6</v>
      </c>
    </row>
    <row customHeight="1" ht="21">
      <c r="C31" s="248"/>
      <c r="D31" s="249"/>
      <c r="E31" s="561" t="str">
        <f>"Наименование "&amp;IF(TEMPLATE_GROUP="ROIV","органа тарифного регулирования","ЮЛ / ИП")</f>
        <v>Наименование ЮЛ / ИП</v>
      </c>
      <c r="F31" s="387" t="s">
        <v>49</v>
      </c>
      <c r="G31" s="946"/>
      <c r="Q31" s="244">
        <v>20</v>
      </c>
    </row>
    <row customHeight="1" ht="21" hidden="1">
      <c r="C32" s="248"/>
      <c r="D32" s="249"/>
      <c r="E32" s="562" t="s">
        <v>50</v>
      </c>
      <c r="F32" s="387"/>
      <c r="G32" s="946"/>
      <c r="Q32" s="244">
        <v>20</v>
      </c>
    </row>
    <row customHeight="1" ht="21">
      <c r="C33" s="248"/>
      <c r="D33" s="249"/>
      <c r="E33" s="561" t="s">
        <v>51</v>
      </c>
      <c r="F33" s="387" t="s">
        <v>52</v>
      </c>
      <c r="G33" s="946"/>
      <c r="Q33" s="244">
        <v>20</v>
      </c>
    </row>
    <row customHeight="1" ht="21">
      <c r="C34" s="248"/>
      <c r="D34" s="249"/>
      <c r="E34" s="561" t="s">
        <v>53</v>
      </c>
      <c r="F34" s="387" t="s">
        <v>54</v>
      </c>
      <c r="G34" s="946"/>
      <c r="H34" s="250"/>
      <c r="Q34" s="244">
        <v>20</v>
      </c>
    </row>
    <row s="11888" customFormat="1" customHeight="1" ht="11.549999999999999">
      <c r="A35" s="955"/>
      <c r="B35" s="402"/>
      <c r="C35" s="403"/>
      <c r="D35" s="409"/>
      <c r="E35" s="407"/>
      <c r="F35" s="410"/>
      <c r="G35" s="247"/>
      <c r="H35" s="579"/>
      <c r="I35" s="581"/>
      <c r="J35" s="1044"/>
      <c r="Q35" s="406">
        <v>11</v>
      </c>
    </row>
    <row customHeight="1" ht="19.5">
      <c r="A36" s="1049"/>
      <c r="D36" s="249"/>
      <c r="E36" s="561" t="s">
        <v>55</v>
      </c>
      <c r="F36" s="2924" t="s">
        <v>56</v>
      </c>
      <c r="G36" s="247"/>
      <c r="Q36" s="244">
        <v>0</v>
      </c>
    </row>
    <row customHeight="1" ht="21">
      <c r="A37" s="1049"/>
      <c r="D37" s="249"/>
      <c r="E37" s="561" t="s">
        <v>57</v>
      </c>
      <c r="F37" s="2924" t="s">
        <v>58</v>
      </c>
      <c r="G37" s="247"/>
      <c r="Q37" s="244">
        <v>20</v>
      </c>
    </row>
    <row s="11888" customFormat="1" customHeight="1" ht="6.3">
      <c r="A38" s="955"/>
      <c r="B38" s="402"/>
      <c r="C38" s="403"/>
      <c r="D38" s="404"/>
      <c r="E38" s="405"/>
      <c r="F38" s="1223"/>
      <c r="G38" s="243"/>
      <c r="H38" s="579"/>
      <c r="I38" s="581"/>
      <c r="J38" s="1046"/>
      <c r="Q38" s="406">
        <v>6</v>
      </c>
    </row>
    <row customHeight="1" ht="36.75">
      <c r="A39" s="955"/>
      <c r="D39" s="245"/>
      <c r="E39" s="561" t="s">
        <v>59</v>
      </c>
      <c r="F39" s="880" t="s">
        <v>19</v>
      </c>
      <c r="G39" s="243"/>
      <c r="H39" s="943" t="s">
        <v>22</v>
      </c>
      <c r="Q39" s="244">
        <v>35</v>
      </c>
    </row>
    <row s="11888" customFormat="1" customHeight="1" ht="6" hidden="1">
      <c r="A40" s="954"/>
      <c r="B40" s="596"/>
      <c r="C40" s="597"/>
      <c r="D40" s="598"/>
      <c r="E40" s="599"/>
      <c r="F40" s="1223"/>
      <c r="G40" s="243"/>
      <c r="H40" s="579"/>
      <c r="I40" s="581"/>
      <c r="J40" s="1046"/>
      <c r="Q40" s="600">
        <v>6</v>
      </c>
    </row>
    <row s="11913" customFormat="1" customHeight="1" ht="26.25" hidden="1">
      <c r="A41" s="958" t="s">
        <v>26</v>
      </c>
      <c r="B41" s="583"/>
      <c r="C41" s="578"/>
      <c r="D41" s="580"/>
      <c r="E41" s="56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880" t="s">
        <v>19</v>
      </c>
      <c r="G41" s="243"/>
      <c r="I41" s="581"/>
      <c r="J41" s="1046"/>
      <c r="Q41" s="579">
        <v>0</v>
      </c>
    </row>
    <row s="11888" customFormat="1" customHeight="1" ht="6">
      <c r="A42" s="954"/>
      <c r="B42" s="596"/>
      <c r="C42" s="597"/>
      <c r="D42" s="598"/>
      <c r="E42" s="599"/>
      <c r="F42" s="1223"/>
      <c r="G42" s="243"/>
      <c r="H42" s="579"/>
      <c r="I42" s="581"/>
      <c r="J42" s="1044"/>
      <c r="Q42" s="600">
        <v>0</v>
      </c>
    </row>
    <row s="11913" customFormat="1" customHeight="1" ht="27" hidden="1">
      <c r="A43" s="954"/>
      <c r="B43" s="583"/>
      <c r="C43" s="578"/>
      <c r="D43" s="580"/>
      <c r="E43" s="561" t="s">
        <v>60</v>
      </c>
      <c r="F43" s="880" t="s">
        <v>19</v>
      </c>
      <c r="G43" s="243"/>
      <c r="I43" s="581"/>
      <c r="J43" s="1046"/>
      <c r="Q43" s="579">
        <v>0</v>
      </c>
    </row>
    <row s="11913" customFormat="1" customHeight="1" ht="27" hidden="1">
      <c r="A44" s="954"/>
      <c r="B44" s="583"/>
      <c r="C44" s="578"/>
      <c r="D44" s="580"/>
      <c r="E44" s="1335" t="s">
        <v>61</v>
      </c>
      <c r="F44" s="2058"/>
      <c r="G44" s="243"/>
      <c r="I44" s="581"/>
      <c r="J44" s="1046"/>
      <c r="Q44" s="579">
        <v>0</v>
      </c>
    </row>
    <row s="11888" customFormat="1" customHeight="1" ht="6">
      <c r="A45" s="954"/>
      <c r="B45" s="596"/>
      <c r="C45" s="597"/>
      <c r="D45" s="598"/>
      <c r="E45" s="599"/>
      <c r="F45" s="1223"/>
      <c r="G45" s="243"/>
      <c r="H45" s="579"/>
      <c r="I45" s="581"/>
      <c r="J45" s="1046"/>
      <c r="Q45" s="600">
        <v>0</v>
      </c>
    </row>
    <row s="11888" customFormat="1" customHeight="1" ht="24.75">
      <c r="A46" s="954"/>
      <c r="B46" s="596"/>
      <c r="C46" s="597"/>
      <c r="D46" s="598"/>
      <c r="E46" s="1335" t="s">
        <v>62</v>
      </c>
      <c r="F46" s="880" t="s">
        <v>19</v>
      </c>
      <c r="G46" s="243"/>
      <c r="H46" s="579"/>
      <c r="I46" s="581"/>
      <c r="J46" s="1046"/>
      <c r="Q46" s="600">
        <v>0</v>
      </c>
    </row>
    <row s="11913" customFormat="1" customHeight="1" ht="24.75">
      <c r="A47" s="954"/>
      <c r="B47" s="583"/>
      <c r="C47" s="578"/>
      <c r="D47" s="580"/>
      <c r="E47" s="1335" t="s">
        <v>63</v>
      </c>
      <c r="F47" s="880" t="s">
        <v>19</v>
      </c>
      <c r="G47" s="243"/>
      <c r="I47" s="581"/>
      <c r="J47" s="1046"/>
      <c r="Q47" s="579">
        <v>0</v>
      </c>
    </row>
    <row s="11888" customFormat="1" customHeight="1" ht="6">
      <c r="A48" s="954"/>
      <c r="B48" s="402"/>
      <c r="C48" s="403"/>
      <c r="D48" s="404"/>
      <c r="E48" s="405"/>
      <c r="F48" s="1223"/>
      <c r="G48" s="243"/>
      <c r="H48" s="579"/>
      <c r="I48" s="581"/>
      <c r="J48" s="1046"/>
      <c r="Q48" s="406">
        <v>0</v>
      </c>
    </row>
    <row customHeight="1" ht="29.25">
      <c r="B49" s="318"/>
      <c r="D49" s="245"/>
      <c r="E49" s="56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880" t="s">
        <v>64</v>
      </c>
      <c r="G49" s="243"/>
      <c r="Q49" s="244">
        <v>0</v>
      </c>
    </row>
    <row s="11888" customFormat="1" customHeight="1" ht="6" hidden="1">
      <c r="A50" s="955"/>
      <c r="B50" s="596"/>
      <c r="C50" s="597"/>
      <c r="D50" s="409"/>
      <c r="E50" s="407"/>
      <c r="F50" s="410"/>
      <c r="G50" s="247"/>
      <c r="H50" s="579"/>
      <c r="I50" s="581"/>
      <c r="J50" s="1046"/>
      <c r="Q50" s="600">
        <v>0</v>
      </c>
    </row>
    <row s="11913" customFormat="1" customHeight="1" ht="28.5" hidden="1">
      <c r="A51" s="956"/>
      <c r="B51" s="583"/>
      <c r="C51" s="700"/>
      <c r="D51" s="701"/>
      <c r="E51" s="561" t="s">
        <v>65</v>
      </c>
      <c r="F51" s="880" t="s">
        <v>19</v>
      </c>
      <c r="G51" s="702"/>
      <c r="I51" s="704"/>
      <c r="J51" s="1048"/>
      <c r="P51" s="705"/>
      <c r="Q51" s="703">
        <v>0</v>
      </c>
    </row>
    <row s="11888" customFormat="1" customHeight="1" ht="6" hidden="1">
      <c r="A52" s="955"/>
      <c r="B52" s="596"/>
      <c r="C52" s="597"/>
      <c r="D52" s="409"/>
      <c r="E52" s="407"/>
      <c r="F52" s="410"/>
      <c r="G52" s="247"/>
      <c r="H52" s="579"/>
      <c r="I52" s="581"/>
      <c r="J52" s="1044"/>
      <c r="Q52" s="600">
        <v>0</v>
      </c>
    </row>
    <row s="11913" customFormat="1" customHeight="1" ht="27" hidden="1">
      <c r="A53" s="956"/>
      <c r="B53" s="583"/>
      <c r="C53" s="700"/>
      <c r="D53" s="701"/>
      <c r="E53" s="561" t="s">
        <v>66</v>
      </c>
      <c r="F53" s="1218" t="s">
        <v>19</v>
      </c>
      <c r="G53" s="702"/>
      <c r="I53" s="704"/>
      <c r="J53" s="1048"/>
      <c r="P53" s="705"/>
      <c r="Q53" s="703">
        <v>0</v>
      </c>
    </row>
    <row s="11913" customFormat="1" customHeight="1" ht="27" hidden="1">
      <c r="A54" s="956"/>
      <c r="B54" s="583"/>
      <c r="C54" s="700"/>
      <c r="D54" s="701"/>
      <c r="E54" s="561" t="s">
        <v>67</v>
      </c>
      <c r="F54" s="1944"/>
      <c r="G54" s="702"/>
      <c r="I54" s="704"/>
      <c r="J54" s="1048"/>
      <c r="P54" s="705"/>
      <c r="Q54" s="703">
        <v>0</v>
      </c>
    </row>
    <row s="11888" customFormat="1" customHeight="1" ht="6" hidden="1">
      <c r="A55" s="955"/>
      <c r="B55" s="596"/>
      <c r="C55" s="597"/>
      <c r="D55" s="409"/>
      <c r="E55" s="407"/>
      <c r="F55" s="410"/>
      <c r="G55" s="247"/>
      <c r="H55" s="579"/>
      <c r="I55" s="581"/>
      <c r="J55" s="1044"/>
      <c r="Q55" s="600">
        <v>0</v>
      </c>
    </row>
    <row s="11913" customFormat="1" customHeight="1" ht="25.5" hidden="1">
      <c r="A56" s="956"/>
      <c r="B56" s="583"/>
      <c r="C56" s="700"/>
      <c r="D56" s="701"/>
      <c r="E56" s="561" t="s">
        <v>68</v>
      </c>
      <c r="F56" s="1218" t="s">
        <v>19</v>
      </c>
      <c r="G56" s="702"/>
      <c r="I56" s="704"/>
      <c r="J56" s="1048"/>
      <c r="P56" s="705"/>
      <c r="Q56" s="703">
        <v>0</v>
      </c>
    </row>
    <row s="11888" customFormat="1" customHeight="1" ht="6" hidden="1">
      <c r="A57" s="955"/>
      <c r="B57" s="596"/>
      <c r="C57" s="597"/>
      <c r="D57" s="409"/>
      <c r="E57" s="407"/>
      <c r="F57" s="410"/>
      <c r="G57" s="247"/>
      <c r="H57" s="579"/>
      <c r="I57" s="581"/>
      <c r="J57" s="1044"/>
      <c r="Q57" s="600">
        <v>0</v>
      </c>
    </row>
    <row s="11913" customFormat="1" customHeight="1" ht="15" hidden="1">
      <c r="A58" s="956"/>
      <c r="B58" s="583"/>
      <c r="C58" s="700"/>
      <c r="D58" s="701"/>
      <c r="E58" s="561" t="s">
        <v>69</v>
      </c>
      <c r="F58" s="1218" t="s">
        <v>64</v>
      </c>
      <c r="G58" s="702"/>
      <c r="I58" s="704"/>
      <c r="J58" s="1048"/>
      <c r="P58" s="705"/>
      <c r="Q58" s="703">
        <v>0</v>
      </c>
    </row>
    <row s="11913" customFormat="1" customHeight="1" ht="75" hidden="1">
      <c r="A59" s="956"/>
      <c r="B59" s="583"/>
      <c r="C59" s="700"/>
      <c r="D59" s="701"/>
      <c r="E59" s="56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359"/>
      <c r="G59" s="702"/>
      <c r="I59" s="704"/>
      <c r="J59" s="1048"/>
      <c r="P59" s="705"/>
      <c r="Q59" s="703">
        <v>0</v>
      </c>
    </row>
    <row s="11913" customFormat="1" customHeight="1" ht="15" hidden="1">
      <c r="A60" s="956"/>
      <c r="B60" s="583"/>
      <c r="C60" s="700"/>
      <c r="D60" s="701"/>
      <c r="E60" s="1335" t="s">
        <v>70</v>
      </c>
      <c r="F60" s="1321"/>
      <c r="G60" s="702"/>
      <c r="I60" s="704"/>
      <c r="J60" s="1048"/>
      <c r="P60" s="705"/>
      <c r="Q60" s="703">
        <v>0</v>
      </c>
    </row>
    <row s="11888" customFormat="1" customHeight="1" ht="6" hidden="1">
      <c r="A61" s="955"/>
      <c r="B61" s="596"/>
      <c r="C61" s="597"/>
      <c r="D61" s="598"/>
      <c r="E61" s="599"/>
      <c r="F61" s="1223"/>
      <c r="G61" s="243"/>
      <c r="H61" s="579"/>
      <c r="I61" s="581"/>
      <c r="J61" s="1046"/>
      <c r="Q61" s="600">
        <v>0</v>
      </c>
    </row>
    <row s="11913" customFormat="1" customHeight="1" ht="33.75" hidden="1">
      <c r="A62" s="955"/>
      <c r="B62" s="268"/>
      <c r="C62" s="578"/>
      <c r="D62" s="580"/>
      <c r="E62" s="1335" t="s">
        <v>71</v>
      </c>
      <c r="F62" s="1841" t="s">
        <v>64</v>
      </c>
      <c r="G62" s="243"/>
      <c r="H62" s="943" t="s">
        <v>22</v>
      </c>
      <c r="I62" s="581"/>
      <c r="J62" s="1046"/>
      <c r="Q62" s="579">
        <v>0</v>
      </c>
    </row>
    <row s="11888" customFormat="1" customHeight="1" ht="6.3">
      <c r="A63" s="955"/>
      <c r="B63" s="402"/>
      <c r="C63" s="403"/>
      <c r="D63" s="409"/>
      <c r="E63" s="407"/>
      <c r="F63" s="410"/>
      <c r="G63" s="247"/>
      <c r="H63" s="579"/>
      <c r="I63" s="581"/>
      <c r="J63" s="1044"/>
      <c r="Q63" s="406">
        <v>6</v>
      </c>
    </row>
    <row customHeight="1" ht="21">
      <c r="A64" s="957"/>
      <c r="B64" s="269"/>
      <c r="D64" s="252"/>
      <c r="E64" s="561" t="s">
        <v>72</v>
      </c>
      <c r="F64" s="386" t="s">
        <v>73</v>
      </c>
      <c r="G64" s="247"/>
      <c r="Q64" s="244">
        <v>20</v>
      </c>
    </row>
    <row customHeight="1" ht="21">
      <c r="A65" s="957"/>
      <c r="B65" s="269"/>
      <c r="D65" s="252"/>
      <c r="E65" s="561" t="s">
        <v>74</v>
      </c>
      <c r="F65" s="386" t="s">
        <v>75</v>
      </c>
      <c r="G65" s="247"/>
      <c r="Q65" s="244">
        <v>20</v>
      </c>
    </row>
    <row customHeight="1" ht="36.75">
      <c r="D66" s="245"/>
      <c r="E66" s="563" t="s">
        <v>76</v>
      </c>
      <c r="F66" s="1224"/>
      <c r="G66" s="243"/>
      <c r="Q66" s="244">
        <v>35</v>
      </c>
    </row>
    <row customHeight="1" ht="21">
      <c r="A67" s="957"/>
      <c r="D67" s="580"/>
      <c r="E67" s="561" t="s">
        <v>77</v>
      </c>
      <c r="F67" s="441" t="s">
        <v>78</v>
      </c>
      <c r="G67" s="247"/>
      <c r="Q67" s="244">
        <v>20</v>
      </c>
    </row>
    <row customHeight="1" ht="21">
      <c r="A68" s="957"/>
      <c r="B68" s="269"/>
      <c r="D68" s="252"/>
      <c r="E68" s="561" t="s">
        <v>79</v>
      </c>
      <c r="F68" s="441" t="s">
        <v>80</v>
      </c>
      <c r="G68" s="247"/>
      <c r="Q68" s="244">
        <v>20</v>
      </c>
    </row>
    <row customHeight="1" ht="21">
      <c r="A69" s="957"/>
      <c r="B69" s="269"/>
      <c r="D69" s="252"/>
      <c r="E69" s="561" t="s">
        <v>81</v>
      </c>
      <c r="F69" s="441" t="s">
        <v>82</v>
      </c>
      <c r="G69" s="247"/>
      <c r="Q69" s="244">
        <v>20</v>
      </c>
    </row>
    <row customHeight="1" ht="21">
      <c r="D70" s="580"/>
      <c r="E70" s="561" t="s">
        <v>83</v>
      </c>
      <c r="F70" s="2952" t="s">
        <v>84</v>
      </c>
      <c r="G70" s="243"/>
      <c r="Q70" s="244">
        <v>20</v>
      </c>
    </row>
    <row customHeight="1" ht="21">
      <c r="A71" s="957"/>
      <c r="D71" s="243"/>
      <c r="F71" s="303"/>
      <c r="G71" s="247"/>
      <c r="Q71" s="244">
        <v>20</v>
      </c>
    </row>
    <row customHeight="1" ht="21">
      <c r="A72" s="957"/>
      <c r="B72" s="269"/>
      <c r="D72" s="252"/>
      <c r="E72" s="251"/>
      <c r="F72" s="1203" t="s">
        <v>13</v>
      </c>
      <c r="G72" s="247"/>
      <c r="Q72" s="244">
        <v>20</v>
      </c>
    </row>
    <row customHeight="1" ht="21">
      <c r="A73" s="957"/>
      <c r="B73" s="269"/>
      <c r="D73" s="252"/>
      <c r="E73" s="251"/>
      <c r="F73" s="304"/>
      <c r="G73" s="247"/>
      <c r="Q73" s="244">
        <v>20</v>
      </c>
    </row>
    <row customHeight="1" ht="21">
      <c r="A74" s="957"/>
      <c r="B74" s="269"/>
      <c r="D74" s="252"/>
      <c r="E74" s="256"/>
      <c r="F74" s="304"/>
      <c r="G74" s="247"/>
      <c r="Q74" s="244">
        <v>20</v>
      </c>
    </row>
    <row customHeight="1" ht="21">
      <c r="A75" s="957"/>
      <c r="B75" s="269"/>
      <c r="D75" s="252"/>
      <c r="E75" s="251"/>
      <c r="F75" s="304"/>
      <c r="G75" s="247"/>
      <c r="Q75" s="244">
        <v>20</v>
      </c>
    </row>
    <row customHeight="1" ht="11.549999999999999">
      <c r="Q76" s="244">
        <v>11</v>
      </c>
    </row>
    <row customHeight="1" ht="11.549999999999999">
      <c r="Q77" s="244">
        <v>11</v>
      </c>
    </row>
    <row customHeight="1" ht="11.549999999999999">
      <c r="E78" s="560"/>
      <c r="F78" s="560"/>
      <c r="G78" s="560"/>
      <c r="H78" s="560"/>
      <c r="I78" s="560"/>
      <c r="Q78" s="244">
        <v>11</v>
      </c>
    </row>
    <row customHeight="1" ht="11.25" hidden="1">
      <c r="A79" s="954" t="s">
        <v>85</v>
      </c>
      <c r="B79" s="268">
        <v>0</v>
      </c>
      <c r="C79" s="242">
        <v>3</v>
      </c>
      <c r="D79" s="244">
        <v>1</v>
      </c>
      <c r="E79" s="244">
        <v>55</v>
      </c>
      <c r="F79" s="244">
        <v>54</v>
      </c>
      <c r="G79" s="941">
        <v>1</v>
      </c>
      <c r="H79" s="579">
        <v>0</v>
      </c>
      <c r="I79" s="581">
        <v>59</v>
      </c>
      <c r="J79" s="1046">
        <v>0</v>
      </c>
      <c r="K79" s="244">
        <v>8</v>
      </c>
      <c r="L79" s="244">
        <v>77</v>
      </c>
      <c r="M79" s="244">
        <v>8</v>
      </c>
      <c r="N79" s="244">
        <v>8</v>
      </c>
      <c r="O79" s="244">
        <v>8</v>
      </c>
      <c r="P79" s="244">
        <v>8</v>
      </c>
      <c r="Q79" s="24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BE9AD018-6CC6-F6DB-6733-0C0C1B0C333E}"/>
    <hyperlink ref="H17" location="Титульный!H9" display="Как заполнить?" tooltip="Помощь по работе с полями отчётной формы" xr:uid="{A07CDA8D-161D-A05E-DE1E-61E7EACD22E6}"/>
    <hyperlink ref="H39" location="Титульный!H9" display="Как заполнить?" tooltip="Помощь по работе с полями отчётной формы" xr:uid="{5F6E9DFD-CCBA-7E69-30BB-1749B14CB421}"/>
    <hyperlink ref="H62" location="Титульный!H9" display="Как заполнить?" tooltip="Помощь по работе с полями отчётной формы" xr:uid="{03A42E45-ACB4-53B5-8FA8-FDC1A025D86A}"/>
    <hyperlink ref="F70" r:id="rId4" xr:uid="{0A3A3F25-CACB-2908-F8C3-84B0CA78997A}"/>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82AF9D-9EFC-DCC1-32B1-9AD19C2C32E9}" mc:Ignorable="x14ac xr xr2 xr3">
  <sheetPr>
    <tabColor theme="6" tint="0.4"/>
  </sheetPr>
  <dimension ref="A1:BA340"/>
  <sheetViews>
    <sheetView topLeftCell="A1" showGridLines="0" zoomScale="90" workbookViewId="0">
      <selection activeCell="AO340" sqref="AO340"/>
    </sheetView>
  </sheetViews>
  <sheetFormatPr defaultColWidth="10.57421875" customHeight="1" defaultRowHeight="14.25"/>
  <cols>
    <col min="1" max="1" style="11992" width="10.57421875" hidden="1"/>
    <col min="2" max="2" style="11992" width="11.00390625" hidden="1" customWidth="1"/>
    <col min="3" max="3" style="11992" width="10.57421875" hidden="1"/>
    <col min="4" max="4" style="11992" width="11.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2.00390625" hidden="1" customWidth="1"/>
    <col min="10" max="10" style="11992" width="9.8515625" hidden="1" customWidth="1"/>
    <col min="11" max="11" style="11992" width="11.421875" hidden="1" customWidth="1"/>
    <col min="12" max="12" style="13388" width="19.140625" hidden="1" customWidth="1"/>
    <col min="13" max="14" style="13389" width="12.28125" hidden="1" customWidth="1"/>
    <col min="15" max="15" style="13389" width="23.421875" hidden="1" customWidth="1"/>
    <col min="16" max="16" style="13389" width="3.00390625" customWidth="1"/>
    <col min="17" max="17" style="14302" width="3.00390625" customWidth="1"/>
    <col min="18" max="18" style="13391" width="3.00390625" customWidth="1"/>
    <col min="19" max="19" style="13392" width="12.00390625" customWidth="1"/>
    <col min="20" max="20" style="11913" width="31.00390625" customWidth="1"/>
    <col min="21" max="21" style="11913" width="0.140625" customWidth="1"/>
    <col min="22" max="23" style="11913" width="21.7109375" hidden="1" customWidth="1"/>
    <col min="24" max="24" style="11913" width="11.7109375" hidden="1" customWidth="1"/>
    <col min="25" max="25" style="11913" width="3.7109375" hidden="1" customWidth="1"/>
    <col min="26" max="26" style="11913" width="11.7109375" hidden="1" customWidth="1"/>
    <col min="27" max="27" style="11913" width="8.57421875" hidden="1" customWidth="1"/>
    <col min="28" max="28" style="11913" width="5.421875" customWidth="1"/>
    <col min="29" max="30" style="11913" width="3.00390625" customWidth="1"/>
    <col min="31" max="31" style="11913" width="24.00390625" customWidth="1"/>
    <col min="32" max="32" style="11913" width="3.7109375" customWidth="1"/>
    <col min="33" max="34" style="11913" width="3.00390625" customWidth="1"/>
    <col min="35" max="35" style="11913" width="24.00390625" customWidth="1"/>
    <col min="36" max="36" style="11913" width="3.7109375" customWidth="1"/>
    <col min="37" max="38" style="11913" width="3.00390625" customWidth="1"/>
    <col min="39" max="39" style="11913" width="18.00390625" customWidth="1"/>
    <col min="40" max="41" style="11913" width="21.00390625" customWidth="1"/>
    <col min="42" max="42" style="11913" width="15.7109375" customWidth="1"/>
    <col min="43" max="43" style="11913" width="3.7109375" customWidth="1"/>
    <col min="44" max="44" style="11913" width="13.421875" customWidth="1"/>
    <col min="45" max="45" style="11913" width="8.57421875" hidden="1" customWidth="1"/>
    <col min="46" max="46" style="11913" width="4.00390625" customWidth="1"/>
    <col min="47" max="47" style="11913" width="115.00390625" customWidth="1"/>
    <col min="48" max="52" style="11993" width="10.00390625" customWidth="1"/>
    <col min="53" max="53" style="11913" width="10.57421875" hidden="1"/>
  </cols>
  <sheetData>
    <row customHeight="1" ht="22.5" hidden="1">
      <c r="W1" s="497"/>
      <c r="X1" s="497"/>
      <c r="AO1" s="497"/>
      <c r="AP1" s="497"/>
      <c r="BA1" s="1325" t="s">
        <v>14</v>
      </c>
    </row>
    <row customHeight="1" ht="21" hidden="1">
      <c r="A2" s="1533"/>
      <c r="B2" s="1533"/>
      <c r="C2" s="1533"/>
      <c r="D2" s="1533"/>
      <c r="E2" s="2428">
        <v>1</v>
      </c>
      <c r="F2" s="1533"/>
      <c r="G2" s="1533"/>
      <c r="H2" s="1533"/>
      <c r="I2" s="1533"/>
      <c r="J2" s="1533"/>
      <c r="K2" s="1533"/>
      <c r="L2" s="1534"/>
      <c r="M2" s="1535"/>
      <c r="N2" s="1535"/>
      <c r="O2" s="1535"/>
      <c r="P2" s="1579"/>
      <c r="Q2" s="1043"/>
      <c r="R2" s="525"/>
      <c r="S2" s="1506">
        <f>INDEX(PT_DIFFERENTIATION_NUM_NTAR,MATCH(A2,PT_DIFFERENTIATION_NTAR_ID,0))</f>
      </c>
      <c r="T2" s="468" t="s">
        <v>126</v>
      </c>
      <c r="U2" s="470"/>
      <c r="V2" s="2413"/>
      <c r="W2" s="2413"/>
      <c r="X2" s="2413"/>
      <c r="Y2" s="2413"/>
      <c r="Z2" s="2413"/>
      <c r="AA2" s="2414"/>
      <c r="AB2" s="2412">
        <f>INDEX(PT_DIFFERENTIATION_NTAR,MATCH(A2,PT_DIFFERENTIATION_NTAR_ID,0))</f>
      </c>
      <c r="AC2" s="2413"/>
      <c r="AD2" s="2413"/>
      <c r="AE2" s="2413"/>
      <c r="AF2" s="2413"/>
      <c r="AG2" s="2413"/>
      <c r="AH2" s="2413"/>
      <c r="AI2" s="2413"/>
      <c r="AJ2" s="2413"/>
      <c r="AK2" s="2413"/>
      <c r="AL2" s="2413"/>
      <c r="AM2" s="2413"/>
      <c r="AN2" s="2413"/>
      <c r="AO2" s="2413"/>
      <c r="AP2" s="2413"/>
      <c r="AQ2" s="2413"/>
      <c r="AR2" s="2413"/>
      <c r="AS2" s="2413"/>
      <c r="AT2" s="2414"/>
      <c r="AU2" s="1428" t="s">
        <v>408</v>
      </c>
      <c r="AW2" s="670"/>
      <c r="AX2" s="670" t="str">
        <f>IF(T2="","",T2)</f>
        <v>Наименование тарифа</v>
      </c>
      <c r="AY2" s="670"/>
      <c r="AZ2" s="670"/>
      <c r="BA2" s="1325">
        <v>0</v>
      </c>
    </row>
    <row customHeight="1" ht="21" hidden="1">
      <c r="A3" s="1533"/>
      <c r="B3" s="1533"/>
      <c r="C3" s="1533"/>
      <c r="D3" s="1533"/>
      <c r="E3" s="2429"/>
      <c r="F3" s="2428">
        <v>1</v>
      </c>
      <c r="G3" s="1533"/>
      <c r="H3" s="1533"/>
      <c r="I3" s="1533"/>
      <c r="J3" s="1533"/>
      <c r="K3" s="1533"/>
      <c r="L3" s="1534"/>
      <c r="M3" s="1535"/>
      <c r="N3" s="1535"/>
      <c r="O3" s="1535"/>
      <c r="P3" s="1580"/>
      <c r="Q3" s="1581"/>
      <c r="R3" s="523"/>
      <c r="S3" s="1506">
        <f>INDEX(PT_DIFFERENTIATION_NUM_TER,MATCH(B3,PT_DIFFERENTIATION_TER_ID,0))</f>
      </c>
      <c r="T3" s="478" t="s">
        <v>409</v>
      </c>
      <c r="U3" s="470"/>
      <c r="V3" s="2413"/>
      <c r="W3" s="2413"/>
      <c r="X3" s="2413"/>
      <c r="Y3" s="2413"/>
      <c r="Z3" s="2413"/>
      <c r="AA3" s="2414"/>
      <c r="AB3" s="2412">
        <f>INDEX(PT_DIFFERENTIATION_TER,MATCH(B3,PT_DIFFERENTIATION_TER_ID,0))</f>
      </c>
      <c r="AC3" s="2413"/>
      <c r="AD3" s="2413"/>
      <c r="AE3" s="2413"/>
      <c r="AF3" s="2413"/>
      <c r="AG3" s="2413"/>
      <c r="AH3" s="2413"/>
      <c r="AI3" s="2413"/>
      <c r="AJ3" s="2413"/>
      <c r="AK3" s="2413"/>
      <c r="AL3" s="2413"/>
      <c r="AM3" s="2413"/>
      <c r="AN3" s="2413"/>
      <c r="AO3" s="2413"/>
      <c r="AP3" s="2413"/>
      <c r="AQ3" s="2413"/>
      <c r="AR3" s="2413"/>
      <c r="AS3" s="2413"/>
      <c r="AT3" s="2414"/>
      <c r="AU3" s="1428" t="s">
        <v>410</v>
      </c>
      <c r="AW3" s="670"/>
      <c r="AX3" s="670" t="str">
        <f>IF(T3="","",T3)</f>
        <v>Территория действия тарифа</v>
      </c>
      <c r="AY3" s="670"/>
      <c r="AZ3" s="670"/>
      <c r="BA3" s="1325">
        <v>0</v>
      </c>
    </row>
    <row customHeight="1" ht="22.5" hidden="1">
      <c r="A4" s="1533"/>
      <c r="B4" s="1533"/>
      <c r="C4" s="1533"/>
      <c r="D4" s="1533"/>
      <c r="E4" s="2429"/>
      <c r="F4" s="2429"/>
      <c r="G4" s="2428">
        <v>1</v>
      </c>
      <c r="H4" s="1533"/>
      <c r="I4" s="1533"/>
      <c r="J4" s="1533"/>
      <c r="K4" s="1533"/>
      <c r="L4" s="1534"/>
      <c r="M4" s="1535"/>
      <c r="N4" s="1535"/>
      <c r="O4" s="1535"/>
      <c r="P4" s="1582"/>
      <c r="Q4" s="1581"/>
      <c r="R4" s="523"/>
      <c r="S4" s="1506">
        <f>INDEX(PT_DIFFERENTIATION_NUM_CS,MATCH(C4,PT_DIFFERENTIATION_CS_ID,0))</f>
      </c>
      <c r="T4" s="479" t="s">
        <v>411</v>
      </c>
      <c r="U4" s="470"/>
      <c r="V4" s="2413"/>
      <c r="W4" s="2413"/>
      <c r="X4" s="2413"/>
      <c r="Y4" s="2413"/>
      <c r="Z4" s="2413"/>
      <c r="AA4" s="2414"/>
      <c r="AB4" s="2412">
        <f>INDEX(PT_DIFFERENTIATION_CS,MATCH(C4,PT_DIFFERENTIATION_CS_ID,0))</f>
      </c>
      <c r="AC4" s="2413"/>
      <c r="AD4" s="2413"/>
      <c r="AE4" s="2413"/>
      <c r="AF4" s="2413"/>
      <c r="AG4" s="2413"/>
      <c r="AH4" s="2413"/>
      <c r="AI4" s="2413"/>
      <c r="AJ4" s="2413"/>
      <c r="AK4" s="2413"/>
      <c r="AL4" s="2413"/>
      <c r="AM4" s="2413"/>
      <c r="AN4" s="2413"/>
      <c r="AO4" s="2413"/>
      <c r="AP4" s="2413"/>
      <c r="AQ4" s="2413"/>
      <c r="AR4" s="2413"/>
      <c r="AS4" s="2413"/>
      <c r="AT4" s="2414"/>
      <c r="AU4" s="1428" t="s">
        <v>412</v>
      </c>
      <c r="AW4" s="670"/>
      <c r="AX4" s="670" t="str">
        <f>IF(T4="","",T4)</f>
        <v>Наименование системы теплоснабжения </v>
      </c>
      <c r="AY4" s="670"/>
      <c r="AZ4" s="670"/>
      <c r="BA4" s="1325">
        <v>0</v>
      </c>
    </row>
    <row customHeight="1" ht="21" hidden="1">
      <c r="A5" s="1533"/>
      <c r="B5" s="1533"/>
      <c r="C5" s="1533"/>
      <c r="D5" s="1533"/>
      <c r="E5" s="2429"/>
      <c r="F5" s="2429"/>
      <c r="G5" s="2429"/>
      <c r="H5" s="2428">
        <v>1</v>
      </c>
      <c r="I5" s="1533"/>
      <c r="J5" s="1533"/>
      <c r="K5" s="1533"/>
      <c r="L5" s="1534"/>
      <c r="M5" s="1535"/>
      <c r="N5" s="1535"/>
      <c r="O5" s="1535"/>
      <c r="P5" s="1582"/>
      <c r="Q5" s="1581"/>
      <c r="R5" s="523"/>
      <c r="S5" s="1506">
        <f>INDEX(PT_DIFFERENTIATION_NUM_IST_TE,MATCH(D5,PT_DIFFERENTIATION_IST_TE_ID,0))</f>
      </c>
      <c r="T5" s="480" t="s">
        <v>413</v>
      </c>
      <c r="U5" s="470"/>
      <c r="V5" s="2413"/>
      <c r="W5" s="2413"/>
      <c r="X5" s="2413"/>
      <c r="Y5" s="2413"/>
      <c r="Z5" s="2413"/>
      <c r="AA5" s="2414"/>
      <c r="AB5" s="2412">
        <f>INDEX(PT_DIFFERENTIATION_IST_TE,MATCH(D5,PT_DIFFERENTIATION_IST_TE_ID,0))</f>
      </c>
      <c r="AC5" s="2413"/>
      <c r="AD5" s="2413"/>
      <c r="AE5" s="2413"/>
      <c r="AF5" s="2413"/>
      <c r="AG5" s="2413"/>
      <c r="AH5" s="2413"/>
      <c r="AI5" s="2413"/>
      <c r="AJ5" s="2413"/>
      <c r="AK5" s="2413"/>
      <c r="AL5" s="2413"/>
      <c r="AM5" s="2413"/>
      <c r="AN5" s="2413"/>
      <c r="AO5" s="2413"/>
      <c r="AP5" s="2413"/>
      <c r="AQ5" s="2413"/>
      <c r="AR5" s="2413"/>
      <c r="AS5" s="2413"/>
      <c r="AT5" s="2414"/>
      <c r="AU5" s="1428" t="s">
        <v>414</v>
      </c>
      <c r="AW5" s="670"/>
      <c r="AX5" s="670" t="str">
        <f>IF(T5="","",T5)</f>
        <v>Источник тепловой энергии  </v>
      </c>
      <c r="AY5" s="670"/>
      <c r="AZ5" s="670"/>
      <c r="BA5" s="1325">
        <v>0</v>
      </c>
    </row>
    <row s="11993" customFormat="1" customHeight="1" ht="0.75" hidden="1">
      <c r="A6" s="1513"/>
      <c r="B6" s="1513"/>
      <c r="C6" s="1513"/>
      <c r="D6" s="1513"/>
      <c r="E6" s="2429"/>
      <c r="F6" s="2429"/>
      <c r="G6" s="2429"/>
      <c r="H6" s="2429"/>
      <c r="I6" s="2426">
        <f>S5&amp;".1"</f>
      </c>
      <c r="J6" s="1513"/>
      <c r="K6" s="1513"/>
      <c r="L6" s="1516" t="s">
        <v>415</v>
      </c>
      <c r="M6" s="680"/>
      <c r="N6" s="680"/>
      <c r="O6" s="680"/>
      <c r="P6" s="2427">
        <v>1</v>
      </c>
      <c r="Q6" s="1501"/>
      <c r="R6" s="526"/>
      <c r="S6" s="1212"/>
      <c r="T6" s="1553"/>
      <c r="U6" s="1554"/>
      <c r="V6" s="2467"/>
      <c r="W6" s="2467"/>
      <c r="X6" s="2467"/>
      <c r="Y6" s="2467"/>
      <c r="Z6" s="2467"/>
      <c r="AA6" s="2468"/>
      <c r="AB6" s="2466"/>
      <c r="AC6" s="2467"/>
      <c r="AD6" s="2467"/>
      <c r="AE6" s="2467"/>
      <c r="AF6" s="2467"/>
      <c r="AG6" s="2467"/>
      <c r="AH6" s="2467"/>
      <c r="AI6" s="2467"/>
      <c r="AJ6" s="2467"/>
      <c r="AK6" s="2467"/>
      <c r="AL6" s="2467"/>
      <c r="AM6" s="2467"/>
      <c r="AN6" s="2467"/>
      <c r="AO6" s="2467"/>
      <c r="AP6" s="2467"/>
      <c r="AQ6" s="2467"/>
      <c r="AR6" s="2467"/>
      <c r="AS6" s="2467"/>
      <c r="AT6" s="2468"/>
      <c r="AU6" s="1555"/>
      <c r="AW6" s="670"/>
      <c r="AX6" s="670" t="str">
        <f>IF(T6="","",T6)</f>
        <v/>
      </c>
      <c r="AY6" s="670"/>
      <c r="AZ6" s="670"/>
      <c r="BA6" s="681">
        <v>0</v>
      </c>
    </row>
    <row s="11993" customFormat="1" customHeight="1" ht="0.75" hidden="1">
      <c r="A7" s="1513"/>
      <c r="B7" s="1513"/>
      <c r="C7" s="1513"/>
      <c r="D7" s="1513"/>
      <c r="E7" s="2429"/>
      <c r="F7" s="2429"/>
      <c r="G7" s="2429"/>
      <c r="H7" s="2429"/>
      <c r="I7" s="2456"/>
      <c r="J7" s="2426">
        <f>S5&amp;".1"</f>
      </c>
      <c r="K7" s="1513"/>
      <c r="L7" s="1516"/>
      <c r="M7" s="680"/>
      <c r="N7" s="680"/>
      <c r="O7" s="680"/>
      <c r="P7" s="2427"/>
      <c r="Q7" s="2427">
        <v>1</v>
      </c>
      <c r="R7" s="527"/>
      <c r="S7" s="1212"/>
      <c r="T7" s="1569"/>
      <c r="U7" s="1554"/>
      <c r="V7" s="2467"/>
      <c r="W7" s="2467"/>
      <c r="X7" s="2467"/>
      <c r="Y7" s="2467"/>
      <c r="Z7" s="2467"/>
      <c r="AA7" s="2468"/>
      <c r="AB7" s="2466"/>
      <c r="AC7" s="2467"/>
      <c r="AD7" s="2467"/>
      <c r="AE7" s="2467"/>
      <c r="AF7" s="2467"/>
      <c r="AG7" s="2467"/>
      <c r="AH7" s="2467"/>
      <c r="AI7" s="2467"/>
      <c r="AJ7" s="2467"/>
      <c r="AK7" s="2467"/>
      <c r="AL7" s="2467"/>
      <c r="AM7" s="2467"/>
      <c r="AN7" s="2467"/>
      <c r="AO7" s="2467"/>
      <c r="AP7" s="2467"/>
      <c r="AQ7" s="2467"/>
      <c r="AR7" s="2467"/>
      <c r="AS7" s="2467"/>
      <c r="AT7" s="2468"/>
      <c r="AU7" s="1555"/>
      <c r="AW7" s="670"/>
      <c r="AX7" s="670" t="str">
        <f>IF(T7="","",T7)</f>
        <v/>
      </c>
      <c r="AY7" s="670"/>
      <c r="AZ7" s="670"/>
      <c r="BA7" s="681">
        <v>0</v>
      </c>
    </row>
    <row customHeight="1" ht="21" hidden="1">
      <c r="A8" s="1533"/>
      <c r="B8" s="1533"/>
      <c r="C8" s="1533"/>
      <c r="D8" s="1533"/>
      <c r="E8" s="2429"/>
      <c r="F8" s="2429"/>
      <c r="G8" s="2429"/>
      <c r="H8" s="2429"/>
      <c r="I8" s="2456"/>
      <c r="J8" s="2456"/>
      <c r="K8" s="2426">
        <f>S5&amp;".1"</f>
      </c>
      <c r="L8" s="1534"/>
      <c r="P8" s="2427"/>
      <c r="Q8" s="2427"/>
      <c r="R8" s="2517">
        <v>1</v>
      </c>
      <c r="S8" s="2511">
        <f>$K8</f>
      </c>
      <c r="T8" s="2514"/>
      <c r="U8" s="470"/>
      <c r="V8" s="921"/>
      <c r="W8" s="1427"/>
      <c r="X8" s="2435"/>
      <c r="Y8" s="2277" t="s">
        <v>64</v>
      </c>
      <c r="Z8" s="2435"/>
      <c r="AA8" s="2277" t="s">
        <v>64</v>
      </c>
      <c r="AB8" s="2277" t="s">
        <v>19</v>
      </c>
      <c r="AC8" s="2496"/>
      <c r="AD8" s="2375">
        <v>1</v>
      </c>
      <c r="AE8" s="2497"/>
      <c r="AF8" s="2277" t="s">
        <v>19</v>
      </c>
      <c r="AG8" s="2496"/>
      <c r="AH8" s="2375">
        <v>1</v>
      </c>
      <c r="AI8" s="2497"/>
      <c r="AJ8" s="2277" t="s">
        <v>19</v>
      </c>
      <c r="AK8" s="481"/>
      <c r="AL8" s="1507">
        <v>1</v>
      </c>
      <c r="AM8" s="1568"/>
      <c r="AN8" s="921"/>
      <c r="AO8" s="1427"/>
      <c r="AP8" s="1904"/>
      <c r="AQ8" s="1629" t="s">
        <v>64</v>
      </c>
      <c r="AR8" s="1904"/>
      <c r="AS8" s="1629" t="s">
        <v>64</v>
      </c>
      <c r="AT8" s="1518"/>
      <c r="AU8" s="2423" t="s">
        <v>477</v>
      </c>
      <c r="AV8" s="681">
        <f>STRCHECKDATE(V11:AT11)</f>
      </c>
      <c r="AW8" s="670"/>
      <c r="AX8" s="670" t="str">
        <f>IF(T8="","",T8)</f>
        <v/>
      </c>
      <c r="AY8" s="670"/>
      <c r="AZ8" s="670"/>
      <c r="BA8" s="1325">
        <v>0</v>
      </c>
    </row>
    <row customHeight="1" ht="11.25" hidden="1">
      <c r="A9" s="1533"/>
      <c r="B9" s="1533"/>
      <c r="C9" s="1533"/>
      <c r="D9" s="1533"/>
      <c r="E9" s="2429"/>
      <c r="F9" s="2429"/>
      <c r="G9" s="2429"/>
      <c r="H9" s="2429"/>
      <c r="I9" s="2456"/>
      <c r="J9" s="2456"/>
      <c r="K9" s="2426"/>
      <c r="L9" s="1534"/>
      <c r="P9" s="2427"/>
      <c r="Q9" s="2427"/>
      <c r="R9" s="2517"/>
      <c r="S9" s="2512"/>
      <c r="T9" s="2515"/>
      <c r="U9" s="470"/>
      <c r="V9" s="1563"/>
      <c r="W9" s="1567"/>
      <c r="X9" s="2435"/>
      <c r="Y9" s="2277"/>
      <c r="Z9" s="2435"/>
      <c r="AA9" s="2277"/>
      <c r="AB9" s="2277"/>
      <c r="AC9" s="2496"/>
      <c r="AD9" s="2375"/>
      <c r="AE9" s="2497"/>
      <c r="AF9" s="2277"/>
      <c r="AG9" s="2496"/>
      <c r="AH9" s="2375"/>
      <c r="AI9" s="2497"/>
      <c r="AJ9" s="2277"/>
      <c r="AK9" s="486"/>
      <c r="AL9" s="586"/>
      <c r="AM9" s="585" t="s">
        <v>478</v>
      </c>
      <c r="AN9" s="1563"/>
      <c r="AO9" s="1666"/>
      <c r="AP9" s="1563"/>
      <c r="AQ9" s="1563"/>
      <c r="AR9" s="1563"/>
      <c r="AS9" s="1563"/>
      <c r="AT9" s="1560"/>
      <c r="AU9" s="2424"/>
      <c r="AW9" s="670"/>
      <c r="AX9" s="670"/>
      <c r="AY9" s="670"/>
      <c r="AZ9" s="670"/>
      <c r="BA9" s="1325">
        <v>0</v>
      </c>
    </row>
    <row customHeight="1" ht="11.25" hidden="1">
      <c r="A10" s="1533"/>
      <c r="B10" s="1533"/>
      <c r="C10" s="1533"/>
      <c r="D10" s="1533"/>
      <c r="E10" s="2429"/>
      <c r="F10" s="2429"/>
      <c r="G10" s="2429"/>
      <c r="H10" s="2429"/>
      <c r="I10" s="2456"/>
      <c r="J10" s="2456"/>
      <c r="K10" s="2426"/>
      <c r="L10" s="1534"/>
      <c r="P10" s="2427"/>
      <c r="Q10" s="2427"/>
      <c r="R10" s="2517"/>
      <c r="S10" s="2512"/>
      <c r="T10" s="2515"/>
      <c r="U10" s="470"/>
      <c r="V10" s="1563"/>
      <c r="W10" s="1567"/>
      <c r="X10" s="2435"/>
      <c r="Y10" s="2277"/>
      <c r="Z10" s="2435"/>
      <c r="AA10" s="2277"/>
      <c r="AB10" s="2277"/>
      <c r="AC10" s="2496"/>
      <c r="AD10" s="2375"/>
      <c r="AE10" s="2497"/>
      <c r="AF10" s="2277"/>
      <c r="AG10" s="464"/>
      <c r="AH10" s="585"/>
      <c r="AI10" s="585" t="s">
        <v>479</v>
      </c>
      <c r="AJ10" s="1563"/>
      <c r="AK10" s="1563"/>
      <c r="AL10" s="1563"/>
      <c r="AM10" s="1563"/>
      <c r="AN10" s="1563"/>
      <c r="AO10" s="1666"/>
      <c r="AP10" s="1563"/>
      <c r="AQ10" s="1563"/>
      <c r="AR10" s="1563"/>
      <c r="AS10" s="1563"/>
      <c r="AT10" s="1560"/>
      <c r="AU10" s="2424"/>
      <c r="AW10" s="670"/>
      <c r="AX10" s="670"/>
      <c r="AY10" s="670"/>
      <c r="AZ10" s="670"/>
      <c r="BA10" s="1325">
        <v>0</v>
      </c>
    </row>
    <row customHeight="1" ht="11.25" hidden="1">
      <c r="A11" s="1533"/>
      <c r="B11" s="1533"/>
      <c r="C11" s="1533"/>
      <c r="D11" s="1533"/>
      <c r="E11" s="2429"/>
      <c r="F11" s="2429"/>
      <c r="G11" s="2429"/>
      <c r="H11" s="2429"/>
      <c r="I11" s="2456"/>
      <c r="J11" s="2456"/>
      <c r="K11" s="2426"/>
      <c r="L11" s="1534"/>
      <c r="P11" s="2427"/>
      <c r="Q11" s="2427"/>
      <c r="R11" s="2517"/>
      <c r="S11" s="2513"/>
      <c r="T11" s="2516"/>
      <c r="U11" s="470"/>
      <c r="V11" s="1563"/>
      <c r="W11" s="1566" t="str">
        <f>X8&amp;"-"&amp;Z8</f>
        <v>-</v>
      </c>
      <c r="X11" s="2436"/>
      <c r="Y11" s="2277"/>
      <c r="Z11" s="2436"/>
      <c r="AA11" s="2277"/>
      <c r="AB11" s="2277"/>
      <c r="AC11" s="482"/>
      <c r="AD11" s="484"/>
      <c r="AE11" s="585" t="s">
        <v>480</v>
      </c>
      <c r="AF11" s="1563"/>
      <c r="AG11" s="1563"/>
      <c r="AH11" s="1563"/>
      <c r="AI11" s="1563"/>
      <c r="AJ11" s="1563"/>
      <c r="AK11" s="1563"/>
      <c r="AL11" s="1563"/>
      <c r="AM11" s="1563"/>
      <c r="AN11" s="1563"/>
      <c r="AO11" s="1564" t="str">
        <f>AP8&amp;"-"&amp;AR8</f>
        <v>-</v>
      </c>
      <c r="AP11" s="1563"/>
      <c r="AQ11" s="1563"/>
      <c r="AR11" s="1563"/>
      <c r="AS11" s="1563"/>
      <c r="AT11" s="1519"/>
      <c r="AU11" s="2424"/>
      <c r="AW11" s="670"/>
      <c r="AX11" s="670" t="str">
        <f>IF(T11="","",T11)</f>
        <v/>
      </c>
      <c r="AY11" s="670"/>
      <c r="AZ11" s="670"/>
      <c r="BA11" s="1325">
        <v>0</v>
      </c>
    </row>
    <row customHeight="1" ht="11.25" hidden="1">
      <c r="A12" s="1533"/>
      <c r="B12" s="1533"/>
      <c r="C12" s="1533"/>
      <c r="D12" s="1533"/>
      <c r="E12" s="2429"/>
      <c r="F12" s="2429"/>
      <c r="G12" s="2429"/>
      <c r="H12" s="2429"/>
      <c r="I12" s="2456"/>
      <c r="J12" s="2426"/>
      <c r="K12" s="1533"/>
      <c r="L12" s="1534"/>
      <c r="P12" s="2427"/>
      <c r="Q12" s="2427"/>
      <c r="R12" s="526"/>
      <c r="S12" s="1448"/>
      <c r="T12" s="457" t="s">
        <v>481</v>
      </c>
      <c r="U12" s="537"/>
      <c r="V12" s="537"/>
      <c r="W12" s="537"/>
      <c r="X12" s="537"/>
      <c r="Y12" s="537"/>
      <c r="Z12" s="537"/>
      <c r="AA12" s="537"/>
      <c r="AB12" s="537"/>
      <c r="AC12" s="537"/>
      <c r="AD12" s="537"/>
      <c r="AE12" s="537"/>
      <c r="AF12" s="537"/>
      <c r="AG12" s="537"/>
      <c r="AH12" s="537"/>
      <c r="AI12" s="537"/>
      <c r="AJ12" s="537"/>
      <c r="AK12" s="537"/>
      <c r="AL12" s="537"/>
      <c r="AM12" s="537"/>
      <c r="AN12" s="537"/>
      <c r="AO12" s="537"/>
      <c r="AP12" s="537"/>
      <c r="AQ12" s="537"/>
      <c r="AR12" s="537"/>
      <c r="AS12" s="537"/>
      <c r="AT12" s="494"/>
      <c r="AU12" s="2425"/>
      <c r="AW12" s="670"/>
      <c r="AX12" s="670" t="str">
        <f>IF(T12="","",T12)</f>
        <v>Добавить строку</v>
      </c>
      <c r="AY12" s="670"/>
      <c r="AZ12" s="670"/>
      <c r="BA12" s="1325">
        <v>0</v>
      </c>
    </row>
    <row s="11993" customFormat="1" customHeight="1" ht="0.75" hidden="1">
      <c r="A13" s="1513"/>
      <c r="B13" s="1513"/>
      <c r="C13" s="1513"/>
      <c r="D13" s="1513"/>
      <c r="E13" s="2429"/>
      <c r="F13" s="2429"/>
      <c r="G13" s="2429"/>
      <c r="H13" s="2429"/>
      <c r="I13" s="2426"/>
      <c r="J13" s="1513"/>
      <c r="K13" s="1513"/>
      <c r="L13" s="1516"/>
      <c r="M13" s="680"/>
      <c r="N13" s="680"/>
      <c r="O13" s="680"/>
      <c r="P13" s="2427"/>
      <c r="Q13" s="1501"/>
      <c r="R13" s="526"/>
      <c r="S13" s="1556"/>
      <c r="T13" s="1557"/>
      <c r="U13" s="1558"/>
      <c r="V13" s="1558"/>
      <c r="W13" s="1558"/>
      <c r="X13" s="1558"/>
      <c r="Y13" s="1558"/>
      <c r="Z13" s="1558"/>
      <c r="AA13" s="1558"/>
      <c r="AB13" s="1558"/>
      <c r="AC13" s="1558"/>
      <c r="AD13" s="1558"/>
      <c r="AE13" s="1558"/>
      <c r="AF13" s="1558"/>
      <c r="AG13" s="1558"/>
      <c r="AH13" s="1558"/>
      <c r="AI13" s="1558"/>
      <c r="AJ13" s="1558"/>
      <c r="AK13" s="1558"/>
      <c r="AL13" s="1558"/>
      <c r="AM13" s="1558"/>
      <c r="AN13" s="1558"/>
      <c r="AO13" s="1558"/>
      <c r="AP13" s="1558"/>
      <c r="AQ13" s="1558"/>
      <c r="AR13" s="1558"/>
      <c r="AS13" s="1558"/>
      <c r="AT13" s="1558"/>
      <c r="AU13" s="1559"/>
      <c r="AW13" s="670"/>
      <c r="AX13" s="670" t="str">
        <f>IF(T13="","",T13)</f>
        <v/>
      </c>
      <c r="AY13" s="670"/>
      <c r="AZ13" s="670"/>
      <c r="BA13" s="681">
        <v>0</v>
      </c>
    </row>
    <row s="11993" customFormat="1" customHeight="1" ht="0.75" hidden="1">
      <c r="A14" s="1513"/>
      <c r="B14" s="1513"/>
      <c r="C14" s="1513"/>
      <c r="D14" s="1513"/>
      <c r="E14" s="2429"/>
      <c r="F14" s="2429"/>
      <c r="G14" s="2429"/>
      <c r="H14" s="2428"/>
      <c r="I14" s="1513"/>
      <c r="J14" s="1513"/>
      <c r="K14" s="1513"/>
      <c r="L14" s="1516"/>
      <c r="M14" s="1485"/>
      <c r="N14" s="1485"/>
      <c r="O14" s="688"/>
      <c r="P14" s="550"/>
      <c r="Q14" s="1514"/>
      <c r="R14" s="1571"/>
      <c r="S14" s="1556"/>
      <c r="T14" s="1557"/>
      <c r="U14" s="1558"/>
      <c r="V14" s="1558"/>
      <c r="W14" s="1558"/>
      <c r="X14" s="1558"/>
      <c r="Y14" s="1558"/>
      <c r="Z14" s="1558"/>
      <c r="AA14" s="1558"/>
      <c r="AB14" s="1558"/>
      <c r="AC14" s="1558"/>
      <c r="AD14" s="1558"/>
      <c r="AE14" s="1558"/>
      <c r="AF14" s="1558"/>
      <c r="AG14" s="1558"/>
      <c r="AH14" s="1558"/>
      <c r="AI14" s="1558"/>
      <c r="AJ14" s="1558"/>
      <c r="AK14" s="1558"/>
      <c r="AL14" s="1558"/>
      <c r="AM14" s="1558"/>
      <c r="AN14" s="1558"/>
      <c r="AO14" s="1558"/>
      <c r="AP14" s="1558"/>
      <c r="AQ14" s="1558"/>
      <c r="AR14" s="1558"/>
      <c r="AS14" s="1558"/>
      <c r="AT14" s="1558"/>
      <c r="AU14" s="1559"/>
      <c r="AW14" s="670"/>
      <c r="AX14" s="670" t="str">
        <f>IF(T14="","",T14)</f>
        <v/>
      </c>
      <c r="AY14" s="670"/>
      <c r="AZ14" s="670"/>
      <c r="BA14" s="681">
        <v>0</v>
      </c>
    </row>
    <row s="11993" customFormat="1" customHeight="1" ht="0.75" hidden="1">
      <c r="A15" s="1513"/>
      <c r="B15" s="1513"/>
      <c r="C15" s="1513"/>
      <c r="D15" s="1484"/>
      <c r="E15" s="2429"/>
      <c r="F15" s="2429"/>
      <c r="G15" s="2428"/>
      <c r="H15" s="1484"/>
      <c r="I15" s="1484"/>
      <c r="J15" s="1484"/>
      <c r="K15" s="1484"/>
      <c r="L15" s="1509"/>
      <c r="M15" s="1485"/>
      <c r="N15" s="1485"/>
      <c r="P15" s="1486"/>
      <c r="Q15" s="1487"/>
      <c r="R15" s="1486"/>
      <c r="S15" s="1492"/>
      <c r="T15" s="1495" t="s">
        <v>165</v>
      </c>
      <c r="U15" s="1494"/>
      <c r="V15" s="1494"/>
      <c r="W15" s="1494"/>
      <c r="X15" s="1494"/>
      <c r="Y15" s="1494"/>
      <c r="Z15" s="1494"/>
      <c r="AA15" s="1494"/>
      <c r="AB15" s="1494"/>
      <c r="AC15" s="1494"/>
      <c r="AD15" s="1494"/>
      <c r="AE15" s="1494"/>
      <c r="AF15" s="1494"/>
      <c r="AG15" s="1494"/>
      <c r="AH15" s="1494"/>
      <c r="AI15" s="1494"/>
      <c r="AJ15" s="1494"/>
      <c r="AK15" s="1494"/>
      <c r="AL15" s="1494"/>
      <c r="AM15" s="1494"/>
      <c r="AN15" s="1494"/>
      <c r="AO15" s="1494"/>
      <c r="AP15" s="1494"/>
      <c r="AQ15" s="1494"/>
      <c r="AR15" s="1494"/>
      <c r="AS15" s="1494"/>
      <c r="AT15" s="1494"/>
      <c r="AU15" s="1494"/>
      <c r="AW15" s="959"/>
      <c r="AX15" s="959" t="str">
        <f>IF(T15="","",T15)</f>
        <v>Добавить источник для дифференциации</v>
      </c>
      <c r="AY15" s="959"/>
      <c r="AZ15" s="959"/>
      <c r="BA15" s="688">
        <v>0</v>
      </c>
    </row>
    <row s="11993" customFormat="1" customHeight="1" ht="0.75" hidden="1">
      <c r="A16" s="1513"/>
      <c r="B16" s="1513"/>
      <c r="C16" s="1484"/>
      <c r="D16" s="1484"/>
      <c r="E16" s="2429"/>
      <c r="F16" s="2428"/>
      <c r="G16" s="1484"/>
      <c r="H16" s="1484"/>
      <c r="I16" s="1484"/>
      <c r="J16" s="1484"/>
      <c r="K16" s="1484"/>
      <c r="L16" s="1509"/>
      <c r="M16" s="1491"/>
      <c r="N16" s="1491"/>
      <c r="P16" s="1486"/>
      <c r="Q16" s="1487"/>
      <c r="R16" s="1486"/>
      <c r="S16" s="1492"/>
      <c r="T16" s="1495" t="s">
        <v>166</v>
      </c>
      <c r="U16" s="1494"/>
      <c r="V16" s="1494"/>
      <c r="W16" s="1494"/>
      <c r="X16" s="1494"/>
      <c r="Y16" s="1494"/>
      <c r="Z16" s="1494"/>
      <c r="AA16" s="1494"/>
      <c r="AB16" s="1494"/>
      <c r="AC16" s="1494"/>
      <c r="AD16" s="1494"/>
      <c r="AE16" s="1494"/>
      <c r="AF16" s="1494"/>
      <c r="AG16" s="1494"/>
      <c r="AH16" s="1494"/>
      <c r="AI16" s="1494"/>
      <c r="AJ16" s="1494"/>
      <c r="AK16" s="1494"/>
      <c r="AL16" s="1494"/>
      <c r="AM16" s="1494"/>
      <c r="AN16" s="1494"/>
      <c r="AO16" s="1494"/>
      <c r="AP16" s="1494"/>
      <c r="AQ16" s="1494"/>
      <c r="AR16" s="1494"/>
      <c r="AS16" s="1494"/>
      <c r="AT16" s="1494"/>
      <c r="AU16" s="1494"/>
      <c r="AW16" s="959"/>
      <c r="AX16" s="959" t="str">
        <f>IF(T16="","",T16)</f>
        <v>Добавить централизованную систему для дифференциации</v>
      </c>
      <c r="AY16" s="959"/>
      <c r="AZ16" s="959"/>
      <c r="BA16" s="688">
        <v>0</v>
      </c>
    </row>
    <row s="11993" customFormat="1" customHeight="1" ht="0.75" hidden="1">
      <c r="A17" s="1513"/>
      <c r="B17" s="1513"/>
      <c r="C17" s="1513"/>
      <c r="D17" s="1513"/>
      <c r="E17" s="2428"/>
      <c r="F17" s="1513"/>
      <c r="G17" s="1513"/>
      <c r="H17" s="1513"/>
      <c r="I17" s="1513"/>
      <c r="J17" s="1513"/>
      <c r="K17" s="1513"/>
      <c r="L17" s="1516"/>
      <c r="M17" s="1491"/>
      <c r="N17" s="1491"/>
      <c r="O17" s="688"/>
      <c r="P17" s="550"/>
      <c r="Q17" s="1514"/>
      <c r="R17" s="550"/>
      <c r="S17" s="1492"/>
      <c r="T17" s="1495" t="s">
        <v>167</v>
      </c>
      <c r="U17" s="1494"/>
      <c r="V17" s="1494"/>
      <c r="W17" s="1494"/>
      <c r="X17" s="1494"/>
      <c r="Y17" s="1494"/>
      <c r="Z17" s="1494"/>
      <c r="AA17" s="1494"/>
      <c r="AB17" s="1494"/>
      <c r="AC17" s="1494"/>
      <c r="AD17" s="1494"/>
      <c r="AE17" s="1494"/>
      <c r="AF17" s="1494"/>
      <c r="AG17" s="1494"/>
      <c r="AH17" s="1494"/>
      <c r="AI17" s="1494"/>
      <c r="AJ17" s="1494"/>
      <c r="AK17" s="1494"/>
      <c r="AL17" s="1494"/>
      <c r="AM17" s="1494"/>
      <c r="AN17" s="1494"/>
      <c r="AO17" s="1494"/>
      <c r="AP17" s="1494"/>
      <c r="AQ17" s="1494"/>
      <c r="AR17" s="1494"/>
      <c r="AS17" s="1494"/>
      <c r="AT17" s="1494"/>
      <c r="AU17" s="1494"/>
      <c r="AW17" s="670"/>
      <c r="AX17" s="670" t="str">
        <f>IF(T17="","",T17)</f>
        <v>Добавить территорию для дифференциации</v>
      </c>
      <c r="AY17" s="670"/>
      <c r="AZ17" s="670"/>
      <c r="BA17" s="681">
        <v>0</v>
      </c>
    </row>
    <row customHeight="1" ht="14.25" hidden="1">
      <c r="AA18" s="497"/>
      <c r="AS18" s="497"/>
      <c r="BA18" s="1325">
        <v>0</v>
      </c>
    </row>
    <row customHeight="1" ht="14.25" hidden="1">
      <c r="AB19" s="1494" t="s">
        <v>19</v>
      </c>
      <c r="AC19" s="1671"/>
      <c r="AD19" s="718">
        <v>1</v>
      </c>
      <c r="AE19" s="1672"/>
      <c r="AF19" s="1494" t="s">
        <v>19</v>
      </c>
      <c r="AG19" s="1671"/>
      <c r="AH19" s="718">
        <v>1</v>
      </c>
      <c r="AI19" s="1672"/>
      <c r="AJ19" s="1494" t="s">
        <v>19</v>
      </c>
      <c r="AK19" s="1673"/>
      <c r="AL19" s="718">
        <v>1</v>
      </c>
      <c r="AM19" s="1676"/>
      <c r="AN19" s="1573"/>
      <c r="AO19" s="1574"/>
      <c r="AP19" s="1906"/>
      <c r="AQ19" s="1630" t="s">
        <v>64</v>
      </c>
      <c r="AR19" s="1906"/>
      <c r="AS19" s="1630" t="s">
        <v>64</v>
      </c>
      <c r="BA19" s="1325">
        <v>0</v>
      </c>
    </row>
    <row customHeight="1" ht="14.25" hidden="1">
      <c r="AV20" s="666"/>
      <c r="AW20" s="666"/>
      <c r="AX20" s="666"/>
      <c r="AY20" s="666"/>
      <c r="AZ20" s="666"/>
      <c r="BA20" s="1325">
        <v>0</v>
      </c>
    </row>
    <row customHeight="1" ht="14.25" hidden="1">
      <c r="O21" s="1537" t="s">
        <v>426</v>
      </c>
      <c r="X21" s="1515"/>
      <c r="Z21" s="1515"/>
      <c r="AA21" s="497"/>
      <c r="AP21" s="1515"/>
      <c r="AR21" s="1515"/>
      <c r="AS21" s="497"/>
      <c r="AV21" s="666"/>
      <c r="AW21" s="666"/>
      <c r="AX21" s="666"/>
      <c r="AY21" s="666"/>
      <c r="AZ21" s="666"/>
      <c r="BA21" s="1325">
        <v>0</v>
      </c>
    </row>
    <row customHeight="1" ht="14.25" hidden="1">
      <c r="AA22" s="497"/>
      <c r="AS22" s="497"/>
      <c r="AV22" s="666"/>
      <c r="AW22" s="666"/>
      <c r="AX22" s="666"/>
      <c r="AY22" s="666"/>
      <c r="AZ22" s="666"/>
      <c r="BA22" s="1325">
        <v>0</v>
      </c>
    </row>
    <row s="14271" customFormat="1" customHeight="1" ht="14.25" hidden="1">
      <c r="M23" s="1678"/>
      <c r="N23" s="1678"/>
      <c r="O23" s="1679" t="s">
        <v>427</v>
      </c>
      <c r="P23" s="1678"/>
      <c r="Q23" s="1680"/>
      <c r="R23" s="1680"/>
      <c r="Y23" s="1677" t="s">
        <v>429</v>
      </c>
      <c r="AA23" s="1677" t="s">
        <v>430</v>
      </c>
      <c r="AB23" s="1677" t="s">
        <v>482</v>
      </c>
      <c r="AE23" s="1677" t="s">
        <v>483</v>
      </c>
      <c r="AF23" s="1677" t="s">
        <v>482</v>
      </c>
      <c r="AI23" s="1677" t="s">
        <v>484</v>
      </c>
      <c r="AJ23" s="1677" t="s">
        <v>482</v>
      </c>
      <c r="AM23" s="1677" t="s">
        <v>485</v>
      </c>
      <c r="AQ23" s="1677" t="s">
        <v>429</v>
      </c>
      <c r="AS23" s="1677" t="s">
        <v>430</v>
      </c>
      <c r="AV23" s="1681"/>
      <c r="AW23" s="1681"/>
      <c r="AX23" s="1681"/>
      <c r="AY23" s="1681"/>
      <c r="AZ23" s="1681"/>
      <c r="BA23" s="1677">
        <v>0</v>
      </c>
    </row>
    <row customHeight="1" ht="14.25" hidden="1">
      <c r="O24" s="1534"/>
      <c r="AV24" s="666"/>
      <c r="AW24" s="666"/>
      <c r="AX24" s="666"/>
      <c r="AY24" s="666"/>
      <c r="AZ24" s="666"/>
      <c r="BA24" s="1325">
        <v>0</v>
      </c>
    </row>
    <row customHeight="1" ht="14.25" hidden="1">
      <c r="O25" s="1534"/>
      <c r="AV25" s="666"/>
      <c r="AW25" s="666"/>
      <c r="AX25" s="666"/>
      <c r="AY25" s="666"/>
      <c r="AZ25" s="666"/>
      <c r="BA25" s="1325">
        <v>0</v>
      </c>
    </row>
    <row customHeight="1" ht="14.699999999999998">
      <c r="Q26" s="461"/>
      <c r="R26" s="546"/>
      <c r="S26" s="1445"/>
      <c r="T26" s="533"/>
      <c r="U26" s="533"/>
      <c r="V26" s="679"/>
      <c r="W26" s="679"/>
      <c r="X26" s="679"/>
      <c r="Y26" s="679"/>
      <c r="Z26" s="679"/>
      <c r="AA26" s="679"/>
      <c r="AB26" s="679"/>
      <c r="AC26" s="679"/>
      <c r="AD26" s="679"/>
      <c r="AE26" s="679"/>
      <c r="AF26" s="679"/>
      <c r="AG26" s="679"/>
      <c r="AH26" s="679"/>
      <c r="AI26" s="679"/>
      <c r="AJ26" s="679"/>
      <c r="AK26" s="679"/>
      <c r="AL26" s="679"/>
      <c r="AM26" s="679"/>
      <c r="AN26" s="679"/>
      <c r="AO26" s="679"/>
      <c r="AP26" s="679"/>
      <c r="AQ26" s="679"/>
      <c r="AR26" s="679"/>
      <c r="AS26" s="679"/>
      <c r="BA26" s="1325">
        <v>14</v>
      </c>
    </row>
    <row customHeight="1" ht="27.299999999999997">
      <c r="Q27" s="461"/>
      <c r="R27" s="546"/>
      <c r="S27" s="241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418"/>
      <c r="U27" s="2418"/>
      <c r="V27" s="2418"/>
      <c r="W27" s="2418"/>
      <c r="X27" s="2418"/>
      <c r="Y27" s="2418"/>
      <c r="Z27" s="2418"/>
      <c r="AA27" s="2418"/>
      <c r="AB27" s="2418"/>
      <c r="AC27" s="2418"/>
      <c r="AD27" s="2418"/>
      <c r="AE27" s="2418"/>
      <c r="AF27" s="2418"/>
      <c r="AG27" s="2418"/>
      <c r="AH27" s="2418"/>
      <c r="AI27" s="2418"/>
      <c r="AJ27" s="2418"/>
      <c r="AK27" s="2418"/>
      <c r="AL27" s="2418"/>
      <c r="AM27" s="2418"/>
      <c r="AN27" s="2418"/>
      <c r="AO27" s="2418"/>
      <c r="AP27" s="2418"/>
      <c r="AQ27" s="2418"/>
      <c r="AR27" s="2418"/>
      <c r="AS27" s="1413"/>
      <c r="BA27" s="1325">
        <v>26</v>
      </c>
    </row>
    <row customHeight="1" ht="14.699999999999998">
      <c r="Q28" s="461"/>
      <c r="R28" s="546"/>
      <c r="S28" s="2419" t="str">
        <f>IF(org=0,"Не определено",org)</f>
        <v>Филиал "Шатурская ГРЭС" ПАО "Юнипро"</v>
      </c>
      <c r="T28" s="2419"/>
      <c r="U28" s="2419"/>
      <c r="V28" s="2419"/>
      <c r="W28" s="2419"/>
      <c r="X28" s="2419"/>
      <c r="Y28" s="2419"/>
      <c r="Z28" s="2419"/>
      <c r="AA28" s="2419"/>
      <c r="AB28" s="2419"/>
      <c r="AC28" s="2419"/>
      <c r="AD28" s="2419"/>
      <c r="AE28" s="2419"/>
      <c r="AF28" s="2419"/>
      <c r="AG28" s="2419"/>
      <c r="AH28" s="2419"/>
      <c r="AI28" s="2419"/>
      <c r="AJ28" s="2419"/>
      <c r="AK28" s="2419"/>
      <c r="AL28" s="2419"/>
      <c r="AM28" s="2419"/>
      <c r="AN28" s="2419"/>
      <c r="AO28" s="2419"/>
      <c r="AP28" s="2419"/>
      <c r="AQ28" s="2419"/>
      <c r="AR28" s="2419"/>
      <c r="AS28" s="1413"/>
      <c r="BA28" s="1325">
        <v>14</v>
      </c>
    </row>
    <row customHeight="1" ht="14.25">
      <c r="Q29" s="461"/>
      <c r="R29" s="546"/>
      <c r="S29" s="1445"/>
      <c r="T29" s="533"/>
      <c r="U29" s="533"/>
      <c r="V29" s="492"/>
      <c r="W29" s="492"/>
      <c r="X29" s="492"/>
      <c r="Y29" s="492"/>
      <c r="Z29" s="492"/>
      <c r="AA29" s="492"/>
      <c r="AB29" s="492"/>
      <c r="AC29" s="492"/>
      <c r="AD29" s="492"/>
      <c r="AE29" s="492"/>
      <c r="AF29" s="492"/>
      <c r="AG29" s="492"/>
      <c r="AH29" s="492"/>
      <c r="AI29" s="492"/>
      <c r="AJ29" s="492"/>
      <c r="AK29" s="492"/>
      <c r="AL29" s="492"/>
      <c r="AM29" s="492"/>
      <c r="AN29" s="492"/>
      <c r="AO29" s="492"/>
      <c r="AP29" s="492"/>
      <c r="AQ29" s="492"/>
      <c r="AR29" s="492"/>
      <c r="AS29" s="492"/>
      <c r="AT29" s="679"/>
      <c r="BA29" s="1325">
        <v>0</v>
      </c>
    </row>
    <row s="12119" customFormat="1" customHeight="1" ht="15">
      <c r="A30" s="1538"/>
      <c r="B30" s="1538"/>
      <c r="C30" s="1538"/>
      <c r="D30" s="1538"/>
      <c r="E30" s="1538"/>
      <c r="F30" s="1538"/>
      <c r="G30" s="1538"/>
      <c r="H30" s="1538"/>
      <c r="I30" s="1538"/>
      <c r="J30" s="1538"/>
      <c r="K30" s="1538"/>
      <c r="L30" s="1539"/>
      <c r="M30" s="1538"/>
      <c r="N30" s="1538"/>
      <c r="O30" s="1538"/>
      <c r="P30" s="1538"/>
      <c r="Q30" s="1538"/>
      <c r="S30" s="2420" t="s">
        <v>42</v>
      </c>
      <c r="T30" s="2420"/>
      <c r="U30" s="1542"/>
      <c r="V30" s="2421" t="str">
        <f>IF(TITLE_NAME_OR_PR_CHANGE="",IF(TITLE_NAME_OR_PR="","",TITLE_NAME_OR_PR),TITLE_NAME_OR_PR_CHANGE)</f>
        <v>Комитет по ценам и тарифам Московской области</v>
      </c>
      <c r="W30" s="2421"/>
      <c r="X30" s="2421"/>
      <c r="Y30" s="2421"/>
      <c r="Z30" s="2421"/>
      <c r="AA30" s="496"/>
      <c r="AB30" s="2421" t="str">
        <f>IF(TITLE_NAME_OR_PR_CHANGE="",IF(TITLE_NAME_OR_PR="","",TITLE_NAME_OR_PR),TITLE_NAME_OR_PR_CHANGE)</f>
        <v>Комитет по ценам и тарифам Московской области</v>
      </c>
      <c r="AC30" s="2421"/>
      <c r="AD30" s="2421"/>
      <c r="AE30" s="2421"/>
      <c r="AF30" s="2421"/>
      <c r="AG30" s="2421"/>
      <c r="AH30" s="2421"/>
      <c r="AI30" s="2421"/>
      <c r="AJ30" s="2421"/>
      <c r="AK30" s="2421"/>
      <c r="AL30" s="2421"/>
      <c r="AM30" s="2421"/>
      <c r="AN30" s="2421"/>
      <c r="AO30" s="2421"/>
      <c r="AP30" s="2421"/>
      <c r="AQ30" s="2421"/>
      <c r="AR30" s="2421"/>
      <c r="AS30" s="496"/>
      <c r="AT30" s="496"/>
      <c r="AU30" s="450"/>
      <c r="AV30" s="538"/>
      <c r="AW30" s="538"/>
      <c r="AX30" s="538"/>
      <c r="AY30" s="538"/>
      <c r="AZ30" s="538"/>
      <c r="BA30" s="588">
        <v>0</v>
      </c>
    </row>
    <row s="12119" customFormat="1" customHeight="1" ht="15">
      <c r="A31" s="1538"/>
      <c r="B31" s="1538"/>
      <c r="C31" s="1538"/>
      <c r="D31" s="1538"/>
      <c r="E31" s="1538"/>
      <c r="F31" s="1538"/>
      <c r="G31" s="1538"/>
      <c r="H31" s="1538"/>
      <c r="I31" s="1538"/>
      <c r="J31" s="1538"/>
      <c r="K31" s="1538"/>
      <c r="L31" s="1539"/>
      <c r="M31" s="1538"/>
      <c r="N31" s="1538"/>
      <c r="O31" s="1538"/>
      <c r="P31" s="1538"/>
      <c r="Q31" s="1538"/>
      <c r="S31" s="2420" t="s">
        <v>432</v>
      </c>
      <c r="T31" s="2420"/>
      <c r="U31" s="1542"/>
      <c r="V31" s="2434" t="str">
        <f>IF(TITLE_DATE_PR_CHANGE="",IF(TITLE_DATE_PR="","",TITLE_DATE_PR),TITLE_DATE_PR_CHANGE)</f>
        <v>45646.459814814814</v>
      </c>
      <c r="W31" s="2434"/>
      <c r="X31" s="2434"/>
      <c r="Y31" s="2434"/>
      <c r="Z31" s="2434"/>
      <c r="AA31" s="496"/>
      <c r="AB31" s="2434" t="str">
        <f>IF(TITLE_DATE_PR_CHANGE="",IF(TITLE_DATE_PR="","",TITLE_DATE_PR),TITLE_DATE_PR_CHANGE)</f>
        <v>45646.459814814814</v>
      </c>
      <c r="AC31" s="2434"/>
      <c r="AD31" s="2434"/>
      <c r="AE31" s="2434"/>
      <c r="AF31" s="2434"/>
      <c r="AG31" s="2434"/>
      <c r="AH31" s="2434"/>
      <c r="AI31" s="2434"/>
      <c r="AJ31" s="2434"/>
      <c r="AK31" s="2434"/>
      <c r="AL31" s="2434"/>
      <c r="AM31" s="2434"/>
      <c r="AN31" s="2434"/>
      <c r="AO31" s="2434"/>
      <c r="AP31" s="2434"/>
      <c r="AQ31" s="2434"/>
      <c r="AR31" s="2434"/>
      <c r="AS31" s="496"/>
      <c r="AT31" s="496"/>
      <c r="AU31" s="450"/>
      <c r="AV31" s="538"/>
      <c r="AW31" s="538"/>
      <c r="AX31" s="538"/>
      <c r="AY31" s="538"/>
      <c r="AZ31" s="538"/>
      <c r="BA31" s="588">
        <v>0</v>
      </c>
    </row>
    <row s="12119" customFormat="1" customHeight="1" ht="15">
      <c r="A32" s="1538"/>
      <c r="B32" s="1538"/>
      <c r="C32" s="1538"/>
      <c r="D32" s="1538"/>
      <c r="E32" s="1538"/>
      <c r="F32" s="1538"/>
      <c r="G32" s="1538"/>
      <c r="H32" s="1538"/>
      <c r="I32" s="1538"/>
      <c r="J32" s="1538"/>
      <c r="K32" s="1538"/>
      <c r="L32" s="1539"/>
      <c r="M32" s="1538"/>
      <c r="N32" s="1538"/>
      <c r="O32" s="1538"/>
      <c r="P32" s="1538"/>
      <c r="Q32" s="1538"/>
      <c r="S32" s="2420" t="s">
        <v>433</v>
      </c>
      <c r="T32" s="2420"/>
      <c r="U32" s="1542"/>
      <c r="V32" s="2421" t="str">
        <f>IF(TITLE_NUMBER_PR_CHANGE="",IF(TITLE_NUMBER_PR="","",TITLE_NUMBER_PR),TITLE_NUMBER_PR_CHANGE)</f>
        <v>329-Р</v>
      </c>
      <c r="W32" s="2421"/>
      <c r="X32" s="2421"/>
      <c r="Y32" s="2421"/>
      <c r="Z32" s="2421"/>
      <c r="AA32" s="496"/>
      <c r="AB32" s="2421" t="str">
        <f>IF(TITLE_NUMBER_PR_CHANGE="",IF(TITLE_NUMBER_PR="","",TITLE_NUMBER_PR),TITLE_NUMBER_PR_CHANGE)</f>
        <v>329-Р</v>
      </c>
      <c r="AC32" s="2421"/>
      <c r="AD32" s="2421"/>
      <c r="AE32" s="2421"/>
      <c r="AF32" s="2421"/>
      <c r="AG32" s="2421"/>
      <c r="AH32" s="2421"/>
      <c r="AI32" s="2421"/>
      <c r="AJ32" s="2421"/>
      <c r="AK32" s="2421"/>
      <c r="AL32" s="2421"/>
      <c r="AM32" s="2421"/>
      <c r="AN32" s="2421"/>
      <c r="AO32" s="2421"/>
      <c r="AP32" s="2421"/>
      <c r="AQ32" s="2421"/>
      <c r="AR32" s="2421"/>
      <c r="AS32" s="496"/>
      <c r="AT32" s="496"/>
      <c r="AU32" s="450"/>
      <c r="AV32" s="538"/>
      <c r="AW32" s="538"/>
      <c r="AX32" s="538"/>
      <c r="AY32" s="538"/>
      <c r="AZ32" s="538"/>
      <c r="BA32" s="588">
        <v>0</v>
      </c>
    </row>
    <row s="12119" customFormat="1" customHeight="1" ht="15">
      <c r="A33" s="1538"/>
      <c r="B33" s="1538"/>
      <c r="C33" s="1538"/>
      <c r="D33" s="1538"/>
      <c r="E33" s="1538"/>
      <c r="F33" s="1538"/>
      <c r="G33" s="1538"/>
      <c r="H33" s="1538"/>
      <c r="I33" s="1538"/>
      <c r="J33" s="1538"/>
      <c r="K33" s="1538"/>
      <c r="L33" s="1539"/>
      <c r="M33" s="1538"/>
      <c r="N33" s="1538"/>
      <c r="O33" s="1538"/>
      <c r="P33" s="1538"/>
      <c r="Q33" s="1538"/>
      <c r="S33" s="2420" t="s">
        <v>44</v>
      </c>
      <c r="T33" s="2420"/>
      <c r="U33" s="1542"/>
      <c r="V33"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3" s="2421"/>
      <c r="X33" s="2421"/>
      <c r="Y33" s="2421"/>
      <c r="Z33" s="2421"/>
      <c r="AA33" s="496"/>
      <c r="AB33"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C33" s="2421"/>
      <c r="AD33" s="2421"/>
      <c r="AE33" s="2421"/>
      <c r="AF33" s="2421"/>
      <c r="AG33" s="2421"/>
      <c r="AH33" s="2421"/>
      <c r="AI33" s="2421"/>
      <c r="AJ33" s="2421"/>
      <c r="AK33" s="2421"/>
      <c r="AL33" s="2421"/>
      <c r="AM33" s="2421"/>
      <c r="AN33" s="2421"/>
      <c r="AO33" s="2421"/>
      <c r="AP33" s="2421"/>
      <c r="AQ33" s="2421"/>
      <c r="AR33" s="2421"/>
      <c r="AS33" s="496"/>
      <c r="AT33" s="496"/>
      <c r="AU33" s="450"/>
      <c r="AV33" s="538"/>
      <c r="AW33" s="538"/>
      <c r="AX33" s="538"/>
      <c r="AY33" s="538"/>
      <c r="AZ33" s="538"/>
      <c r="BA33" s="588">
        <v>0</v>
      </c>
    </row>
    <row customHeight="1" ht="14.25" hidden="1">
      <c r="Q34" s="461"/>
      <c r="R34" s="546"/>
      <c r="S34" s="1445"/>
      <c r="T34" s="533"/>
      <c r="U34" s="533"/>
      <c r="V34" s="492"/>
      <c r="W34" s="492"/>
      <c r="X34" s="492"/>
      <c r="Y34" s="492"/>
      <c r="Z34" s="492"/>
      <c r="AA34" s="492"/>
      <c r="AB34" s="492"/>
      <c r="AC34" s="492"/>
      <c r="AD34" s="492"/>
      <c r="AE34" s="492"/>
      <c r="AF34" s="492"/>
      <c r="AG34" s="492"/>
      <c r="AH34" s="492"/>
      <c r="AI34" s="492"/>
      <c r="AJ34" s="492"/>
      <c r="AK34" s="492"/>
      <c r="AL34" s="492"/>
      <c r="AM34" s="492"/>
      <c r="AN34" s="492"/>
      <c r="AO34" s="492"/>
      <c r="AP34" s="492"/>
      <c r="AQ34" s="492"/>
      <c r="AR34" s="492"/>
      <c r="AS34" s="492"/>
      <c r="AT34" s="679"/>
      <c r="BA34" s="1325">
        <v>0</v>
      </c>
    </row>
    <row s="12119" customFormat="1" customHeight="1" ht="18.75" hidden="1">
      <c r="A35" s="1538"/>
      <c r="B35" s="1538"/>
      <c r="C35" s="1538"/>
      <c r="D35" s="1538"/>
      <c r="E35" s="1538"/>
      <c r="F35" s="1538"/>
      <c r="G35" s="1538"/>
      <c r="H35" s="1538"/>
      <c r="I35" s="1538"/>
      <c r="J35" s="1538"/>
      <c r="K35" s="1538"/>
      <c r="L35" s="1539"/>
      <c r="M35" s="1538"/>
      <c r="N35" s="1538"/>
      <c r="O35" s="1538"/>
      <c r="P35" s="1538"/>
      <c r="Q35" s="1538"/>
      <c r="S35" s="2420" t="s">
        <v>432</v>
      </c>
      <c r="T35" s="2420"/>
      <c r="U35" s="1542"/>
      <c r="V35" s="2434" t="str">
        <f>IF(TITLE_DATE_PR_CHANGE="",IF(TITLE_DATE_PR="","",TITLE_DATE_PR),TITLE_DATE_PR_CHANGE)</f>
        <v>45646.459814814814</v>
      </c>
      <c r="W35" s="2434"/>
      <c r="X35" s="2434"/>
      <c r="Y35" s="2434"/>
      <c r="Z35" s="2434"/>
      <c r="AA35" s="496"/>
      <c r="AB35" s="2434" t="str">
        <f>IF(TITLE_DATE_PR_CHANGE="",IF(TITLE_DATE_PR="","",TITLE_DATE_PR),TITLE_DATE_PR_CHANGE)</f>
        <v>45646.459814814814</v>
      </c>
      <c r="AC35" s="2434"/>
      <c r="AD35" s="2434"/>
      <c r="AE35" s="2434"/>
      <c r="AF35" s="2434"/>
      <c r="AG35" s="2434"/>
      <c r="AH35" s="2434"/>
      <c r="AI35" s="2434"/>
      <c r="AJ35" s="2434"/>
      <c r="AK35" s="2434"/>
      <c r="AL35" s="2434"/>
      <c r="AM35" s="2434"/>
      <c r="AN35" s="2434"/>
      <c r="AO35" s="2434"/>
      <c r="AP35" s="2434"/>
      <c r="AQ35" s="2434"/>
      <c r="AR35" s="2434"/>
      <c r="AS35" s="496"/>
      <c r="AT35" s="496"/>
      <c r="AU35" s="450"/>
      <c r="AV35" s="538"/>
      <c r="AW35" s="538"/>
      <c r="AX35" s="538"/>
      <c r="AY35" s="538"/>
      <c r="AZ35" s="538"/>
      <c r="BA35" s="588">
        <v>0</v>
      </c>
    </row>
    <row s="12119" customFormat="1" customHeight="1" ht="18" hidden="1">
      <c r="A36" s="1538"/>
      <c r="B36" s="1538"/>
      <c r="C36" s="1538"/>
      <c r="D36" s="1538"/>
      <c r="E36" s="1538"/>
      <c r="F36" s="1538"/>
      <c r="G36" s="1538"/>
      <c r="H36" s="1538"/>
      <c r="I36" s="1538"/>
      <c r="J36" s="1538"/>
      <c r="K36" s="1538"/>
      <c r="L36" s="1539"/>
      <c r="M36" s="1538"/>
      <c r="N36" s="1538"/>
      <c r="O36" s="1538"/>
      <c r="P36" s="1538"/>
      <c r="Q36" s="1538"/>
      <c r="S36" s="2420" t="s">
        <v>433</v>
      </c>
      <c r="T36" s="2420"/>
      <c r="U36" s="1542"/>
      <c r="V36" s="2421" t="str">
        <f>IF(TITLE_NUMBER_PR_CHANGE="",IF(TITLE_NUMBER_PR="","",TITLE_NUMBER_PR),TITLE_NUMBER_PR_CHANGE)</f>
        <v>329-Р</v>
      </c>
      <c r="W36" s="2421"/>
      <c r="X36" s="2421"/>
      <c r="Y36" s="2421"/>
      <c r="Z36" s="2421"/>
      <c r="AA36" s="496"/>
      <c r="AB36" s="2421" t="str">
        <f>IF(TITLE_NUMBER_PR_CHANGE="",IF(TITLE_NUMBER_PR="","",TITLE_NUMBER_PR),TITLE_NUMBER_PR_CHANGE)</f>
        <v>329-Р</v>
      </c>
      <c r="AC36" s="2421"/>
      <c r="AD36" s="2421"/>
      <c r="AE36" s="2421"/>
      <c r="AF36" s="2421"/>
      <c r="AG36" s="2421"/>
      <c r="AH36" s="2421"/>
      <c r="AI36" s="2421"/>
      <c r="AJ36" s="2421"/>
      <c r="AK36" s="2421"/>
      <c r="AL36" s="2421"/>
      <c r="AM36" s="2421"/>
      <c r="AN36" s="2421"/>
      <c r="AO36" s="2421"/>
      <c r="AP36" s="2421"/>
      <c r="AQ36" s="2421"/>
      <c r="AR36" s="2421"/>
      <c r="AS36" s="496"/>
      <c r="AT36" s="496"/>
      <c r="AU36" s="450"/>
      <c r="AV36" s="538"/>
      <c r="AW36" s="538"/>
      <c r="AX36" s="538"/>
      <c r="AY36" s="538"/>
      <c r="AZ36" s="538"/>
      <c r="BA36" s="588">
        <v>0</v>
      </c>
    </row>
    <row s="12119" customFormat="1" customHeight="1" ht="1.05">
      <c r="A37" s="1538"/>
      <c r="B37" s="1538"/>
      <c r="C37" s="1538"/>
      <c r="D37" s="1538"/>
      <c r="E37" s="1538"/>
      <c r="F37" s="1538"/>
      <c r="G37" s="1538"/>
      <c r="H37" s="1538"/>
      <c r="I37" s="1538"/>
      <c r="J37" s="1538"/>
      <c r="K37" s="1538"/>
      <c r="L37" s="1539"/>
      <c r="M37" s="1538"/>
      <c r="N37" s="1538"/>
      <c r="O37" s="1538"/>
      <c r="P37" s="1538"/>
      <c r="Q37" s="1538"/>
      <c r="S37" s="493"/>
      <c r="T37" s="493"/>
      <c r="U37" s="1510"/>
      <c r="V37" s="496"/>
      <c r="W37" s="496"/>
      <c r="X37" s="496"/>
      <c r="Y37" s="496"/>
      <c r="Z37" s="496"/>
      <c r="AA37" s="448" t="s">
        <v>436</v>
      </c>
      <c r="AB37" s="496"/>
      <c r="AC37" s="496"/>
      <c r="AD37" s="496"/>
      <c r="AE37" s="496"/>
      <c r="AF37" s="496"/>
      <c r="AG37" s="496"/>
      <c r="AH37" s="496"/>
      <c r="AI37" s="496"/>
      <c r="AJ37" s="496"/>
      <c r="AK37" s="496"/>
      <c r="AL37" s="496"/>
      <c r="AM37" s="496"/>
      <c r="AN37" s="496"/>
      <c r="AO37" s="496"/>
      <c r="AP37" s="496"/>
      <c r="AQ37" s="496"/>
      <c r="AR37" s="496"/>
      <c r="AS37" s="448" t="s">
        <v>436</v>
      </c>
      <c r="AV37" s="538"/>
      <c r="AW37" s="538"/>
      <c r="AX37" s="538"/>
      <c r="AY37" s="538"/>
      <c r="AZ37" s="538"/>
      <c r="BA37" s="588">
        <v>1</v>
      </c>
    </row>
    <row customHeight="1" ht="14.699999999999998">
      <c r="Q38" s="461"/>
      <c r="R38" s="546"/>
      <c r="S38" s="1445"/>
      <c r="T38" s="533"/>
      <c r="U38" s="1414"/>
      <c r="V38" s="2422"/>
      <c r="W38" s="2422"/>
      <c r="X38" s="2422"/>
      <c r="Y38" s="2422"/>
      <c r="Z38" s="2422"/>
      <c r="AA38" s="2422"/>
      <c r="AB38" s="2422"/>
      <c r="AC38" s="2422"/>
      <c r="AD38" s="2422"/>
      <c r="AE38" s="2422"/>
      <c r="AF38" s="2422"/>
      <c r="AG38" s="2422"/>
      <c r="AH38" s="2422"/>
      <c r="AI38" s="2422"/>
      <c r="AJ38" s="2422"/>
      <c r="AK38" s="2422"/>
      <c r="AL38" s="2422"/>
      <c r="AM38" s="2422"/>
      <c r="AN38" s="2422"/>
      <c r="AO38" s="2422"/>
      <c r="AP38" s="2422"/>
      <c r="AQ38" s="2422"/>
      <c r="AR38" s="2422"/>
      <c r="AS38" s="2422"/>
      <c r="BA38" s="1325">
        <v>14</v>
      </c>
    </row>
    <row customHeight="1" ht="14.699999999999998">
      <c r="Q39" s="461"/>
      <c r="R39" s="546"/>
      <c r="S39" s="2297" t="s">
        <v>312</v>
      </c>
      <c r="T39" s="2297"/>
      <c r="U39" s="2297"/>
      <c r="V39" s="2297"/>
      <c r="W39" s="2297"/>
      <c r="X39" s="2297"/>
      <c r="Y39" s="2297"/>
      <c r="Z39" s="2297"/>
      <c r="AA39" s="2297"/>
      <c r="AB39" s="2345"/>
      <c r="AC39" s="2345"/>
      <c r="AD39" s="2345"/>
      <c r="AE39" s="2345"/>
      <c r="AF39" s="2297"/>
      <c r="AG39" s="2297"/>
      <c r="AH39" s="2297"/>
      <c r="AI39" s="2297"/>
      <c r="AJ39" s="2297"/>
      <c r="AK39" s="2297"/>
      <c r="AL39" s="2297"/>
      <c r="AM39" s="2297"/>
      <c r="AN39" s="2297"/>
      <c r="AO39" s="2297"/>
      <c r="AP39" s="2297"/>
      <c r="AQ39" s="2297"/>
      <c r="AR39" s="2297"/>
      <c r="AS39" s="2297"/>
      <c r="AT39" s="2297"/>
      <c r="AU39" s="2297" t="s">
        <v>313</v>
      </c>
      <c r="BA39" s="1325">
        <v>14</v>
      </c>
    </row>
    <row customHeight="1" ht="14.699999999999998">
      <c r="Q40" s="461"/>
      <c r="R40" s="546"/>
      <c r="S40" s="2443" t="s">
        <v>91</v>
      </c>
      <c r="T40" s="2379" t="s">
        <v>486</v>
      </c>
      <c r="U40" s="471"/>
      <c r="V40" s="2445"/>
      <c r="W40" s="2445"/>
      <c r="X40" s="2445"/>
      <c r="Y40" s="2445"/>
      <c r="Z40" s="2446"/>
      <c r="AA40" s="2506" t="s">
        <v>440</v>
      </c>
      <c r="AB40" s="2498" t="s">
        <v>487</v>
      </c>
      <c r="AC40" s="2461"/>
      <c r="AD40" s="2461"/>
      <c r="AE40" s="2499"/>
      <c r="AF40" s="2461" t="s">
        <v>488</v>
      </c>
      <c r="AG40" s="2461"/>
      <c r="AH40" s="2461"/>
      <c r="AI40" s="2499"/>
      <c r="AJ40" s="2498" t="s">
        <v>489</v>
      </c>
      <c r="AK40" s="2461"/>
      <c r="AL40" s="2461"/>
      <c r="AM40" s="2499"/>
      <c r="AN40" s="2498" t="s">
        <v>439</v>
      </c>
      <c r="AO40" s="2461"/>
      <c r="AP40" s="2445"/>
      <c r="AQ40" s="2445"/>
      <c r="AR40" s="2446"/>
      <c r="AS40" s="2447" t="s">
        <v>440</v>
      </c>
      <c r="AT40" s="2450" t="s">
        <v>442</v>
      </c>
      <c r="AU40" s="2297"/>
      <c r="BA40" s="1325">
        <v>14</v>
      </c>
    </row>
    <row customHeight="1" ht="35.699999999999996">
      <c r="Q41" s="461"/>
      <c r="R41" s="546"/>
      <c r="S41" s="2443"/>
      <c r="T41" s="2379"/>
      <c r="U41" s="1201"/>
      <c r="V41" s="2297" t="s">
        <v>490</v>
      </c>
      <c r="W41" s="2297"/>
      <c r="X41" s="2464" t="s">
        <v>446</v>
      </c>
      <c r="Y41" s="2483"/>
      <c r="Z41" s="2484"/>
      <c r="AA41" s="2507"/>
      <c r="AB41" s="2500"/>
      <c r="AC41" s="2501"/>
      <c r="AD41" s="2501"/>
      <c r="AE41" s="2502"/>
      <c r="AF41" s="2501"/>
      <c r="AG41" s="2501"/>
      <c r="AH41" s="2501"/>
      <c r="AI41" s="2502"/>
      <c r="AJ41" s="2500"/>
      <c r="AK41" s="2501"/>
      <c r="AL41" s="2501"/>
      <c r="AM41" s="2501"/>
      <c r="AN41" s="2297" t="s">
        <v>490</v>
      </c>
      <c r="AO41" s="2297"/>
      <c r="AP41" s="2483" t="s">
        <v>446</v>
      </c>
      <c r="AQ41" s="2483"/>
      <c r="AR41" s="2484"/>
      <c r="AS41" s="2448"/>
      <c r="AT41" s="2451"/>
      <c r="AU41" s="2297"/>
      <c r="BA41" s="1325">
        <v>34</v>
      </c>
    </row>
    <row customHeight="1" ht="19.5">
      <c r="Q42" s="461"/>
      <c r="R42" s="546"/>
      <c r="S42" s="2443"/>
      <c r="T42" s="2379"/>
      <c r="U42" s="1201"/>
      <c r="V42" s="2510" t="str">
        <f>IF($AN$42&lt;&gt;"",$AN$42,"")</f>
        <v>тыс.руб./Гкал/ч</v>
      </c>
      <c r="W42" s="2510"/>
      <c r="X42" s="2465"/>
      <c r="Y42" s="2485"/>
      <c r="Z42" s="2486"/>
      <c r="AA42" s="2507"/>
      <c r="AB42" s="2500"/>
      <c r="AC42" s="2501"/>
      <c r="AD42" s="2501"/>
      <c r="AE42" s="2502"/>
      <c r="AF42" s="2501"/>
      <c r="AG42" s="2501"/>
      <c r="AH42" s="2501"/>
      <c r="AI42" s="2502"/>
      <c r="AJ42" s="2500"/>
      <c r="AK42" s="2501"/>
      <c r="AL42" s="2501"/>
      <c r="AM42" s="2501"/>
      <c r="AN42" s="3955" t="s">
        <v>491</v>
      </c>
      <c r="AO42" s="2509"/>
      <c r="AP42" s="2485"/>
      <c r="AQ42" s="2485"/>
      <c r="AR42" s="2486"/>
      <c r="AS42" s="2448"/>
      <c r="AT42" s="2451"/>
      <c r="AU42" s="2297"/>
      <c r="BA42" s="1325">
        <v>14</v>
      </c>
    </row>
    <row customHeight="1" ht="14.699999999999998">
      <c r="A43" s="1540"/>
      <c r="B43" s="1540" t="s">
        <v>138</v>
      </c>
      <c r="C43" s="1540" t="s">
        <v>139</v>
      </c>
      <c r="D43" s="1540" t="s">
        <v>140</v>
      </c>
      <c r="E43" s="1534" t="s">
        <v>447</v>
      </c>
      <c r="F43" s="1534" t="s">
        <v>448</v>
      </c>
      <c r="G43" s="1534" t="s">
        <v>449</v>
      </c>
      <c r="H43" s="1534" t="s">
        <v>450</v>
      </c>
      <c r="I43" s="1534" t="s">
        <v>451</v>
      </c>
      <c r="J43" s="1534" t="s">
        <v>452</v>
      </c>
      <c r="K43" s="1534" t="s">
        <v>453</v>
      </c>
      <c r="L43" s="1534" t="s">
        <v>427</v>
      </c>
      <c r="Q43" s="461"/>
      <c r="R43" s="546"/>
      <c r="S43" s="2443"/>
      <c r="T43" s="2379"/>
      <c r="U43" s="472"/>
      <c r="V43" s="1500" t="s">
        <v>492</v>
      </c>
      <c r="W43" s="1500" t="s">
        <v>493</v>
      </c>
      <c r="X43" s="1508" t="s">
        <v>456</v>
      </c>
      <c r="Y43" s="2440" t="s">
        <v>457</v>
      </c>
      <c r="Z43" s="2441"/>
      <c r="AA43" s="2508"/>
      <c r="AB43" s="2503"/>
      <c r="AC43" s="2504"/>
      <c r="AD43" s="2504"/>
      <c r="AE43" s="2505"/>
      <c r="AF43" s="2504"/>
      <c r="AG43" s="2504"/>
      <c r="AH43" s="2504"/>
      <c r="AI43" s="2505"/>
      <c r="AJ43" s="2503"/>
      <c r="AK43" s="2504"/>
      <c r="AL43" s="2504"/>
      <c r="AM43" s="2505"/>
      <c r="AN43" s="2030" t="s">
        <v>492</v>
      </c>
      <c r="AO43" s="2030" t="s">
        <v>493</v>
      </c>
      <c r="AP43" s="1508" t="s">
        <v>456</v>
      </c>
      <c r="AQ43" s="2440" t="s">
        <v>457</v>
      </c>
      <c r="AR43" s="2441"/>
      <c r="AS43" s="2449"/>
      <c r="AT43" s="2452"/>
      <c r="AU43" s="2297"/>
      <c r="BA43" s="1325">
        <v>14</v>
      </c>
    </row>
    <row s="12668" customFormat="1" customHeight="1" ht="11.25" hidden="1">
      <c r="A44" s="1540"/>
      <c r="B44" s="1540"/>
      <c r="C44" s="1540"/>
      <c r="D44" s="1540"/>
      <c r="E44" s="1540"/>
      <c r="F44" s="1540"/>
      <c r="G44" s="1540"/>
      <c r="H44" s="1540"/>
      <c r="I44" s="1540"/>
      <c r="J44" s="1540"/>
      <c r="K44" s="1540"/>
      <c r="L44" s="1534"/>
      <c r="M44" s="1532"/>
      <c r="N44" s="1532"/>
      <c r="O44" s="1532"/>
      <c r="P44" s="680"/>
      <c r="Q44" s="1424"/>
      <c r="R44" s="1424">
        <v>1</v>
      </c>
      <c r="S44" s="1447" t="s">
        <v>112</v>
      </c>
      <c r="T44" s="1425" t="s">
        <v>113</v>
      </c>
      <c r="U44" s="1415" t="str">
        <f>OFFSET(U44,0,-1)</f>
        <v>2</v>
      </c>
      <c r="V44" s="1505">
        <f>OFFSET(V44,0,-1)+1</f>
        <v>3</v>
      </c>
      <c r="W44" s="1505">
        <f>OFFSET(W44,0,-1)+1</f>
        <v>4</v>
      </c>
      <c r="X44" s="1505">
        <f>OFFSET(X44,0,-1)+1</f>
        <v>5</v>
      </c>
      <c r="Y44" s="2442">
        <f>OFFSET(Y44,0,-1)+1</f>
        <v>6</v>
      </c>
      <c r="Z44" s="2442"/>
      <c r="AA44" s="1505">
        <f>OFFSET(AA44,0,-2)+1</f>
        <v>7</v>
      </c>
      <c r="AB44" s="1511">
        <f>OFFSET(AB44,0,-1)+1</f>
        <v>8</v>
      </c>
      <c r="AC44" s="1511"/>
      <c r="AD44" s="1511"/>
      <c r="AE44" s="1511"/>
      <c r="AF44" s="1505"/>
      <c r="AG44" s="1505"/>
      <c r="AH44" s="1505"/>
      <c r="AI44" s="1505"/>
      <c r="AJ44" s="1505"/>
      <c r="AK44" s="1505"/>
      <c r="AL44" s="1505"/>
      <c r="AM44" s="1505"/>
      <c r="AN44" s="1505">
        <f>OFFSET(AN44,0,-1)+1</f>
        <v>1</v>
      </c>
      <c r="AO44" s="1505">
        <f>OFFSET(AO44,0,-1)+1</f>
        <v>2</v>
      </c>
      <c r="AP44" s="1505">
        <f>OFFSET(AP44,0,-1)+1</f>
        <v>3</v>
      </c>
      <c r="AQ44" s="2442">
        <f>OFFSET(AQ44,0,-1)+1</f>
        <v>4</v>
      </c>
      <c r="AR44" s="2442"/>
      <c r="AS44" s="1505">
        <f>OFFSET(AS44,0,-2)+1</f>
        <v>5</v>
      </c>
      <c r="AT44" s="1415">
        <f>OFFSET(AT44,0,-1)</f>
        <v>5</v>
      </c>
      <c r="AU44" s="1505">
        <f>OFFSET(AU44,0,-1)+1</f>
        <v>6</v>
      </c>
      <c r="AV44" s="681"/>
      <c r="AW44" s="681"/>
      <c r="AX44" s="681"/>
      <c r="AY44" s="681"/>
      <c r="AZ44" s="681"/>
      <c r="BA44" s="666">
        <v>0</v>
      </c>
    </row>
    <row customHeight="1" ht="107.25">
      <c r="A45" s="1533" t="s">
        <v>212</v>
      </c>
      <c r="B45" s="1533"/>
      <c r="C45" s="1533"/>
      <c r="D45" s="1533"/>
      <c r="E45" s="2428">
        <v>1</v>
      </c>
      <c r="F45" s="1533"/>
      <c r="G45" s="1533"/>
      <c r="H45" s="1533"/>
      <c r="I45" s="1533"/>
      <c r="J45" s="1533"/>
      <c r="K45" s="1533"/>
      <c r="L45" s="1534"/>
      <c r="M45" s="1535"/>
      <c r="N45" s="1535"/>
      <c r="O45" s="1535"/>
      <c r="P45" s="1579"/>
      <c r="Q45" s="1043"/>
      <c r="R45" s="525"/>
      <c r="S45" s="1506">
        <f>INDEX(PT_DIFFERENTIATION_NUM_NTAR,MATCH(A45,PT_DIFFERENTIATION_NTAR_ID,0))</f>
        <v>0</v>
      </c>
      <c r="T45" s="468" t="s">
        <v>126</v>
      </c>
      <c r="U45" s="470"/>
      <c r="V45" s="2413"/>
      <c r="W45" s="2413"/>
      <c r="X45" s="2413"/>
      <c r="Y45" s="2413"/>
      <c r="Z45" s="2413"/>
      <c r="AA45" s="2414"/>
      <c r="AB45" s="2412" t="str">
        <f>INDEX(PT_DIFFERENTIATION_NTAR,MATCH(A45,PT_DIFFERENTIATION_NTAR_ID,0))</f>
        <v/>
      </c>
      <c r="AC45" s="2413"/>
      <c r="AD45" s="2413"/>
      <c r="AE45" s="2413"/>
      <c r="AF45" s="2413"/>
      <c r="AG45" s="2413"/>
      <c r="AH45" s="2413"/>
      <c r="AI45" s="2413"/>
      <c r="AJ45" s="2413"/>
      <c r="AK45" s="2413"/>
      <c r="AL45" s="2413"/>
      <c r="AM45" s="2413"/>
      <c r="AN45" s="2413"/>
      <c r="AO45" s="2413"/>
      <c r="AP45" s="2413"/>
      <c r="AQ45" s="2413"/>
      <c r="AR45" s="2413"/>
      <c r="AS45" s="2413"/>
      <c r="AT45" s="2414"/>
      <c r="AU45" s="142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670"/>
      <c r="AX45" s="670" t="str">
        <f>IF(T45="","",T45)</f>
        <v>Наименование тарифа</v>
      </c>
      <c r="AY45" s="670"/>
      <c r="AZ45" s="670"/>
      <c r="BA45" s="1325">
        <v>102</v>
      </c>
    </row>
    <row customHeight="1" ht="22.049999999999997">
      <c r="A46" s="1533" t="s">
        <v>212</v>
      </c>
      <c r="B46" s="1533" t="s">
        <v>213</v>
      </c>
      <c r="C46" s="1533"/>
      <c r="D46" s="1533"/>
      <c r="E46" s="2429"/>
      <c r="F46" s="2428">
        <v>1</v>
      </c>
      <c r="G46" s="1533"/>
      <c r="H46" s="1533"/>
      <c r="I46" s="1533"/>
      <c r="J46" s="1533"/>
      <c r="K46" s="1533"/>
      <c r="L46" s="1534"/>
      <c r="M46" s="1535"/>
      <c r="N46" s="1535"/>
      <c r="O46" s="1535"/>
      <c r="P46" s="1580"/>
      <c r="Q46" s="1581"/>
      <c r="R46" s="523"/>
      <c r="S46" s="1506" t="str">
        <f>INDEX(PT_DIFFERENTIATION_NUM_TER,MATCH(B46,PT_DIFFERENTIATION_TER_ID,0))</f>
        <v>.</v>
      </c>
      <c r="T46" s="478" t="s">
        <v>409</v>
      </c>
      <c r="U46" s="470"/>
      <c r="V46" s="2413"/>
      <c r="W46" s="2413"/>
      <c r="X46" s="2413"/>
      <c r="Y46" s="2413"/>
      <c r="Z46" s="2413"/>
      <c r="AA46" s="2414"/>
      <c r="AB46" s="2412" t="str">
        <f>INDEX(PT_DIFFERENTIATION_TER,MATCH(B46,PT_DIFFERENTIATION_TER_ID,0))</f>
        <v/>
      </c>
      <c r="AC46" s="2413"/>
      <c r="AD46" s="2413"/>
      <c r="AE46" s="2413"/>
      <c r="AF46" s="2413"/>
      <c r="AG46" s="2413"/>
      <c r="AH46" s="2413"/>
      <c r="AI46" s="2413"/>
      <c r="AJ46" s="2413"/>
      <c r="AK46" s="2413"/>
      <c r="AL46" s="2413"/>
      <c r="AM46" s="2413"/>
      <c r="AN46" s="2413"/>
      <c r="AO46" s="2413"/>
      <c r="AP46" s="2413"/>
      <c r="AQ46" s="2413"/>
      <c r="AR46" s="2413"/>
      <c r="AS46" s="2413"/>
      <c r="AT46" s="2414"/>
      <c r="AU46" s="1428" t="s">
        <v>410</v>
      </c>
      <c r="AW46" s="670"/>
      <c r="AX46" s="670" t="str">
        <f>IF(T46="","",T46)</f>
        <v>Территория действия тарифа</v>
      </c>
      <c r="AY46" s="670"/>
      <c r="AZ46" s="670"/>
      <c r="BA46" s="1325">
        <v>21</v>
      </c>
    </row>
    <row customHeight="1" ht="24">
      <c r="A47" s="1533" t="s">
        <v>212</v>
      </c>
      <c r="B47" s="1533" t="s">
        <v>213</v>
      </c>
      <c r="C47" s="1533" t="s">
        <v>214</v>
      </c>
      <c r="D47" s="1533"/>
      <c r="E47" s="2429"/>
      <c r="F47" s="2429"/>
      <c r="G47" s="2428">
        <v>1</v>
      </c>
      <c r="H47" s="1533"/>
      <c r="I47" s="1533"/>
      <c r="J47" s="1533"/>
      <c r="K47" s="1533"/>
      <c r="L47" s="1534"/>
      <c r="M47" s="1535"/>
      <c r="N47" s="1535"/>
      <c r="O47" s="1535"/>
      <c r="P47" s="1582"/>
      <c r="Q47" s="1581"/>
      <c r="R47" s="523"/>
      <c r="S47" s="1506" t="str">
        <f>INDEX(PT_DIFFERENTIATION_NUM_CS,MATCH(C47,PT_DIFFERENTIATION_CS_ID,0))</f>
        <v>..</v>
      </c>
      <c r="T47" s="479" t="s">
        <v>411</v>
      </c>
      <c r="U47" s="470"/>
      <c r="V47" s="2413"/>
      <c r="W47" s="2413"/>
      <c r="X47" s="2413"/>
      <c r="Y47" s="2413"/>
      <c r="Z47" s="2413"/>
      <c r="AA47" s="2414"/>
      <c r="AB47" s="2412" t="str">
        <f>INDEX(PT_DIFFERENTIATION_CS,MATCH(C47,PT_DIFFERENTIATION_CS_ID,0))</f>
        <v/>
      </c>
      <c r="AC47" s="2413"/>
      <c r="AD47" s="2413"/>
      <c r="AE47" s="2413"/>
      <c r="AF47" s="2413"/>
      <c r="AG47" s="2413"/>
      <c r="AH47" s="2413"/>
      <c r="AI47" s="2413"/>
      <c r="AJ47" s="2413"/>
      <c r="AK47" s="2413"/>
      <c r="AL47" s="2413"/>
      <c r="AM47" s="2413"/>
      <c r="AN47" s="2413"/>
      <c r="AO47" s="2413"/>
      <c r="AP47" s="2413"/>
      <c r="AQ47" s="2413"/>
      <c r="AR47" s="2413"/>
      <c r="AS47" s="2413"/>
      <c r="AT47" s="2414"/>
      <c r="AU47" s="1428" t="s">
        <v>412</v>
      </c>
      <c r="AW47" s="670"/>
      <c r="AX47" s="670" t="str">
        <f>IF(T47="","",T47)</f>
        <v>Наименование системы теплоснабжения </v>
      </c>
      <c r="AY47" s="670"/>
      <c r="AZ47" s="670"/>
      <c r="BA47" s="1325">
        <v>23</v>
      </c>
    </row>
    <row customHeight="1" ht="21">
      <c r="A48" s="1533" t="s">
        <v>212</v>
      </c>
      <c r="B48" s="1533" t="s">
        <v>213</v>
      </c>
      <c r="C48" s="1533" t="s">
        <v>214</v>
      </c>
      <c r="D48" s="1533" t="s">
        <v>215</v>
      </c>
      <c r="E48" s="2429"/>
      <c r="F48" s="2429"/>
      <c r="G48" s="2429"/>
      <c r="H48" s="2428">
        <v>1</v>
      </c>
      <c r="I48" s="1533"/>
      <c r="J48" s="1533"/>
      <c r="K48" s="1533"/>
      <c r="L48" s="1534"/>
      <c r="M48" s="1535"/>
      <c r="N48" s="1535"/>
      <c r="O48" s="1535"/>
      <c r="P48" s="1582"/>
      <c r="Q48" s="1581"/>
      <c r="R48" s="523"/>
      <c r="S48" s="1506" t="str">
        <f>INDEX(PT_DIFFERENTIATION_NUM_IST_TE,MATCH(D48,PT_DIFFERENTIATION_IST_TE_ID,0))</f>
        <v>...</v>
      </c>
      <c r="T48" s="480" t="s">
        <v>413</v>
      </c>
      <c r="U48" s="470"/>
      <c r="V48" s="2413"/>
      <c r="W48" s="2413"/>
      <c r="X48" s="2413"/>
      <c r="Y48" s="2413"/>
      <c r="Z48" s="2413"/>
      <c r="AA48" s="2414"/>
      <c r="AB48" s="2412" t="str">
        <f>INDEX(PT_DIFFERENTIATION_IST_TE,MATCH(D48,PT_DIFFERENTIATION_IST_TE_ID,0))</f>
        <v/>
      </c>
      <c r="AC48" s="2413"/>
      <c r="AD48" s="2413"/>
      <c r="AE48" s="2413"/>
      <c r="AF48" s="2413"/>
      <c r="AG48" s="2413"/>
      <c r="AH48" s="2413"/>
      <c r="AI48" s="2413"/>
      <c r="AJ48" s="2413"/>
      <c r="AK48" s="2413"/>
      <c r="AL48" s="2413"/>
      <c r="AM48" s="2413"/>
      <c r="AN48" s="2413"/>
      <c r="AO48" s="2413"/>
      <c r="AP48" s="2413"/>
      <c r="AQ48" s="2413"/>
      <c r="AR48" s="2413"/>
      <c r="AS48" s="2413"/>
      <c r="AT48" s="2414"/>
      <c r="AU48" s="1428" t="s">
        <v>414</v>
      </c>
      <c r="AW48" s="670"/>
      <c r="AX48" s="670" t="str">
        <f>IF(T48="","",T48)</f>
        <v>Источник тепловой энергии  </v>
      </c>
      <c r="AY48" s="670"/>
      <c r="AZ48" s="670"/>
      <c r="BA48" s="1325">
        <v>20</v>
      </c>
    </row>
    <row s="11993" customFormat="1" customHeight="1" ht="1.05">
      <c r="A49" s="1513" t="s">
        <v>212</v>
      </c>
      <c r="B49" s="1513" t="s">
        <v>213</v>
      </c>
      <c r="C49" s="1513" t="s">
        <v>214</v>
      </c>
      <c r="D49" s="1513" t="s">
        <v>215</v>
      </c>
      <c r="E49" s="2429"/>
      <c r="F49" s="2429"/>
      <c r="G49" s="2429"/>
      <c r="H49" s="2429"/>
      <c r="I49" s="2426" t="str">
        <f>S48&amp;".1"</f>
        <v>....1</v>
      </c>
      <c r="J49" s="1513"/>
      <c r="K49" s="1513"/>
      <c r="L49" s="1516" t="s">
        <v>415</v>
      </c>
      <c r="M49" s="680"/>
      <c r="N49" s="680"/>
      <c r="O49" s="680"/>
      <c r="P49" s="2427">
        <v>1</v>
      </c>
      <c r="Q49" s="1501"/>
      <c r="R49" s="526"/>
      <c r="S49" s="1212"/>
      <c r="T49" s="1553"/>
      <c r="U49" s="1554"/>
      <c r="V49" s="2467"/>
      <c r="W49" s="2467"/>
      <c r="X49" s="2467"/>
      <c r="Y49" s="2467"/>
      <c r="Z49" s="2467"/>
      <c r="AA49" s="2468"/>
      <c r="AB49" s="2466"/>
      <c r="AC49" s="2467"/>
      <c r="AD49" s="2467"/>
      <c r="AE49" s="2467"/>
      <c r="AF49" s="2467"/>
      <c r="AG49" s="2467"/>
      <c r="AH49" s="2467"/>
      <c r="AI49" s="2467"/>
      <c r="AJ49" s="2467"/>
      <c r="AK49" s="2467"/>
      <c r="AL49" s="2467"/>
      <c r="AM49" s="2467"/>
      <c r="AN49" s="2467"/>
      <c r="AO49" s="2467"/>
      <c r="AP49" s="2467"/>
      <c r="AQ49" s="2467"/>
      <c r="AR49" s="2467"/>
      <c r="AS49" s="2467"/>
      <c r="AT49" s="2468"/>
      <c r="AU49" s="1555"/>
      <c r="AW49" s="670"/>
      <c r="AX49" s="670" t="str">
        <f>IF(T49="","",T49)</f>
        <v/>
      </c>
      <c r="AY49" s="670"/>
      <c r="AZ49" s="670"/>
      <c r="BA49" s="681">
        <v>1</v>
      </c>
    </row>
    <row s="11993" customFormat="1" customHeight="1" ht="1.05">
      <c r="A50" s="1513" t="s">
        <v>212</v>
      </c>
      <c r="B50" s="1513" t="s">
        <v>213</v>
      </c>
      <c r="C50" s="1513" t="s">
        <v>214</v>
      </c>
      <c r="D50" s="1513" t="s">
        <v>215</v>
      </c>
      <c r="E50" s="2429"/>
      <c r="F50" s="2429"/>
      <c r="G50" s="2429"/>
      <c r="H50" s="2429"/>
      <c r="I50" s="2456"/>
      <c r="J50" s="2426" t="str">
        <f>S48&amp;".1"</f>
        <v>....1</v>
      </c>
      <c r="K50" s="1513"/>
      <c r="L50" s="1516"/>
      <c r="M50" s="680"/>
      <c r="N50" s="680"/>
      <c r="O50" s="680"/>
      <c r="P50" s="2427"/>
      <c r="Q50" s="2427">
        <v>1</v>
      </c>
      <c r="R50" s="527"/>
      <c r="S50" s="1212"/>
      <c r="T50" s="1569"/>
      <c r="U50" s="1554"/>
      <c r="V50" s="2467"/>
      <c r="W50" s="2467"/>
      <c r="X50" s="2467"/>
      <c r="Y50" s="2467"/>
      <c r="Z50" s="2467"/>
      <c r="AA50" s="2468"/>
      <c r="AB50" s="2466"/>
      <c r="AC50" s="2467"/>
      <c r="AD50" s="2467"/>
      <c r="AE50" s="2467"/>
      <c r="AF50" s="2467"/>
      <c r="AG50" s="2467"/>
      <c r="AH50" s="2467"/>
      <c r="AI50" s="2467"/>
      <c r="AJ50" s="2467"/>
      <c r="AK50" s="2467"/>
      <c r="AL50" s="2467"/>
      <c r="AM50" s="2467"/>
      <c r="AN50" s="2467"/>
      <c r="AO50" s="2467"/>
      <c r="AP50" s="2467"/>
      <c r="AQ50" s="2467"/>
      <c r="AR50" s="2467"/>
      <c r="AS50" s="2467"/>
      <c r="AT50" s="2468"/>
      <c r="AU50" s="1555"/>
      <c r="AW50" s="670"/>
      <c r="AX50" s="670" t="str">
        <f>IF(T50="","",T50)</f>
        <v/>
      </c>
      <c r="AY50" s="670"/>
      <c r="AZ50" s="670"/>
      <c r="BA50" s="681">
        <v>1</v>
      </c>
    </row>
    <row customHeight="1" ht="22.049999999999997">
      <c r="A51" s="1533" t="s">
        <v>212</v>
      </c>
      <c r="B51" s="1533" t="s">
        <v>213</v>
      </c>
      <c r="C51" s="1533" t="s">
        <v>214</v>
      </c>
      <c r="D51" s="1533" t="s">
        <v>215</v>
      </c>
      <c r="E51" s="2429"/>
      <c r="F51" s="2429"/>
      <c r="G51" s="2429"/>
      <c r="H51" s="2429"/>
      <c r="I51" s="2456"/>
      <c r="J51" s="2456"/>
      <c r="K51" s="2426" t="str">
        <f>S48&amp;".1"</f>
        <v>....1</v>
      </c>
      <c r="L51" s="1534"/>
      <c r="P51" s="2427"/>
      <c r="Q51" s="2427"/>
      <c r="R51" s="527">
        <v>1</v>
      </c>
      <c r="S51" s="2511" t="str">
        <f>$K51</f>
        <v>....1</v>
      </c>
      <c r="T51" s="2514" t="s">
        <v>494</v>
      </c>
      <c r="U51" s="470"/>
      <c r="V51" s="921"/>
      <c r="W51" s="1427"/>
      <c r="X51" s="1904"/>
      <c r="Y51" s="1629" t="s">
        <v>64</v>
      </c>
      <c r="Z51" s="1904"/>
      <c r="AA51" s="1629" t="s">
        <v>64</v>
      </c>
      <c r="AB51" s="2277" t="s">
        <v>19</v>
      </c>
      <c r="AC51" s="2496"/>
      <c r="AD51" s="2375">
        <v>1</v>
      </c>
      <c r="AE51" s="2518" t="s">
        <v>28</v>
      </c>
      <c r="AF51" s="2277" t="s">
        <v>19</v>
      </c>
      <c r="AG51" s="2496"/>
      <c r="AH51" s="2375">
        <v>1</v>
      </c>
      <c r="AI51" s="2518" t="s">
        <v>28</v>
      </c>
      <c r="AJ51" s="2277" t="s">
        <v>19</v>
      </c>
      <c r="AK51" s="481"/>
      <c r="AL51" s="1507">
        <v>1</v>
      </c>
      <c r="AM51" s="1572"/>
      <c r="AN51" s="921">
        <f>AO51*1.2</f>
        <v>51.756</v>
      </c>
      <c r="AO51" s="1427">
        <v>43.13</v>
      </c>
      <c r="AP51" s="3965">
        <v>45658.47084490741</v>
      </c>
      <c r="AQ51" s="1629" t="s">
        <v>64</v>
      </c>
      <c r="AR51" s="3965">
        <v>46022.470671296294</v>
      </c>
      <c r="AS51" s="1629" t="s">
        <v>64</v>
      </c>
      <c r="AT51" s="1518"/>
      <c r="AU51" s="2423" t="s">
        <v>495</v>
      </c>
      <c r="AV51" s="681">
        <f>STRCHECKDATE(V54:AT54)</f>
      </c>
      <c r="AW51" s="670"/>
      <c r="AX51" s="670" t="str">
        <f>IF(T51="","",T51)</f>
        <v>Плата за подключение к системе теплоснабжения</v>
      </c>
      <c r="AY51" s="670"/>
      <c r="AZ51" s="670"/>
      <c r="BA51" s="1325">
        <v>21</v>
      </c>
    </row>
    <row customHeight="1" ht="11.549999999999999">
      <c r="A52" s="1533" t="s">
        <v>212</v>
      </c>
      <c r="B52" s="1533"/>
      <c r="C52" s="1533"/>
      <c r="D52" s="1533"/>
      <c r="E52" s="2429"/>
      <c r="F52" s="2429"/>
      <c r="G52" s="2429"/>
      <c r="H52" s="2429"/>
      <c r="I52" s="2456"/>
      <c r="J52" s="2456"/>
      <c r="K52" s="2426"/>
      <c r="L52" s="1534"/>
      <c r="P52" s="2427"/>
      <c r="Q52" s="2427"/>
      <c r="R52" s="527"/>
      <c r="S52" s="2512"/>
      <c r="T52" s="2515"/>
      <c r="U52" s="470"/>
      <c r="V52" s="1563"/>
      <c r="W52" s="1666"/>
      <c r="X52" s="1563"/>
      <c r="Y52" s="1563"/>
      <c r="Z52" s="1563"/>
      <c r="AA52" s="1563"/>
      <c r="AB52" s="2277"/>
      <c r="AC52" s="2496"/>
      <c r="AD52" s="2375"/>
      <c r="AE52" s="2518"/>
      <c r="AF52" s="2277"/>
      <c r="AG52" s="2496"/>
      <c r="AH52" s="2375"/>
      <c r="AI52" s="2518"/>
      <c r="AJ52" s="2277"/>
      <c r="AK52" s="486"/>
      <c r="AL52" s="586"/>
      <c r="AM52" s="585" t="s">
        <v>478</v>
      </c>
      <c r="AN52" s="1563"/>
      <c r="AO52" s="1666"/>
      <c r="AP52" s="1563"/>
      <c r="AQ52" s="1563"/>
      <c r="AR52" s="1563"/>
      <c r="AS52" s="1563"/>
      <c r="AT52" s="1560"/>
      <c r="AU52" s="2424"/>
      <c r="AW52" s="670"/>
      <c r="AX52" s="670"/>
      <c r="AY52" s="670"/>
      <c r="AZ52" s="670"/>
      <c r="BA52" s="1325">
        <v>11</v>
      </c>
    </row>
    <row customHeight="1" ht="11.549999999999999">
      <c r="A53" s="1533" t="s">
        <v>212</v>
      </c>
      <c r="B53" s="1533"/>
      <c r="C53" s="1533"/>
      <c r="D53" s="1533"/>
      <c r="E53" s="2429"/>
      <c r="F53" s="2429"/>
      <c r="G53" s="2429"/>
      <c r="H53" s="2429"/>
      <c r="I53" s="2456"/>
      <c r="J53" s="2456"/>
      <c r="K53" s="2426"/>
      <c r="L53" s="1534"/>
      <c r="P53" s="2427"/>
      <c r="Q53" s="2427"/>
      <c r="R53" s="527"/>
      <c r="S53" s="2512"/>
      <c r="T53" s="2515"/>
      <c r="U53" s="470"/>
      <c r="V53" s="1563"/>
      <c r="W53" s="1666"/>
      <c r="X53" s="1563"/>
      <c r="Y53" s="1563"/>
      <c r="Z53" s="1563"/>
      <c r="AA53" s="1563"/>
      <c r="AB53" s="2277"/>
      <c r="AC53" s="2496"/>
      <c r="AD53" s="2375"/>
      <c r="AE53" s="2518"/>
      <c r="AF53" s="2277"/>
      <c r="AG53" s="464"/>
      <c r="AH53" s="585"/>
      <c r="AI53" s="585" t="s">
        <v>479</v>
      </c>
      <c r="AJ53" s="1563"/>
      <c r="AK53" s="1563"/>
      <c r="AL53" s="1563"/>
      <c r="AM53" s="1563"/>
      <c r="AN53" s="1563"/>
      <c r="AO53" s="1666"/>
      <c r="AP53" s="1563"/>
      <c r="AQ53" s="1563"/>
      <c r="AR53" s="1563"/>
      <c r="AS53" s="1563"/>
      <c r="AT53" s="1560"/>
      <c r="AU53" s="2424"/>
      <c r="AW53" s="670"/>
      <c r="AX53" s="670"/>
      <c r="AY53" s="670"/>
      <c r="AZ53" s="670"/>
      <c r="BA53" s="1325">
        <v>11</v>
      </c>
    </row>
    <row customHeight="1" ht="11.549999999999999">
      <c r="A54" s="1533" t="s">
        <v>212</v>
      </c>
      <c r="B54" s="1533" t="s">
        <v>213</v>
      </c>
      <c r="C54" s="1533" t="s">
        <v>214</v>
      </c>
      <c r="D54" s="1533" t="s">
        <v>215</v>
      </c>
      <c r="E54" s="2429"/>
      <c r="F54" s="2429"/>
      <c r="G54" s="2429"/>
      <c r="H54" s="2429"/>
      <c r="I54" s="2456"/>
      <c r="J54" s="2456"/>
      <c r="K54" s="2426"/>
      <c r="L54" s="1534"/>
      <c r="P54" s="2427"/>
      <c r="Q54" s="2427"/>
      <c r="R54" s="527"/>
      <c r="S54" s="2513"/>
      <c r="T54" s="2516"/>
      <c r="U54" s="470"/>
      <c r="V54" s="1563"/>
      <c r="W54" s="1564" t="str">
        <f>X51&amp;"-"&amp;Z51</f>
        <v>-</v>
      </c>
      <c r="X54" s="1563"/>
      <c r="Y54" s="1563"/>
      <c r="Z54" s="1563"/>
      <c r="AA54" s="1563"/>
      <c r="AB54" s="2277"/>
      <c r="AC54" s="482"/>
      <c r="AD54" s="484"/>
      <c r="AE54" s="585" t="s">
        <v>480</v>
      </c>
      <c r="AF54" s="1563"/>
      <c r="AG54" s="1563"/>
      <c r="AH54" s="1563"/>
      <c r="AI54" s="1563"/>
      <c r="AJ54" s="1563"/>
      <c r="AK54" s="1563"/>
      <c r="AL54" s="1563"/>
      <c r="AM54" s="1563"/>
      <c r="AN54" s="1563"/>
      <c r="AO54" s="1564" t="str">
        <f>AP51&amp;"-"&amp;AR51</f>
        <v>45658.47084490741-46022.470671296294</v>
      </c>
      <c r="AP54" s="1563"/>
      <c r="AQ54" s="1563"/>
      <c r="AR54" s="1563"/>
      <c r="AS54" s="1563"/>
      <c r="AT54" s="1519"/>
      <c r="AU54" s="2424"/>
      <c r="AW54" s="670"/>
      <c r="AX54" s="670" t="str">
        <f>IF(T54="","",T54)</f>
        <v/>
      </c>
      <c r="AY54" s="670"/>
      <c r="AZ54" s="670"/>
      <c r="BA54" s="1325">
        <v>11</v>
      </c>
    </row>
    <row customHeight="1" ht="11.549999999999999">
      <c r="A55" s="1533" t="s">
        <v>212</v>
      </c>
      <c r="B55" s="1533" t="s">
        <v>213</v>
      </c>
      <c r="C55" s="1533" t="s">
        <v>214</v>
      </c>
      <c r="D55" s="1533" t="s">
        <v>215</v>
      </c>
      <c r="E55" s="2429"/>
      <c r="F55" s="2429"/>
      <c r="G55" s="2429"/>
      <c r="H55" s="2429"/>
      <c r="I55" s="2456"/>
      <c r="J55" s="2426"/>
      <c r="K55" s="1533"/>
      <c r="L55" s="1534"/>
      <c r="P55" s="2427"/>
      <c r="Q55" s="2427"/>
      <c r="R55" s="526"/>
      <c r="S55" s="1448"/>
      <c r="T55" s="457" t="s">
        <v>481</v>
      </c>
      <c r="U55" s="537"/>
      <c r="V55" s="537"/>
      <c r="W55" s="537"/>
      <c r="X55" s="537"/>
      <c r="Y55" s="537"/>
      <c r="Z55" s="537"/>
      <c r="AA55" s="494"/>
      <c r="AB55" s="1675"/>
      <c r="AC55" s="537"/>
      <c r="AD55" s="537"/>
      <c r="AE55" s="537"/>
      <c r="AF55" s="537"/>
      <c r="AG55" s="537"/>
      <c r="AH55" s="537"/>
      <c r="AI55" s="537"/>
      <c r="AJ55" s="537"/>
      <c r="AK55" s="537"/>
      <c r="AL55" s="537"/>
      <c r="AM55" s="537"/>
      <c r="AN55" s="537"/>
      <c r="AO55" s="537"/>
      <c r="AP55" s="537"/>
      <c r="AQ55" s="537"/>
      <c r="AR55" s="537"/>
      <c r="AS55" s="537"/>
      <c r="AT55" s="494"/>
      <c r="AU55" s="2425"/>
      <c r="AW55" s="670"/>
      <c r="AX55" s="670" t="str">
        <f>IF(T55="","",T55)</f>
        <v>Добавить строку</v>
      </c>
      <c r="AY55" s="670"/>
      <c r="AZ55" s="670"/>
      <c r="BA55" s="1325">
        <v>11</v>
      </c>
    </row>
    <row s="11993" customFormat="1" customHeight="1" ht="1.05">
      <c r="A56" s="1513" t="s">
        <v>212</v>
      </c>
      <c r="B56" s="1513" t="s">
        <v>213</v>
      </c>
      <c r="C56" s="1513" t="s">
        <v>214</v>
      </c>
      <c r="D56" s="1513" t="s">
        <v>215</v>
      </c>
      <c r="E56" s="2429"/>
      <c r="F56" s="2429"/>
      <c r="G56" s="2429"/>
      <c r="H56" s="2429"/>
      <c r="I56" s="2426"/>
      <c r="J56" s="1513"/>
      <c r="K56" s="1513"/>
      <c r="L56" s="1516"/>
      <c r="M56" s="680"/>
      <c r="N56" s="680"/>
      <c r="O56" s="680"/>
      <c r="P56" s="2427"/>
      <c r="Q56" s="1501"/>
      <c r="R56" s="526"/>
      <c r="S56" s="1556"/>
      <c r="T56" s="1557" t="s">
        <v>424</v>
      </c>
      <c r="U56" s="1558"/>
      <c r="V56" s="1558"/>
      <c r="W56" s="1558"/>
      <c r="X56" s="1558"/>
      <c r="Y56" s="1558"/>
      <c r="Z56" s="1558"/>
      <c r="AA56" s="1558"/>
      <c r="AB56" s="1558"/>
      <c r="AC56" s="1558"/>
      <c r="AD56" s="1558"/>
      <c r="AE56" s="1558"/>
      <c r="AF56" s="1558"/>
      <c r="AG56" s="1558"/>
      <c r="AH56" s="1558"/>
      <c r="AI56" s="1558"/>
      <c r="AJ56" s="1558"/>
      <c r="AK56" s="1558"/>
      <c r="AL56" s="1558"/>
      <c r="AM56" s="1558"/>
      <c r="AN56" s="1558"/>
      <c r="AO56" s="1558"/>
      <c r="AP56" s="1558"/>
      <c r="AQ56" s="1558"/>
      <c r="AR56" s="1558"/>
      <c r="AS56" s="1558"/>
      <c r="AT56" s="1558"/>
      <c r="AU56" s="1559"/>
      <c r="AW56" s="670"/>
      <c r="AX56" s="670" t="str">
        <f>IF(T56="","",T56)</f>
        <v>Добавить группу потребителей</v>
      </c>
      <c r="AY56" s="670"/>
      <c r="AZ56" s="670"/>
      <c r="BA56" s="681">
        <v>1</v>
      </c>
    </row>
    <row s="12668" customFormat="1" customHeight="1" ht="1.05">
      <c r="A57" s="1513" t="s">
        <v>212</v>
      </c>
      <c r="B57" s="1513" t="s">
        <v>213</v>
      </c>
      <c r="C57" s="1513" t="s">
        <v>214</v>
      </c>
      <c r="D57" s="1513" t="s">
        <v>215</v>
      </c>
      <c r="E57" s="2429"/>
      <c r="F57" s="2429"/>
      <c r="G57" s="2429"/>
      <c r="H57" s="2428"/>
      <c r="I57" s="1513"/>
      <c r="J57" s="1513"/>
      <c r="K57" s="1513"/>
      <c r="L57" s="1516"/>
      <c r="M57" s="1485"/>
      <c r="N57" s="1485"/>
      <c r="O57" s="688"/>
      <c r="P57" s="550"/>
      <c r="Q57" s="1514"/>
      <c r="R57" s="1570"/>
      <c r="S57" s="1556"/>
      <c r="T57" s="1557"/>
      <c r="U57" s="1558"/>
      <c r="V57" s="1558"/>
      <c r="W57" s="1558"/>
      <c r="X57" s="1558"/>
      <c r="Y57" s="1558"/>
      <c r="Z57" s="1558"/>
      <c r="AA57" s="1558"/>
      <c r="AB57" s="1558"/>
      <c r="AC57" s="1558"/>
      <c r="AD57" s="1558"/>
      <c r="AE57" s="1558"/>
      <c r="AF57" s="1558"/>
      <c r="AG57" s="1558"/>
      <c r="AH57" s="1558"/>
      <c r="AI57" s="1558"/>
      <c r="AJ57" s="1558"/>
      <c r="AK57" s="1558"/>
      <c r="AL57" s="1558"/>
      <c r="AM57" s="1558"/>
      <c r="AN57" s="1558"/>
      <c r="AO57" s="1558"/>
      <c r="AP57" s="1558"/>
      <c r="AQ57" s="1558"/>
      <c r="AR57" s="1558"/>
      <c r="AS57" s="1558"/>
      <c r="AT57" s="1558"/>
      <c r="AU57" s="1559"/>
      <c r="AV57" s="681"/>
      <c r="AW57" s="670"/>
      <c r="AX57" s="670" t="str">
        <f>IF(T57="","",T57)</f>
        <v/>
      </c>
      <c r="AY57" s="670"/>
      <c r="AZ57" s="670"/>
      <c r="BA57" s="666">
        <v>1</v>
      </c>
    </row>
    <row s="11993" customFormat="1" customHeight="1" ht="1.05">
      <c r="A58" s="1513" t="s">
        <v>212</v>
      </c>
      <c r="B58" s="1513" t="s">
        <v>213</v>
      </c>
      <c r="C58" s="1513" t="s">
        <v>214</v>
      </c>
      <c r="D58" s="1484"/>
      <c r="E58" s="2429"/>
      <c r="F58" s="2429"/>
      <c r="G58" s="2428"/>
      <c r="H58" s="1484"/>
      <c r="I58" s="1484"/>
      <c r="J58" s="1484"/>
      <c r="K58" s="1484"/>
      <c r="L58" s="1509"/>
      <c r="M58" s="1485"/>
      <c r="N58" s="1485"/>
      <c r="P58" s="1486"/>
      <c r="Q58" s="1487"/>
      <c r="R58" s="1486"/>
      <c r="S58" s="1492"/>
      <c r="T58" s="1495" t="s">
        <v>165</v>
      </c>
      <c r="U58" s="1494"/>
      <c r="V58" s="1494"/>
      <c r="W58" s="1494"/>
      <c r="X58" s="1494"/>
      <c r="Y58" s="1494"/>
      <c r="Z58" s="1494"/>
      <c r="AA58" s="1494"/>
      <c r="AB58" s="1494"/>
      <c r="AC58" s="1494"/>
      <c r="AD58" s="1494"/>
      <c r="AE58" s="1494"/>
      <c r="AF58" s="1494"/>
      <c r="AG58" s="1494"/>
      <c r="AH58" s="1494"/>
      <c r="AI58" s="1494"/>
      <c r="AJ58" s="1494"/>
      <c r="AK58" s="1494"/>
      <c r="AL58" s="1494"/>
      <c r="AM58" s="1494"/>
      <c r="AN58" s="1494"/>
      <c r="AO58" s="1494"/>
      <c r="AP58" s="1494"/>
      <c r="AQ58" s="1494"/>
      <c r="AR58" s="1494"/>
      <c r="AS58" s="1494"/>
      <c r="AT58" s="1494"/>
      <c r="AU58" s="1494"/>
      <c r="AW58" s="959"/>
      <c r="AX58" s="959" t="str">
        <f>IF(T58="","",T58)</f>
        <v>Добавить источник для дифференциации</v>
      </c>
      <c r="AY58" s="959"/>
      <c r="AZ58" s="959"/>
      <c r="BA58" s="688">
        <v>1</v>
      </c>
    </row>
    <row s="11993" customFormat="1" customHeight="1" ht="1.05">
      <c r="A59" s="1513" t="s">
        <v>212</v>
      </c>
      <c r="B59" s="1513" t="s">
        <v>213</v>
      </c>
      <c r="C59" s="1484"/>
      <c r="D59" s="1484"/>
      <c r="E59" s="2429"/>
      <c r="F59" s="2428"/>
      <c r="G59" s="1484"/>
      <c r="H59" s="1484"/>
      <c r="I59" s="1484"/>
      <c r="J59" s="1484"/>
      <c r="K59" s="1484"/>
      <c r="L59" s="1509"/>
      <c r="M59" s="1491"/>
      <c r="N59" s="1491"/>
      <c r="P59" s="1486"/>
      <c r="Q59" s="1487"/>
      <c r="R59" s="1486"/>
      <c r="S59" s="1492"/>
      <c r="T59" s="1495" t="s">
        <v>166</v>
      </c>
      <c r="U59" s="1494"/>
      <c r="V59" s="1494"/>
      <c r="W59" s="1494"/>
      <c r="X59" s="1494"/>
      <c r="Y59" s="1494"/>
      <c r="Z59" s="1494"/>
      <c r="AA59" s="1494"/>
      <c r="AB59" s="1494"/>
      <c r="AC59" s="1494"/>
      <c r="AD59" s="1494"/>
      <c r="AE59" s="1494"/>
      <c r="AF59" s="1494"/>
      <c r="AG59" s="1494"/>
      <c r="AH59" s="1494"/>
      <c r="AI59" s="1494"/>
      <c r="AJ59" s="1494"/>
      <c r="AK59" s="1494"/>
      <c r="AL59" s="1494"/>
      <c r="AM59" s="1494"/>
      <c r="AN59" s="1494"/>
      <c r="AO59" s="1494"/>
      <c r="AP59" s="1494"/>
      <c r="AQ59" s="1494"/>
      <c r="AR59" s="1494"/>
      <c r="AS59" s="1494"/>
      <c r="AT59" s="1494"/>
      <c r="AU59" s="1494"/>
      <c r="AW59" s="959"/>
      <c r="AX59" s="959" t="str">
        <f>IF(T59="","",T59)</f>
        <v>Добавить централизованную систему для дифференциации</v>
      </c>
      <c r="AY59" s="959"/>
      <c r="AZ59" s="959"/>
      <c r="BA59" s="688">
        <v>1</v>
      </c>
    </row>
    <row s="11993" customFormat="1" customHeight="1" ht="1.05">
      <c r="A60" s="1513" t="s">
        <v>212</v>
      </c>
      <c r="B60" s="1513"/>
      <c r="C60" s="1513"/>
      <c r="D60" s="1513"/>
      <c r="E60" s="2429"/>
      <c r="F60" s="1513"/>
      <c r="G60" s="1513"/>
      <c r="H60" s="1513"/>
      <c r="I60" s="1513"/>
      <c r="J60" s="1513"/>
      <c r="K60" s="1513"/>
      <c r="L60" s="1516"/>
      <c r="M60" s="1491"/>
      <c r="N60" s="1491"/>
      <c r="O60" s="688"/>
      <c r="P60" s="550"/>
      <c r="Q60" s="1514"/>
      <c r="R60" s="550"/>
      <c r="S60" s="1492"/>
      <c r="T60" s="1495" t="s">
        <v>167</v>
      </c>
      <c r="U60" s="1494"/>
      <c r="V60" s="1494"/>
      <c r="W60" s="1494"/>
      <c r="X60" s="1494"/>
      <c r="Y60" s="1494"/>
      <c r="Z60" s="1494"/>
      <c r="AA60" s="1494"/>
      <c r="AB60" s="1494"/>
      <c r="AC60" s="1494"/>
      <c r="AD60" s="1494"/>
      <c r="AE60" s="1494"/>
      <c r="AF60" s="1494"/>
      <c r="AG60" s="1494"/>
      <c r="AH60" s="1494"/>
      <c r="AI60" s="1494"/>
      <c r="AJ60" s="1494"/>
      <c r="AK60" s="1494"/>
      <c r="AL60" s="1494"/>
      <c r="AM60" s="1494"/>
      <c r="AN60" s="1494"/>
      <c r="AO60" s="1494"/>
      <c r="AP60" s="1494"/>
      <c r="AQ60" s="1494"/>
      <c r="AR60" s="1494"/>
      <c r="AS60" s="1494"/>
      <c r="AT60" s="1494"/>
      <c r="AU60" s="1494"/>
      <c r="AW60" s="670"/>
      <c r="AX60" s="670" t="str">
        <f>IF(T60="","",T60)</f>
        <v>Добавить территорию для дифференциации</v>
      </c>
      <c r="AY60" s="670"/>
      <c r="AZ60" s="670"/>
      <c r="BA60" s="681">
        <v>1</v>
      </c>
    </row>
    <row s="11993" customFormat="1" customHeight="1" ht="1.05">
      <c r="A61" s="1513" t="s">
        <v>212</v>
      </c>
      <c r="B61" s="1513"/>
      <c r="C61" s="1513"/>
      <c r="D61" s="1513"/>
      <c r="E61" s="2428"/>
      <c r="F61" s="1513"/>
      <c r="G61" s="1513"/>
      <c r="H61" s="1513"/>
      <c r="I61" s="1513"/>
      <c r="J61" s="1513"/>
      <c r="K61" s="1513"/>
      <c r="L61" s="1516"/>
      <c r="M61" s="1491"/>
      <c r="N61" s="1491"/>
      <c r="O61" s="688"/>
      <c r="P61" s="550"/>
      <c r="Q61" s="1514"/>
      <c r="R61" s="550"/>
      <c r="S61" s="1492"/>
      <c r="T61" s="1495" t="s">
        <v>167</v>
      </c>
      <c r="U61" s="1494"/>
      <c r="V61" s="1494"/>
      <c r="W61" s="1494"/>
      <c r="X61" s="1494"/>
      <c r="Y61" s="1494"/>
      <c r="Z61" s="1494"/>
      <c r="AA61" s="1494"/>
      <c r="AB61" s="1494"/>
      <c r="AC61" s="1494"/>
      <c r="AD61" s="1494"/>
      <c r="AE61" s="1494"/>
      <c r="AF61" s="1494"/>
      <c r="AG61" s="1494"/>
      <c r="AH61" s="1494"/>
      <c r="AI61" s="1494"/>
      <c r="AJ61" s="1494"/>
      <c r="AK61" s="1494"/>
      <c r="AL61" s="1494"/>
      <c r="AM61" s="1494"/>
      <c r="AN61" s="1494"/>
      <c r="AO61" s="1494"/>
      <c r="AP61" s="1494"/>
      <c r="AQ61" s="1494"/>
      <c r="AR61" s="1494"/>
      <c r="AS61" s="1494"/>
      <c r="AT61" s="1494"/>
      <c r="AU61" s="1494"/>
      <c r="AW61" s="670"/>
      <c r="AX61" s="670" t="str">
        <f>IF(T61="","",T61)</f>
        <v>Добавить территорию для дифференциации</v>
      </c>
      <c r="AY61" s="670"/>
      <c r="AZ61" s="670"/>
      <c r="BA61" s="681">
        <v>1</v>
      </c>
    </row>
    <row s="11993" customFormat="1" customHeight="1" ht="1.05">
      <c r="A62" s="1484"/>
      <c r="B62" s="1484"/>
      <c r="C62" s="1484"/>
      <c r="D62" s="1484"/>
      <c r="E62" s="1513"/>
      <c r="F62" s="1484"/>
      <c r="G62" s="1484"/>
      <c r="H62" s="1484"/>
      <c r="I62" s="1484"/>
      <c r="J62" s="1484"/>
      <c r="K62" s="1484"/>
      <c r="L62" s="1509"/>
      <c r="M62" s="1491"/>
      <c r="N62" s="1491"/>
      <c r="P62" s="1486"/>
      <c r="Q62" s="1487"/>
      <c r="R62" s="1486"/>
      <c r="S62" s="1492"/>
      <c r="T62" s="1495" t="s">
        <v>168</v>
      </c>
      <c r="U62" s="1494"/>
      <c r="V62" s="1494"/>
      <c r="W62" s="1494"/>
      <c r="X62" s="1494"/>
      <c r="Y62" s="1494"/>
      <c r="Z62" s="1494"/>
      <c r="AA62" s="1494"/>
      <c r="AB62" s="1494"/>
      <c r="AC62" s="1494"/>
      <c r="AD62" s="1494"/>
      <c r="AE62" s="1494"/>
      <c r="AF62" s="1494"/>
      <c r="AG62" s="1494"/>
      <c r="AH62" s="1494"/>
      <c r="AI62" s="1494"/>
      <c r="AJ62" s="1494"/>
      <c r="AK62" s="1494"/>
      <c r="AL62" s="1494"/>
      <c r="AM62" s="1494"/>
      <c r="AN62" s="1494"/>
      <c r="AO62" s="1494"/>
      <c r="AP62" s="1494"/>
      <c r="AQ62" s="1494"/>
      <c r="AR62" s="1494"/>
      <c r="AS62" s="1494"/>
      <c r="AT62" s="1494"/>
      <c r="AU62" s="1494"/>
      <c r="AW62" s="959"/>
      <c r="AX62" s="959" t="str">
        <f>IF(T62="","",T62)</f>
        <v>Добавить наименование тарифа</v>
      </c>
      <c r="AY62" s="959"/>
      <c r="AZ62" s="959"/>
      <c r="BA62" s="688">
        <v>1</v>
      </c>
    </row>
    <row customHeight="1" ht="11.549999999999999">
      <c r="M63" s="1330"/>
      <c r="N63" s="1330"/>
      <c r="O63" s="707"/>
      <c r="P63" s="1330"/>
      <c r="Q63" s="1330"/>
      <c r="R63" s="1325"/>
      <c r="S63" s="1325"/>
      <c r="AV63" s="1325"/>
      <c r="AW63" s="1325"/>
      <c r="AX63" s="1325"/>
      <c r="AY63" s="1325"/>
      <c r="AZ63" s="1325"/>
      <c r="BA63" s="1325">
        <v>11</v>
      </c>
    </row>
    <row customHeight="1" ht="19.95">
      <c r="O64" s="707"/>
      <c r="S64" s="1423"/>
      <c r="T64" s="2455"/>
      <c r="U64" s="2455"/>
      <c r="V64" s="2455"/>
      <c r="W64" s="2455"/>
      <c r="X64" s="2455"/>
      <c r="Y64" s="2455"/>
      <c r="Z64" s="2455"/>
      <c r="AA64" s="2455"/>
      <c r="AB64" s="2455"/>
      <c r="AC64" s="2455"/>
      <c r="AD64" s="2455"/>
      <c r="AE64" s="2455"/>
      <c r="AF64" s="2455"/>
      <c r="AG64" s="2455"/>
      <c r="AH64" s="2455"/>
      <c r="AI64" s="2455"/>
      <c r="AJ64" s="2455"/>
      <c r="AK64" s="2455"/>
      <c r="AL64" s="2455"/>
      <c r="AM64" s="2455"/>
      <c r="AN64" s="2455"/>
      <c r="AO64" s="2455"/>
      <c r="AP64" s="2455"/>
      <c r="AQ64" s="2455"/>
      <c r="AR64" s="2455"/>
      <c r="AS64" s="2455"/>
      <c r="AT64" s="2455"/>
      <c r="AU64" s="2455"/>
      <c r="BA64" s="1325">
        <v>19</v>
      </c>
    </row>
    <row customHeight="1" ht="21">
      <c r="O65" s="707"/>
      <c r="T65" s="2455"/>
      <c r="U65" s="2455"/>
      <c r="V65" s="2455"/>
      <c r="W65" s="2455"/>
      <c r="X65" s="2455"/>
      <c r="Y65" s="2455"/>
      <c r="Z65" s="2455"/>
      <c r="AA65" s="2455"/>
      <c r="AB65" s="2455"/>
      <c r="AC65" s="2455"/>
      <c r="AD65" s="2455"/>
      <c r="AE65" s="2455"/>
      <c r="AF65" s="2455"/>
      <c r="AG65" s="2455"/>
      <c r="AH65" s="2455"/>
      <c r="AI65" s="2455"/>
      <c r="AJ65" s="2455"/>
      <c r="AK65" s="2455"/>
      <c r="AL65" s="2455"/>
      <c r="AM65" s="2455"/>
      <c r="AN65" s="2455"/>
      <c r="AO65" s="2455"/>
      <c r="AP65" s="2455"/>
      <c r="AQ65" s="2455"/>
      <c r="AR65" s="2455"/>
      <c r="AS65" s="2455"/>
      <c r="AT65" s="2455"/>
      <c r="AU65" s="2455"/>
      <c r="BA65" s="1325">
        <v>20</v>
      </c>
    </row>
    <row customHeight="1" ht="14.699999999999998">
      <c r="O66" s="707"/>
      <c r="T66" s="1503"/>
      <c r="U66" s="1503"/>
      <c r="V66" s="1503"/>
      <c r="W66" s="1503"/>
      <c r="X66" s="1503"/>
      <c r="Y66" s="1503"/>
      <c r="Z66" s="1503"/>
      <c r="AA66" s="1503"/>
      <c r="AB66" s="1503"/>
      <c r="AC66" s="1503"/>
      <c r="AD66" s="1503"/>
      <c r="AE66" s="1503"/>
      <c r="AF66" s="1503"/>
      <c r="AG66" s="1503"/>
      <c r="AH66" s="1503"/>
      <c r="AI66" s="1503"/>
      <c r="AJ66" s="1503"/>
      <c r="AK66" s="1503"/>
      <c r="AL66" s="1503"/>
      <c r="AM66" s="1503"/>
      <c r="AN66" s="1503"/>
      <c r="AO66" s="1503"/>
      <c r="AP66" s="1503"/>
      <c r="AQ66" s="1503"/>
      <c r="AR66" s="1503"/>
      <c r="AS66" s="1503"/>
      <c r="AT66" s="1503"/>
      <c r="AU66" s="1503"/>
      <c r="BA66" s="1325">
        <v>14</v>
      </c>
    </row>
    <row customHeight="1" ht="19.95">
      <c r="O67" s="707"/>
      <c r="T67" s="2455"/>
      <c r="U67" s="2455"/>
      <c r="V67" s="2455"/>
      <c r="W67" s="2455"/>
      <c r="X67" s="2455"/>
      <c r="Y67" s="2455"/>
      <c r="Z67" s="2455"/>
      <c r="AA67" s="2455"/>
      <c r="AB67" s="2455"/>
      <c r="AC67" s="2455"/>
      <c r="AD67" s="2455"/>
      <c r="AE67" s="2455"/>
      <c r="AF67" s="2455"/>
      <c r="AG67" s="2455"/>
      <c r="AH67" s="2455"/>
      <c r="AI67" s="2455"/>
      <c r="AJ67" s="2455"/>
      <c r="AK67" s="2455"/>
      <c r="AL67" s="2455"/>
      <c r="AM67" s="2455"/>
      <c r="AN67" s="2455"/>
      <c r="AO67" s="2455"/>
      <c r="AP67" s="2455"/>
      <c r="AQ67" s="2455"/>
      <c r="AR67" s="2455"/>
      <c r="AS67" s="2455"/>
      <c r="AT67" s="2455"/>
      <c r="AU67" s="2455"/>
      <c r="BA67" s="1325">
        <v>19</v>
      </c>
    </row>
    <row customHeight="1" ht="16.8">
      <c r="O68" s="707"/>
      <c r="T68" s="2455"/>
      <c r="U68" s="2455"/>
      <c r="V68" s="2455"/>
      <c r="W68" s="2455"/>
      <c r="X68" s="2455"/>
      <c r="Y68" s="2455"/>
      <c r="Z68" s="2455"/>
      <c r="AA68" s="2455"/>
      <c r="AB68" s="2455"/>
      <c r="AC68" s="2455"/>
      <c r="AD68" s="2455"/>
      <c r="AE68" s="2455"/>
      <c r="AF68" s="2455"/>
      <c r="AG68" s="2455"/>
      <c r="AH68" s="2455"/>
      <c r="AI68" s="2455"/>
      <c r="AJ68" s="2455"/>
      <c r="AK68" s="2455"/>
      <c r="AL68" s="2455"/>
      <c r="AM68" s="2455"/>
      <c r="AN68" s="2455"/>
      <c r="AO68" s="2455"/>
      <c r="AP68" s="2455"/>
      <c r="AQ68" s="2455"/>
      <c r="AR68" s="2455"/>
      <c r="AS68" s="2455"/>
      <c r="AT68" s="2455"/>
      <c r="AU68" s="2455"/>
      <c r="BA68" s="1325">
        <v>16</v>
      </c>
    </row>
    <row customHeight="1" ht="14.699999999999998">
      <c r="O69" s="707"/>
      <c r="BA69" s="1325">
        <v>14</v>
      </c>
    </row>
    <row customHeight="1" ht="22.5" hidden="1">
      <c r="A70" s="1330" t="s">
        <v>85</v>
      </c>
      <c r="B70" s="1330">
        <v>0</v>
      </c>
      <c r="C70" s="1330">
        <v>0</v>
      </c>
      <c r="D70" s="1330">
        <v>0</v>
      </c>
      <c r="E70" s="1330">
        <v>0</v>
      </c>
      <c r="F70" s="1330">
        <v>0</v>
      </c>
      <c r="G70" s="1330">
        <v>0</v>
      </c>
      <c r="H70" s="1330">
        <v>0</v>
      </c>
      <c r="I70" s="1330">
        <v>0</v>
      </c>
      <c r="J70" s="1330">
        <v>0</v>
      </c>
      <c r="K70" s="1330">
        <v>0</v>
      </c>
      <c r="L70" s="1499">
        <v>0</v>
      </c>
      <c r="M70" s="1532">
        <v>0</v>
      </c>
      <c r="N70" s="1532">
        <v>0</v>
      </c>
      <c r="O70" s="1532">
        <v>0</v>
      </c>
      <c r="P70" s="1532">
        <v>3</v>
      </c>
      <c r="Q70" s="1541">
        <v>3</v>
      </c>
      <c r="R70" s="514">
        <v>3</v>
      </c>
      <c r="S70" s="751">
        <v>12</v>
      </c>
      <c r="T70" s="1325">
        <v>31</v>
      </c>
      <c r="U70" s="1325">
        <v>0</v>
      </c>
      <c r="V70" s="1325">
        <v>0</v>
      </c>
      <c r="W70" s="1325">
        <v>0</v>
      </c>
      <c r="X70" s="1325">
        <v>0</v>
      </c>
      <c r="Y70" s="1325">
        <v>0</v>
      </c>
      <c r="Z70" s="1325">
        <v>0</v>
      </c>
      <c r="AA70" s="1325">
        <v>0</v>
      </c>
      <c r="AB70" s="1325">
        <v>5</v>
      </c>
      <c r="AC70" s="1325">
        <v>3</v>
      </c>
      <c r="AD70" s="1325">
        <v>3</v>
      </c>
      <c r="AE70" s="1325">
        <v>24</v>
      </c>
      <c r="AF70" s="1325">
        <v>3</v>
      </c>
      <c r="AG70" s="1325">
        <v>3</v>
      </c>
      <c r="AH70" s="1325">
        <v>3</v>
      </c>
      <c r="AI70" s="1325">
        <v>24</v>
      </c>
      <c r="AJ70" s="1325">
        <v>3</v>
      </c>
      <c r="AK70" s="1325">
        <v>3</v>
      </c>
      <c r="AL70" s="1325">
        <v>3</v>
      </c>
      <c r="AM70" s="1325">
        <v>18</v>
      </c>
      <c r="AN70" s="1325">
        <v>21</v>
      </c>
      <c r="AO70" s="1325">
        <v>21</v>
      </c>
      <c r="AP70" s="1325">
        <v>11</v>
      </c>
      <c r="AQ70" s="1325">
        <v>3</v>
      </c>
      <c r="AR70" s="1325">
        <v>11</v>
      </c>
      <c r="AS70" s="1325">
        <v>8</v>
      </c>
      <c r="AT70" s="1325">
        <v>4</v>
      </c>
      <c r="AU70" s="1325">
        <v>115</v>
      </c>
      <c r="AV70" s="681">
        <v>10</v>
      </c>
      <c r="AW70" s="681">
        <v>10</v>
      </c>
      <c r="AX70" s="681">
        <v>10</v>
      </c>
      <c r="AY70" s="681">
        <v>10</v>
      </c>
      <c r="AZ70" s="681">
        <v>10</v>
      </c>
      <c r="BA70" s="132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17CA41-9758-00BD-6D7D-5DD65AD7128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992" width="10.57421875" hidden="1"/>
    <col min="2" max="2" style="11992" width="11.00390625" hidden="1" customWidth="1"/>
    <col min="3" max="3" style="11992" width="10.57421875" hidden="1"/>
    <col min="4" max="4" style="11992" width="11.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4.140625" hidden="1" customWidth="1"/>
    <col min="10" max="10" style="11992" width="9.8515625" hidden="1" customWidth="1"/>
    <col min="11" max="11" style="11992" width="14.7109375" hidden="1" customWidth="1"/>
    <col min="12" max="12" style="13388" width="19.140625" hidden="1" customWidth="1"/>
    <col min="13" max="14" style="13389" width="12.28125" hidden="1" customWidth="1"/>
    <col min="15" max="15" style="13389" width="23.421875" hidden="1" customWidth="1"/>
    <col min="16" max="16" style="13390" width="3.00390625" customWidth="1"/>
    <col min="17" max="18" style="13391" width="3.00390625" customWidth="1"/>
    <col min="19" max="19" style="13392" width="12.00390625" customWidth="1"/>
    <col min="20" max="20" style="11913" width="35.00390625" customWidth="1"/>
    <col min="21" max="21" style="11913" width="0.140625" customWidth="1"/>
    <col min="22" max="24" style="11913" width="24.7109375" hidden="1" customWidth="1"/>
    <col min="25" max="25" style="11913" width="11.7109375" hidden="1" customWidth="1"/>
    <col min="26" max="26" style="11913" width="3.7109375" hidden="1" customWidth="1"/>
    <col min="27" max="27" style="11913" width="11.7109375" hidden="1" customWidth="1"/>
    <col min="28" max="28" style="11913" width="8.57421875" hidden="1" customWidth="1"/>
    <col min="29" max="29" style="11913" width="24.7109375" customWidth="1"/>
    <col min="30" max="31" style="11913" width="24.00390625" customWidth="1"/>
    <col min="32" max="32" style="11913" width="11.00390625" customWidth="1"/>
    <col min="33" max="33" style="11913" width="3.7109375" customWidth="1"/>
    <col min="34" max="34" style="11913" width="11.00390625" customWidth="1"/>
    <col min="35" max="35" style="11913" width="8.57421875" hidden="1" customWidth="1"/>
    <col min="36" max="36" style="11913" width="4.00390625" customWidth="1"/>
    <col min="37" max="37" style="11913" width="115.00390625" customWidth="1"/>
    <col min="38" max="42" style="11993" width="10.00390625" customWidth="1"/>
    <col min="43" max="43" style="11913" width="10.57421875" hidden="1"/>
  </cols>
  <sheetData>
    <row customHeight="1" ht="22.5" hidden="1">
      <c r="X1" s="497"/>
      <c r="Y1" s="497"/>
      <c r="AE1" s="497"/>
      <c r="AF1" s="497"/>
      <c r="AQ1" s="1325" t="s">
        <v>14</v>
      </c>
    </row>
    <row customHeight="1" ht="23.25" hidden="1">
      <c r="A2" s="1533"/>
      <c r="B2" s="1533"/>
      <c r="C2" s="1533"/>
      <c r="D2" s="1533"/>
      <c r="E2" s="2428">
        <v>1</v>
      </c>
      <c r="F2" s="1533"/>
      <c r="G2" s="1533"/>
      <c r="H2" s="1533"/>
      <c r="I2" s="1533"/>
      <c r="J2" s="1533"/>
      <c r="K2" s="1533"/>
      <c r="L2" s="1534"/>
      <c r="M2" s="1535"/>
      <c r="N2" s="1535"/>
      <c r="O2" s="1535"/>
      <c r="P2" s="531"/>
      <c r="Q2" s="530"/>
      <c r="R2" s="525"/>
      <c r="S2" s="1595">
        <f>INDEX(PT_DIFFERENTIATION_NUM_NTAR,MATCH(A2,PT_DIFFERENTIATION_NTAR_ID,0))</f>
      </c>
      <c r="T2" s="468" t="s">
        <v>126</v>
      </c>
      <c r="U2" s="470"/>
      <c r="V2" s="2412"/>
      <c r="W2" s="2413"/>
      <c r="X2" s="2413"/>
      <c r="Y2" s="2413"/>
      <c r="Z2" s="2413"/>
      <c r="AA2" s="2413"/>
      <c r="AB2" s="2414"/>
      <c r="AC2" s="2412">
        <f>INDEX(PT_DIFFERENTIATION_NTAR,MATCH(A2,PT_DIFFERENTIATION_NTAR_ID,0))</f>
      </c>
      <c r="AD2" s="2413"/>
      <c r="AE2" s="2413"/>
      <c r="AF2" s="2413"/>
      <c r="AG2" s="2413"/>
      <c r="AH2" s="2413"/>
      <c r="AI2" s="2413"/>
      <c r="AJ2" s="2414"/>
      <c r="AK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70"/>
      <c r="AN2" s="670" t="str">
        <f>IF(T2="","",T2)</f>
        <v>Наименование тарифа</v>
      </c>
      <c r="AO2" s="670"/>
      <c r="AP2" s="670"/>
      <c r="AQ2" s="1325">
        <v>0</v>
      </c>
    </row>
    <row customHeight="1" ht="23.25" hidden="1">
      <c r="A3" s="1533"/>
      <c r="B3" s="1533"/>
      <c r="C3" s="1533"/>
      <c r="D3" s="1533"/>
      <c r="E3" s="2429"/>
      <c r="F3" s="2428">
        <v>1</v>
      </c>
      <c r="G3" s="1533"/>
      <c r="H3" s="1533"/>
      <c r="I3" s="1533"/>
      <c r="J3" s="1533"/>
      <c r="K3" s="1533"/>
      <c r="L3" s="1534"/>
      <c r="M3" s="1535"/>
      <c r="N3" s="1535"/>
      <c r="O3" s="1535"/>
      <c r="P3" s="1593"/>
      <c r="Q3" s="522"/>
      <c r="R3" s="523"/>
      <c r="S3" s="1595">
        <f>INDEX(PT_DIFFERENTIATION_NUM_TER,MATCH(B3,PT_DIFFERENTIATION_TER_ID,0))</f>
      </c>
      <c r="T3" s="478" t="s">
        <v>409</v>
      </c>
      <c r="U3" s="470"/>
      <c r="V3" s="2412"/>
      <c r="W3" s="2413"/>
      <c r="X3" s="2413"/>
      <c r="Y3" s="2413"/>
      <c r="Z3" s="2413"/>
      <c r="AA3" s="2413"/>
      <c r="AB3" s="2414"/>
      <c r="AC3" s="2412">
        <f>INDEX(PT_DIFFERENTIATION_TER,MATCH(B3,PT_DIFFERENTIATION_TER_ID,0))</f>
      </c>
      <c r="AD3" s="2413"/>
      <c r="AE3" s="2413"/>
      <c r="AF3" s="2413"/>
      <c r="AG3" s="2413"/>
      <c r="AH3" s="2413"/>
      <c r="AI3" s="2413"/>
      <c r="AJ3" s="2414"/>
      <c r="AK3" s="1428" t="s">
        <v>410</v>
      </c>
      <c r="AM3" s="670"/>
      <c r="AN3" s="670" t="str">
        <f>IF(T3="","",T3)</f>
        <v>Территория действия тарифа</v>
      </c>
      <c r="AO3" s="670"/>
      <c r="AP3" s="670"/>
      <c r="AQ3" s="1325">
        <v>0</v>
      </c>
    </row>
    <row customHeight="1" ht="23.25" hidden="1">
      <c r="A4" s="1533"/>
      <c r="B4" s="1533"/>
      <c r="C4" s="1533"/>
      <c r="D4" s="1533"/>
      <c r="E4" s="2429"/>
      <c r="F4" s="2429"/>
      <c r="G4" s="2428">
        <v>1</v>
      </c>
      <c r="H4" s="1533"/>
      <c r="I4" s="1533"/>
      <c r="J4" s="1533"/>
      <c r="K4" s="1533"/>
      <c r="L4" s="1534"/>
      <c r="M4" s="1535"/>
      <c r="N4" s="1535"/>
      <c r="O4" s="1535"/>
      <c r="P4" s="524"/>
      <c r="Q4" s="522"/>
      <c r="R4" s="523"/>
      <c r="S4" s="1595">
        <f>INDEX(PT_DIFFERENTIATION_NUM_CS,MATCH(C4,PT_DIFFERENTIATION_CS_ID,0))</f>
      </c>
      <c r="T4" s="479" t="s">
        <v>496</v>
      </c>
      <c r="U4" s="470"/>
      <c r="V4" s="2412"/>
      <c r="W4" s="2413"/>
      <c r="X4" s="2413"/>
      <c r="Y4" s="2413"/>
      <c r="Z4" s="2413"/>
      <c r="AA4" s="2413"/>
      <c r="AB4" s="2414"/>
      <c r="AC4" s="2412">
        <f>INDEX(PT_DIFFERENTIATION_CS,MATCH(C4,PT_DIFFERENTIATION_CS_ID,0))</f>
      </c>
      <c r="AD4" s="2413"/>
      <c r="AE4" s="2413"/>
      <c r="AF4" s="2413"/>
      <c r="AG4" s="2413"/>
      <c r="AH4" s="2413"/>
      <c r="AI4" s="2413"/>
      <c r="AJ4" s="2414"/>
      <c r="AK4" s="1428" t="s">
        <v>497</v>
      </c>
      <c r="AM4" s="670"/>
      <c r="AN4" s="670" t="str">
        <f>IF(T4="","",T4)</f>
        <v>Наименование централизованной системы холодного водоснабжения</v>
      </c>
      <c r="AO4" s="670"/>
      <c r="AP4" s="670"/>
      <c r="AQ4" s="1325">
        <v>0</v>
      </c>
    </row>
    <row customHeight="1" ht="23.25" hidden="1">
      <c r="A5" s="1533"/>
      <c r="B5" s="1533"/>
      <c r="C5" s="1533"/>
      <c r="D5" s="1533"/>
      <c r="E5" s="2429"/>
      <c r="F5" s="2429"/>
      <c r="G5" s="2429"/>
      <c r="H5" s="2429"/>
      <c r="I5" s="2426">
        <f>S4&amp;".1"</f>
      </c>
      <c r="J5" s="1533"/>
      <c r="K5" s="1533"/>
      <c r="L5" s="1534"/>
      <c r="P5" s="2427">
        <v>1</v>
      </c>
      <c r="Q5" s="1592"/>
      <c r="R5" s="526"/>
      <c r="S5" s="1595">
        <f>$I5</f>
      </c>
      <c r="T5" s="455" t="s">
        <v>498</v>
      </c>
      <c r="U5" s="470"/>
      <c r="V5" s="2520"/>
      <c r="W5" s="2521"/>
      <c r="X5" s="2521"/>
      <c r="Y5" s="2521"/>
      <c r="Z5" s="2521"/>
      <c r="AA5" s="2521"/>
      <c r="AB5" s="2522"/>
      <c r="AC5" s="2523"/>
      <c r="AD5" s="2524"/>
      <c r="AE5" s="2524"/>
      <c r="AF5" s="2524"/>
      <c r="AG5" s="2524"/>
      <c r="AH5" s="2524"/>
      <c r="AI5" s="2524"/>
      <c r="AJ5" s="2525"/>
      <c r="AK5" s="1428" t="s">
        <v>499</v>
      </c>
      <c r="AM5" s="670"/>
      <c r="AN5" s="670" t="str">
        <f>IF(T5="","",T5)</f>
        <v>Наименование признака дифференциации</v>
      </c>
      <c r="AO5" s="670"/>
      <c r="AP5" s="670"/>
      <c r="AQ5" s="1325">
        <v>0</v>
      </c>
    </row>
    <row customHeight="1" ht="23.25" hidden="1">
      <c r="A6" s="1533"/>
      <c r="B6" s="1533"/>
      <c r="C6" s="1533"/>
      <c r="D6" s="1533"/>
      <c r="E6" s="2429"/>
      <c r="F6" s="2429"/>
      <c r="G6" s="2429"/>
      <c r="H6" s="2429"/>
      <c r="I6" s="2456"/>
      <c r="J6" s="2426">
        <f>I5&amp;".1"</f>
      </c>
      <c r="K6" s="1533"/>
      <c r="L6" s="1534" t="s">
        <v>418</v>
      </c>
      <c r="P6" s="2427"/>
      <c r="Q6" s="2427">
        <v>1</v>
      </c>
      <c r="R6" s="527"/>
      <c r="S6" s="1595">
        <f>$J6</f>
      </c>
      <c r="T6" s="456" t="s">
        <v>419</v>
      </c>
      <c r="U6" s="470"/>
      <c r="V6" s="2415"/>
      <c r="W6" s="2416"/>
      <c r="X6" s="2416"/>
      <c r="Y6" s="2416"/>
      <c r="Z6" s="2416"/>
      <c r="AA6" s="2416"/>
      <c r="AB6" s="2417"/>
      <c r="AC6" s="2415"/>
      <c r="AD6" s="2416"/>
      <c r="AE6" s="2416"/>
      <c r="AF6" s="2416"/>
      <c r="AG6" s="2416"/>
      <c r="AH6" s="2416"/>
      <c r="AI6" s="2416"/>
      <c r="AJ6" s="2417"/>
      <c r="AK6" s="1477" t="s">
        <v>500</v>
      </c>
      <c r="AM6" s="670"/>
      <c r="AN6" s="670" t="str">
        <f>IF(T6="","",T6)</f>
        <v>Группа потребителей</v>
      </c>
      <c r="AO6" s="670"/>
      <c r="AP6" s="670"/>
      <c r="AQ6" s="1325">
        <v>0</v>
      </c>
    </row>
    <row customHeight="1" ht="23.25" hidden="1">
      <c r="A7" s="1533"/>
      <c r="B7" s="1533"/>
      <c r="C7" s="1533"/>
      <c r="D7" s="1533"/>
      <c r="E7" s="2429"/>
      <c r="F7" s="2429"/>
      <c r="G7" s="2429"/>
      <c r="H7" s="2429"/>
      <c r="I7" s="2456"/>
      <c r="J7" s="2456"/>
      <c r="K7" s="2426">
        <f>J6&amp;".1"</f>
      </c>
      <c r="L7" s="1534"/>
      <c r="P7" s="2427"/>
      <c r="Q7" s="2427"/>
      <c r="R7" s="527">
        <v>1</v>
      </c>
      <c r="S7" s="1595">
        <f>$K7</f>
      </c>
      <c r="T7" s="1607"/>
      <c r="U7" s="470"/>
      <c r="V7" s="921"/>
      <c r="W7" s="921"/>
      <c r="X7" s="1427"/>
      <c r="Y7" s="2435"/>
      <c r="Z7" s="2277" t="s">
        <v>64</v>
      </c>
      <c r="AA7" s="2435"/>
      <c r="AB7" s="2277" t="s">
        <v>64</v>
      </c>
      <c r="AC7" s="921"/>
      <c r="AD7" s="921"/>
      <c r="AE7" s="1427"/>
      <c r="AF7" s="2435"/>
      <c r="AG7" s="2277" t="s">
        <v>64</v>
      </c>
      <c r="AH7" s="2457"/>
      <c r="AI7" s="2277" t="s">
        <v>64</v>
      </c>
      <c r="AJ7" s="1608"/>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1">
        <f>STRCHECKDATE(V8:AJ8)</f>
      </c>
      <c r="AM7" s="670"/>
      <c r="AN7" s="670" t="str">
        <f>IF(T7="","",T7)</f>
        <v/>
      </c>
      <c r="AO7" s="670"/>
      <c r="AP7" s="670"/>
      <c r="AQ7" s="1325">
        <v>0</v>
      </c>
    </row>
    <row customHeight="1" ht="14.25" hidden="1">
      <c r="A8" s="1533"/>
      <c r="B8" s="1533"/>
      <c r="C8" s="1533"/>
      <c r="D8" s="1533"/>
      <c r="E8" s="2429"/>
      <c r="F8" s="2429"/>
      <c r="G8" s="2429"/>
      <c r="H8" s="2429"/>
      <c r="I8" s="2456"/>
      <c r="J8" s="2456"/>
      <c r="K8" s="2426"/>
      <c r="L8" s="1534"/>
      <c r="P8" s="2427"/>
      <c r="Q8" s="2427"/>
      <c r="R8" s="527"/>
      <c r="S8" s="1594"/>
      <c r="T8" s="470"/>
      <c r="U8" s="470"/>
      <c r="V8" s="495"/>
      <c r="W8" s="495"/>
      <c r="X8" s="498" t="str">
        <f>Y7&amp;"-"&amp;AA7</f>
        <v>-</v>
      </c>
      <c r="Y8" s="2436"/>
      <c r="Z8" s="2277"/>
      <c r="AA8" s="2436"/>
      <c r="AB8" s="2277"/>
      <c r="AC8" s="495"/>
      <c r="AD8" s="495"/>
      <c r="AE8" s="498" t="str">
        <f>AF7&amp;"-"&amp;AH7</f>
        <v>-</v>
      </c>
      <c r="AF8" s="2436"/>
      <c r="AG8" s="2277"/>
      <c r="AH8" s="2458"/>
      <c r="AI8" s="2277"/>
      <c r="AJ8" s="1609"/>
      <c r="AK8" s="2519"/>
      <c r="AM8" s="670"/>
      <c r="AN8" s="670" t="str">
        <f>IF(T8="","",T8)</f>
        <v/>
      </c>
      <c r="AO8" s="670"/>
      <c r="AP8" s="670"/>
      <c r="AQ8" s="1325">
        <v>0</v>
      </c>
    </row>
    <row customHeight="1" ht="21" hidden="1">
      <c r="A9" s="1533"/>
      <c r="B9" s="1533"/>
      <c r="C9" s="1533"/>
      <c r="D9" s="1533"/>
      <c r="E9" s="2429"/>
      <c r="F9" s="2429"/>
      <c r="G9" s="2429"/>
      <c r="H9" s="2429"/>
      <c r="I9" s="2456"/>
      <c r="J9" s="2426"/>
      <c r="K9" s="1533"/>
      <c r="L9" s="1534"/>
      <c r="P9" s="2427"/>
      <c r="Q9" s="2427"/>
      <c r="R9" s="526"/>
      <c r="S9" s="1448"/>
      <c r="T9" s="457" t="s">
        <v>501</v>
      </c>
      <c r="U9" s="537"/>
      <c r="V9" s="537"/>
      <c r="W9" s="537"/>
      <c r="X9" s="537"/>
      <c r="Y9" s="537"/>
      <c r="Z9" s="537"/>
      <c r="AA9" s="537"/>
      <c r="AB9" s="537"/>
      <c r="AC9" s="537"/>
      <c r="AD9" s="537"/>
      <c r="AE9" s="537"/>
      <c r="AF9" s="537"/>
      <c r="AG9" s="537"/>
      <c r="AH9" s="537"/>
      <c r="AI9" s="537"/>
      <c r="AJ9" s="537"/>
      <c r="AK9" s="1428" t="s">
        <v>502</v>
      </c>
      <c r="AM9" s="670"/>
      <c r="AN9" s="670" t="str">
        <f>IF(T9="","",T9)</f>
        <v>Добавить значение признака дифференциации</v>
      </c>
      <c r="AO9" s="670"/>
      <c r="AP9" s="670"/>
      <c r="AQ9" s="1325">
        <v>0</v>
      </c>
    </row>
    <row customHeight="1" ht="21" hidden="1">
      <c r="A10" s="1533"/>
      <c r="B10" s="1533"/>
      <c r="C10" s="1533"/>
      <c r="D10" s="1533"/>
      <c r="E10" s="2429"/>
      <c r="F10" s="2429"/>
      <c r="G10" s="2429"/>
      <c r="H10" s="2429"/>
      <c r="I10" s="2426"/>
      <c r="J10" s="1533"/>
      <c r="K10" s="1533"/>
      <c r="L10" s="1534"/>
      <c r="P10" s="2427"/>
      <c r="Q10" s="1592"/>
      <c r="R10" s="526"/>
      <c r="S10" s="1448"/>
      <c r="T10" s="535" t="s">
        <v>424</v>
      </c>
      <c r="U10" s="537"/>
      <c r="V10" s="537"/>
      <c r="W10" s="537"/>
      <c r="X10" s="537"/>
      <c r="Y10" s="537"/>
      <c r="Z10" s="537"/>
      <c r="AA10" s="537"/>
      <c r="AB10" s="536"/>
      <c r="AC10" s="537"/>
      <c r="AD10" s="537"/>
      <c r="AE10" s="537"/>
      <c r="AF10" s="537"/>
      <c r="AG10" s="537"/>
      <c r="AH10" s="537"/>
      <c r="AI10" s="536"/>
      <c r="AJ10" s="537"/>
      <c r="AK10" s="1610"/>
      <c r="AM10" s="670"/>
      <c r="AN10" s="670" t="str">
        <f>IF(T10="","",T10)</f>
        <v>Добавить группу потребителей</v>
      </c>
      <c r="AO10" s="670"/>
      <c r="AP10" s="670"/>
      <c r="AQ10" s="1325">
        <v>0</v>
      </c>
    </row>
    <row customHeight="1" ht="14.25" hidden="1">
      <c r="A11" s="1533"/>
      <c r="B11" s="1533"/>
      <c r="C11" s="1533"/>
      <c r="D11" s="1533"/>
      <c r="E11" s="2429"/>
      <c r="F11" s="2429"/>
      <c r="G11" s="2429"/>
      <c r="H11" s="2428"/>
      <c r="I11" s="1533"/>
      <c r="J11" s="1533"/>
      <c r="K11" s="1533"/>
      <c r="L11" s="1534"/>
      <c r="M11" s="1535"/>
      <c r="N11" s="1535"/>
      <c r="O11" s="707"/>
      <c r="P11" s="530"/>
      <c r="Q11" s="545"/>
      <c r="R11" s="525"/>
      <c r="S11" s="1448"/>
      <c r="T11" s="542" t="s">
        <v>503</v>
      </c>
      <c r="U11" s="537"/>
      <c r="V11" s="537"/>
      <c r="W11" s="537"/>
      <c r="X11" s="537"/>
      <c r="Y11" s="537"/>
      <c r="Z11" s="537"/>
      <c r="AA11" s="537"/>
      <c r="AB11" s="536"/>
      <c r="AC11" s="537"/>
      <c r="AD11" s="537"/>
      <c r="AE11" s="537"/>
      <c r="AF11" s="537"/>
      <c r="AG11" s="537"/>
      <c r="AH11" s="537"/>
      <c r="AI11" s="536"/>
      <c r="AJ11" s="537"/>
      <c r="AK11" s="473"/>
      <c r="AM11" s="670"/>
      <c r="AN11" s="670" t="str">
        <f>IF(T11="","",T11)</f>
        <v>Добавить наименование признака дифференциации</v>
      </c>
      <c r="AO11" s="670"/>
      <c r="AP11" s="670"/>
      <c r="AQ11" s="1325">
        <v>0</v>
      </c>
    </row>
    <row s="11993" customFormat="1" customHeight="1" ht="14.25" hidden="1">
      <c r="A12" s="1513"/>
      <c r="B12" s="1513"/>
      <c r="C12" s="1484"/>
      <c r="D12" s="1484"/>
      <c r="E12" s="2429"/>
      <c r="F12" s="2428"/>
      <c r="G12" s="1484"/>
      <c r="H12" s="1484"/>
      <c r="I12" s="1484"/>
      <c r="J12" s="1484"/>
      <c r="K12" s="1484"/>
      <c r="L12" s="1596"/>
      <c r="M12" s="1491"/>
      <c r="N12" s="1491"/>
      <c r="P12" s="1486"/>
      <c r="Q12" s="1487"/>
      <c r="R12" s="1486"/>
      <c r="S12" s="1492"/>
      <c r="T12" s="1495" t="s">
        <v>166</v>
      </c>
      <c r="U12" s="1494"/>
      <c r="V12" s="1494"/>
      <c r="W12" s="1494"/>
      <c r="X12" s="1494"/>
      <c r="Y12" s="1494"/>
      <c r="Z12" s="1494"/>
      <c r="AA12" s="1494"/>
      <c r="AB12" s="1494"/>
      <c r="AC12" s="1494"/>
      <c r="AD12" s="1494"/>
      <c r="AE12" s="1494"/>
      <c r="AF12" s="1494"/>
      <c r="AG12" s="1494"/>
      <c r="AH12" s="1494"/>
      <c r="AI12" s="1494"/>
      <c r="AJ12" s="1494"/>
      <c r="AK12" s="1494"/>
      <c r="AM12" s="959"/>
      <c r="AN12" s="959" t="str">
        <f>IF(T12="","",T12)</f>
        <v>Добавить централизованную систему для дифференциации</v>
      </c>
      <c r="AO12" s="959"/>
      <c r="AP12" s="959"/>
      <c r="AQ12" s="688">
        <v>0</v>
      </c>
    </row>
    <row s="11993" customFormat="1" customHeight="1" ht="14.25" hidden="1">
      <c r="A13" s="1513"/>
      <c r="B13" s="1513"/>
      <c r="C13" s="1513"/>
      <c r="D13" s="1513"/>
      <c r="E13" s="2428"/>
      <c r="F13" s="1513"/>
      <c r="G13" s="1513"/>
      <c r="H13" s="1513"/>
      <c r="I13" s="1513"/>
      <c r="J13" s="1513"/>
      <c r="K13" s="1513"/>
      <c r="L13" s="1516"/>
      <c r="M13" s="1491"/>
      <c r="N13" s="1491"/>
      <c r="O13" s="688"/>
      <c r="P13" s="550"/>
      <c r="Q13" s="1514"/>
      <c r="R13" s="550"/>
      <c r="S13" s="1492"/>
      <c r="T13" s="1495" t="s">
        <v>167</v>
      </c>
      <c r="U13" s="1494"/>
      <c r="V13" s="1494"/>
      <c r="W13" s="1494"/>
      <c r="X13" s="1494"/>
      <c r="Y13" s="1494"/>
      <c r="Z13" s="1494"/>
      <c r="AA13" s="1494"/>
      <c r="AB13" s="1494"/>
      <c r="AC13" s="1494"/>
      <c r="AD13" s="1494"/>
      <c r="AE13" s="1494"/>
      <c r="AF13" s="1494"/>
      <c r="AG13" s="1494"/>
      <c r="AH13" s="1494"/>
      <c r="AI13" s="1494"/>
      <c r="AJ13" s="1494"/>
      <c r="AK13" s="1494"/>
      <c r="AM13" s="670"/>
      <c r="AN13" s="670" t="str">
        <f>IF(T13="","",T13)</f>
        <v>Добавить территорию для дифференциации</v>
      </c>
      <c r="AO13" s="670"/>
      <c r="AP13" s="670"/>
      <c r="AQ13" s="681">
        <v>0</v>
      </c>
    </row>
    <row customHeight="1" ht="14.25" hidden="1">
      <c r="AB14" s="497"/>
      <c r="AI14" s="497"/>
      <c r="AQ14" s="1325">
        <v>0</v>
      </c>
    </row>
    <row customHeight="1" ht="14.25" hidden="1">
      <c r="AC15" s="1530"/>
      <c r="AD15" s="1530"/>
      <c r="AE15" s="1531"/>
      <c r="AF15" s="2437"/>
      <c r="AG15" s="2438" t="s">
        <v>64</v>
      </c>
      <c r="AH15" s="2437"/>
      <c r="AI15" s="2438" t="s">
        <v>64</v>
      </c>
      <c r="AQ15" s="1325">
        <v>0</v>
      </c>
    </row>
    <row customHeight="1" ht="14.25" hidden="1">
      <c r="AC16" s="1530"/>
      <c r="AD16" s="1530"/>
      <c r="AE16" s="498" t="str">
        <f>AF15&amp;"-"&amp;AH15</f>
        <v>-</v>
      </c>
      <c r="AF16" s="2438"/>
      <c r="AG16" s="2438"/>
      <c r="AH16" s="2438"/>
      <c r="AI16" s="2438"/>
      <c r="AQ16" s="1325">
        <v>0</v>
      </c>
    </row>
    <row customHeight="1" ht="14.25" hidden="1">
      <c r="AI17" s="497"/>
      <c r="AQ17" s="1325">
        <v>0</v>
      </c>
    </row>
    <row s="11992" customFormat="1" customHeight="1" ht="22.5" hidden="1">
      <c r="L18" s="1591"/>
      <c r="M18" s="1532"/>
      <c r="N18" s="1532"/>
      <c r="O18" s="1537" t="s">
        <v>426</v>
      </c>
      <c r="P18" s="1532"/>
      <c r="Q18" s="1541"/>
      <c r="R18" s="1541"/>
      <c r="S18" s="899"/>
      <c r="Y18" s="1537"/>
      <c r="AA18" s="1537"/>
      <c r="AB18" s="1536"/>
      <c r="AF18" s="1537"/>
      <c r="AH18" s="1537"/>
      <c r="AI18" s="1536"/>
      <c r="AL18" s="681"/>
      <c r="AM18" s="681"/>
      <c r="AN18" s="681"/>
      <c r="AO18" s="681"/>
      <c r="AP18" s="681"/>
      <c r="AQ18" s="1330">
        <v>0</v>
      </c>
    </row>
    <row s="11992" customFormat="1" customHeight="1" ht="14.25" hidden="1">
      <c r="L19" s="1591"/>
      <c r="M19" s="1532"/>
      <c r="N19" s="1532"/>
      <c r="O19" s="1532"/>
      <c r="P19" s="1532"/>
      <c r="Q19" s="1541"/>
      <c r="R19" s="1541"/>
      <c r="S19" s="899"/>
      <c r="AB19" s="1536"/>
      <c r="AI19" s="1536"/>
      <c r="AL19" s="681"/>
      <c r="AM19" s="681"/>
      <c r="AN19" s="681"/>
      <c r="AO19" s="681"/>
      <c r="AP19" s="681"/>
      <c r="AQ19" s="1330">
        <v>0</v>
      </c>
    </row>
    <row s="11992" customFormat="1" customHeight="1" ht="12" hidden="1">
      <c r="L20" s="1591"/>
      <c r="M20" s="1532"/>
      <c r="N20" s="1532"/>
      <c r="O20" s="1534" t="s">
        <v>427</v>
      </c>
      <c r="P20" s="1532"/>
      <c r="Q20" s="1612"/>
      <c r="R20" s="1612"/>
      <c r="S20" s="899"/>
      <c r="T20" s="1330" t="s">
        <v>428</v>
      </c>
      <c r="Z20" s="356" t="s">
        <v>429</v>
      </c>
      <c r="AB20" s="356" t="s">
        <v>430</v>
      </c>
      <c r="AC20" s="1330" t="s">
        <v>428</v>
      </c>
      <c r="AG20" s="356" t="s">
        <v>431</v>
      </c>
      <c r="AI20" s="356" t="s">
        <v>430</v>
      </c>
      <c r="AQ20" s="1330">
        <v>0</v>
      </c>
    </row>
    <row customHeight="1" ht="14.25" hidden="1">
      <c r="O21" s="1534"/>
      <c r="AQ21" s="1325">
        <v>0</v>
      </c>
    </row>
    <row customHeight="1" ht="14.25" hidden="1">
      <c r="O22" s="1534"/>
      <c r="AQ22" s="1325">
        <v>0</v>
      </c>
    </row>
    <row customHeight="1" ht="14.699999999999998">
      <c r="Q23" s="546"/>
      <c r="R23" s="546"/>
      <c r="S23" s="1445"/>
      <c r="T23" s="533"/>
      <c r="U23" s="533"/>
      <c r="V23" s="679"/>
      <c r="W23" s="679"/>
      <c r="X23" s="679"/>
      <c r="Y23" s="679"/>
      <c r="Z23" s="679"/>
      <c r="AA23" s="679"/>
      <c r="AB23" s="679"/>
      <c r="AC23" s="679"/>
      <c r="AD23" s="679"/>
      <c r="AE23" s="679"/>
      <c r="AF23" s="679"/>
      <c r="AG23" s="679"/>
      <c r="AH23" s="679"/>
      <c r="AI23" s="679"/>
      <c r="AQ23" s="1325">
        <v>14</v>
      </c>
    </row>
    <row customHeight="1" ht="14.699999999999998">
      <c r="Q24" s="546"/>
      <c r="R24" s="546"/>
      <c r="S24" s="241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418"/>
      <c r="U24" s="2418"/>
      <c r="V24" s="2418"/>
      <c r="W24" s="2418"/>
      <c r="X24" s="2418"/>
      <c r="Y24" s="2418"/>
      <c r="Z24" s="2418"/>
      <c r="AA24" s="2418"/>
      <c r="AB24" s="2418"/>
      <c r="AC24" s="2418"/>
      <c r="AD24" s="2418"/>
      <c r="AE24" s="2418"/>
      <c r="AF24" s="2418"/>
      <c r="AG24" s="2418"/>
      <c r="AH24" s="2418"/>
      <c r="AI24" s="1413"/>
      <c r="AQ24" s="1325">
        <v>14</v>
      </c>
    </row>
    <row customHeight="1" ht="14.699999999999998">
      <c r="Q25" s="546"/>
      <c r="R25" s="546"/>
      <c r="S25" s="2419" t="str">
        <f>IF(org=0,"Не определено",org)</f>
        <v>Филиал "Шатурская ГРЭС" ПАО "Юнипро"</v>
      </c>
      <c r="T25" s="2419"/>
      <c r="U25" s="2419"/>
      <c r="V25" s="2419"/>
      <c r="W25" s="2419"/>
      <c r="X25" s="2419"/>
      <c r="Y25" s="2419"/>
      <c r="Z25" s="2419"/>
      <c r="AA25" s="2419"/>
      <c r="AB25" s="2419"/>
      <c r="AC25" s="2419"/>
      <c r="AD25" s="2419"/>
      <c r="AE25" s="2419"/>
      <c r="AF25" s="2419"/>
      <c r="AG25" s="2419"/>
      <c r="AH25" s="2419"/>
      <c r="AI25" s="1413"/>
      <c r="AQ25" s="1325">
        <v>14</v>
      </c>
    </row>
    <row customHeight="1" ht="14.25">
      <c r="Q26" s="546"/>
      <c r="R26" s="546"/>
      <c r="S26" s="1445"/>
      <c r="T26" s="533"/>
      <c r="U26" s="533"/>
      <c r="V26" s="492"/>
      <c r="W26" s="492"/>
      <c r="X26" s="492"/>
      <c r="Y26" s="492"/>
      <c r="Z26" s="492"/>
      <c r="AA26" s="492"/>
      <c r="AB26" s="492"/>
      <c r="AC26" s="492"/>
      <c r="AD26" s="492"/>
      <c r="AE26" s="492"/>
      <c r="AF26" s="492"/>
      <c r="AG26" s="492"/>
      <c r="AH26" s="492"/>
      <c r="AI26" s="492"/>
      <c r="AJ26" s="679"/>
      <c r="AQ26" s="1325">
        <v>0</v>
      </c>
    </row>
    <row s="12119" customFormat="1" customHeight="1" ht="25.5">
      <c r="A27" s="1538"/>
      <c r="B27" s="1538"/>
      <c r="C27" s="1538"/>
      <c r="D27" s="1538"/>
      <c r="E27" s="1538"/>
      <c r="F27" s="1538"/>
      <c r="G27" s="1538"/>
      <c r="H27" s="1538"/>
      <c r="I27" s="1538"/>
      <c r="J27" s="1538"/>
      <c r="K27" s="1538"/>
      <c r="L27" s="1539"/>
      <c r="M27" s="1538"/>
      <c r="N27" s="1538"/>
      <c r="O27" s="1538"/>
      <c r="S27" s="2420" t="s">
        <v>42</v>
      </c>
      <c r="T27" s="2420"/>
      <c r="U27" s="1542"/>
      <c r="V27" s="2421" t="str">
        <f>IF(TITLE_NAME_OR_PR_CHANGE="",IF(TITLE_NAME_OR_PR="","",TITLE_NAME_OR_PR),TITLE_NAME_OR_PR_CHANGE)</f>
        <v>Комитет по ценам и тарифам Московской области</v>
      </c>
      <c r="W27" s="2421"/>
      <c r="X27" s="2421"/>
      <c r="Y27" s="2421"/>
      <c r="Z27" s="2421"/>
      <c r="AA27" s="2421"/>
      <c r="AB27" s="496"/>
      <c r="AC27" s="2421" t="str">
        <f>IF(TITLE_NAME_OR_PR_CHANGE="",IF(TITLE_NAME_OR_PR="","",TITLE_NAME_OR_PR),TITLE_NAME_OR_PR_CHANGE)</f>
        <v>Комитет по ценам и тарифам Московской области</v>
      </c>
      <c r="AD27" s="2421"/>
      <c r="AE27" s="2421"/>
      <c r="AF27" s="2421"/>
      <c r="AG27" s="2421"/>
      <c r="AH27" s="2421"/>
      <c r="AI27" s="496"/>
      <c r="AJ27" s="496"/>
      <c r="AK27" s="450"/>
      <c r="AL27" s="538"/>
      <c r="AM27" s="538"/>
      <c r="AN27" s="538"/>
      <c r="AO27" s="538"/>
      <c r="AP27" s="538"/>
      <c r="AQ27" s="588">
        <v>0</v>
      </c>
    </row>
    <row s="12119" customFormat="1" customHeight="1" ht="18.75">
      <c r="A28" s="1538"/>
      <c r="B28" s="1538"/>
      <c r="C28" s="1538"/>
      <c r="D28" s="1538"/>
      <c r="E28" s="1538"/>
      <c r="F28" s="1538"/>
      <c r="G28" s="1538"/>
      <c r="H28" s="1538"/>
      <c r="I28" s="1538"/>
      <c r="J28" s="1538"/>
      <c r="K28" s="1538"/>
      <c r="L28" s="1539"/>
      <c r="M28" s="1538"/>
      <c r="N28" s="1538"/>
      <c r="O28" s="1538"/>
      <c r="S28" s="2420" t="s">
        <v>432</v>
      </c>
      <c r="T28" s="2420"/>
      <c r="U28" s="1542"/>
      <c r="V28" s="2434" t="str">
        <f>IF(TITLE_DATE_PR_CHANGE="",IF(TITLE_DATE_PR="","",TITLE_DATE_PR),TITLE_DATE_PR_CHANGE)</f>
        <v>45646.459814814814</v>
      </c>
      <c r="W28" s="2434"/>
      <c r="X28" s="2434"/>
      <c r="Y28" s="2434"/>
      <c r="Z28" s="2434"/>
      <c r="AA28" s="2434"/>
      <c r="AB28" s="496"/>
      <c r="AC28" s="2434" t="str">
        <f>IF(TITLE_DATE_PR_CHANGE="",IF(TITLE_DATE_PR="","",TITLE_DATE_PR),TITLE_DATE_PR_CHANGE)</f>
        <v>45646.459814814814</v>
      </c>
      <c r="AD28" s="2434"/>
      <c r="AE28" s="2434"/>
      <c r="AF28" s="2434"/>
      <c r="AG28" s="2434"/>
      <c r="AH28" s="2434"/>
      <c r="AI28" s="496"/>
      <c r="AJ28" s="496"/>
      <c r="AK28" s="450"/>
      <c r="AL28" s="538"/>
      <c r="AM28" s="538"/>
      <c r="AN28" s="538"/>
      <c r="AO28" s="538"/>
      <c r="AP28" s="538"/>
      <c r="AQ28" s="588">
        <v>0</v>
      </c>
    </row>
    <row s="12119" customFormat="1" customHeight="1" ht="18.75">
      <c r="A29" s="1538"/>
      <c r="B29" s="1538"/>
      <c r="C29" s="1538"/>
      <c r="D29" s="1538"/>
      <c r="E29" s="1538"/>
      <c r="F29" s="1538"/>
      <c r="G29" s="1538"/>
      <c r="H29" s="1538"/>
      <c r="I29" s="1538"/>
      <c r="J29" s="1538"/>
      <c r="K29" s="1538"/>
      <c r="L29" s="1539"/>
      <c r="M29" s="1538"/>
      <c r="N29" s="1538"/>
      <c r="O29" s="1538"/>
      <c r="S29" s="2420" t="s">
        <v>433</v>
      </c>
      <c r="T29" s="2420"/>
      <c r="U29" s="1542"/>
      <c r="V29" s="2421" t="str">
        <f>IF(TITLE_NUMBER_PR_CHANGE="",IF(TITLE_NUMBER_PR="","",TITLE_NUMBER_PR),TITLE_NUMBER_PR_CHANGE)</f>
        <v>329-Р</v>
      </c>
      <c r="W29" s="2421"/>
      <c r="X29" s="2421"/>
      <c r="Y29" s="2421"/>
      <c r="Z29" s="2421"/>
      <c r="AA29" s="2421"/>
      <c r="AB29" s="496"/>
      <c r="AC29" s="2421" t="str">
        <f>IF(TITLE_NUMBER_PR_CHANGE="",IF(TITLE_NUMBER_PR="","",TITLE_NUMBER_PR),TITLE_NUMBER_PR_CHANGE)</f>
        <v>329-Р</v>
      </c>
      <c r="AD29" s="2421"/>
      <c r="AE29" s="2421"/>
      <c r="AF29" s="2421"/>
      <c r="AG29" s="2421"/>
      <c r="AH29" s="2421"/>
      <c r="AI29" s="496"/>
      <c r="AJ29" s="496"/>
      <c r="AK29" s="450"/>
      <c r="AL29" s="538"/>
      <c r="AM29" s="538"/>
      <c r="AN29" s="538"/>
      <c r="AO29" s="538"/>
      <c r="AP29" s="538"/>
      <c r="AQ29" s="588">
        <v>0</v>
      </c>
    </row>
    <row s="12119" customFormat="1" customHeight="1" ht="18.75">
      <c r="A30" s="1538"/>
      <c r="B30" s="1538"/>
      <c r="C30" s="1538"/>
      <c r="D30" s="1538"/>
      <c r="E30" s="1538"/>
      <c r="F30" s="1538"/>
      <c r="G30" s="1538"/>
      <c r="H30" s="1538"/>
      <c r="I30" s="1538"/>
      <c r="J30" s="1538"/>
      <c r="K30" s="1538"/>
      <c r="L30" s="1539"/>
      <c r="M30" s="1538"/>
      <c r="N30" s="1538"/>
      <c r="O30" s="1538"/>
      <c r="S30" s="2420" t="s">
        <v>44</v>
      </c>
      <c r="T30" s="2420"/>
      <c r="U30" s="1542"/>
      <c r="V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421"/>
      <c r="X30" s="2421"/>
      <c r="Y30" s="2421"/>
      <c r="Z30" s="2421"/>
      <c r="AA30" s="2421"/>
      <c r="AB30" s="496"/>
      <c r="AC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421"/>
      <c r="AE30" s="2421"/>
      <c r="AF30" s="2421"/>
      <c r="AG30" s="2421"/>
      <c r="AH30" s="2421"/>
      <c r="AI30" s="496"/>
      <c r="AJ30" s="496"/>
      <c r="AK30" s="450"/>
      <c r="AL30" s="538"/>
      <c r="AM30" s="538"/>
      <c r="AN30" s="538"/>
      <c r="AO30" s="538"/>
      <c r="AP30" s="538"/>
      <c r="AQ30" s="588">
        <v>0</v>
      </c>
    </row>
    <row customHeight="1" ht="14.25" hidden="1">
      <c r="Q31" s="546"/>
      <c r="R31" s="546"/>
      <c r="S31" s="1445"/>
      <c r="T31" s="533"/>
      <c r="U31" s="533"/>
      <c r="V31" s="492"/>
      <c r="W31" s="492"/>
      <c r="X31" s="492"/>
      <c r="Y31" s="492"/>
      <c r="Z31" s="492"/>
      <c r="AA31" s="492"/>
      <c r="AB31" s="492"/>
      <c r="AC31" s="492"/>
      <c r="AD31" s="492"/>
      <c r="AE31" s="492"/>
      <c r="AF31" s="492"/>
      <c r="AG31" s="492"/>
      <c r="AH31" s="492"/>
      <c r="AI31" s="492"/>
      <c r="AJ31" s="679"/>
      <c r="AQ31" s="1325">
        <v>0</v>
      </c>
    </row>
    <row s="12119" customFormat="1" customHeight="1" ht="18.75" hidden="1">
      <c r="A32" s="1538"/>
      <c r="B32" s="1538"/>
      <c r="C32" s="1538"/>
      <c r="D32" s="1538"/>
      <c r="E32" s="1538"/>
      <c r="F32" s="1538"/>
      <c r="G32" s="1538"/>
      <c r="H32" s="1538"/>
      <c r="I32" s="1538"/>
      <c r="J32" s="1538"/>
      <c r="K32" s="1538"/>
      <c r="L32" s="1539"/>
      <c r="M32" s="1538"/>
      <c r="N32" s="1538"/>
      <c r="O32" s="1538"/>
      <c r="S32" s="2420" t="s">
        <v>434</v>
      </c>
      <c r="T32" s="2420"/>
      <c r="U32" s="1542"/>
      <c r="V32" s="2434" t="str">
        <f>IF(TITLE_DATE_PR_CHANGE="",IF(TITLE_DATE_PR="","",TITLE_DATE_PR),TITLE_DATE_PR_CHANGE)</f>
        <v>45646.459814814814</v>
      </c>
      <c r="W32" s="2434"/>
      <c r="X32" s="2434"/>
      <c r="Y32" s="2434"/>
      <c r="Z32" s="2434"/>
      <c r="AA32" s="2434"/>
      <c r="AB32" s="496"/>
      <c r="AC32" s="2434" t="str">
        <f>IF(TITLE_DATE_PR_CHANGE="",IF(TITLE_DATE_PR="","",TITLE_DATE_PR),TITLE_DATE_PR_CHANGE)</f>
        <v>45646.459814814814</v>
      </c>
      <c r="AD32" s="2434"/>
      <c r="AE32" s="2434"/>
      <c r="AF32" s="2434"/>
      <c r="AG32" s="2434"/>
      <c r="AH32" s="2434"/>
      <c r="AI32" s="496"/>
      <c r="AJ32" s="496"/>
      <c r="AK32" s="450"/>
      <c r="AL32" s="538"/>
      <c r="AM32" s="538"/>
      <c r="AN32" s="538"/>
      <c r="AO32" s="538"/>
      <c r="AP32" s="538"/>
      <c r="AQ32" s="588">
        <v>0</v>
      </c>
    </row>
    <row s="12119" customFormat="1" customHeight="1" ht="18.75" hidden="1">
      <c r="A33" s="1538"/>
      <c r="B33" s="1538"/>
      <c r="C33" s="1538"/>
      <c r="D33" s="1538"/>
      <c r="E33" s="1538"/>
      <c r="F33" s="1538"/>
      <c r="G33" s="1538"/>
      <c r="H33" s="1538"/>
      <c r="I33" s="1538"/>
      <c r="J33" s="1538"/>
      <c r="K33" s="1538"/>
      <c r="L33" s="1539"/>
      <c r="M33" s="1538"/>
      <c r="N33" s="1538"/>
      <c r="O33" s="1538"/>
      <c r="S33" s="2420" t="s">
        <v>435</v>
      </c>
      <c r="T33" s="2420"/>
      <c r="U33" s="1542"/>
      <c r="V33" s="2421" t="str">
        <f>IF(TITLE_NUMBER_PR_CHANGE="",IF(TITLE_NUMBER_PR="","",TITLE_NUMBER_PR),TITLE_NUMBER_PR_CHANGE)</f>
        <v>329-Р</v>
      </c>
      <c r="W33" s="2421"/>
      <c r="X33" s="2421"/>
      <c r="Y33" s="2421"/>
      <c r="Z33" s="2421"/>
      <c r="AA33" s="2421"/>
      <c r="AB33" s="496"/>
      <c r="AC33" s="2421" t="str">
        <f>IF(TITLE_NUMBER_PR_CHANGE="",IF(TITLE_NUMBER_PR="","",TITLE_NUMBER_PR),TITLE_NUMBER_PR_CHANGE)</f>
        <v>329-Р</v>
      </c>
      <c r="AD33" s="2421"/>
      <c r="AE33" s="2421"/>
      <c r="AF33" s="2421"/>
      <c r="AG33" s="2421"/>
      <c r="AH33" s="2421"/>
      <c r="AI33" s="496"/>
      <c r="AJ33" s="496"/>
      <c r="AK33" s="450"/>
      <c r="AL33" s="538"/>
      <c r="AM33" s="538"/>
      <c r="AN33" s="538"/>
      <c r="AO33" s="538"/>
      <c r="AP33" s="538"/>
      <c r="AQ33" s="588">
        <v>0</v>
      </c>
    </row>
    <row s="12119" customFormat="1" customHeight="1" ht="1.05">
      <c r="A34" s="1538"/>
      <c r="B34" s="1538"/>
      <c r="C34" s="1538"/>
      <c r="D34" s="1538"/>
      <c r="E34" s="1538"/>
      <c r="F34" s="1538"/>
      <c r="G34" s="1538"/>
      <c r="H34" s="1538"/>
      <c r="I34" s="1538"/>
      <c r="J34" s="1538"/>
      <c r="K34" s="1538"/>
      <c r="L34" s="1539"/>
      <c r="M34" s="1538"/>
      <c r="N34" s="1538"/>
      <c r="O34" s="1538"/>
      <c r="S34" s="493"/>
      <c r="T34" s="493"/>
      <c r="U34" s="1525"/>
      <c r="V34" s="496"/>
      <c r="W34" s="496"/>
      <c r="X34" s="496"/>
      <c r="Y34" s="496"/>
      <c r="Z34" s="496"/>
      <c r="AA34" s="496"/>
      <c r="AB34" s="448" t="s">
        <v>436</v>
      </c>
      <c r="AC34" s="496"/>
      <c r="AD34" s="496"/>
      <c r="AE34" s="496"/>
      <c r="AF34" s="496"/>
      <c r="AG34" s="496"/>
      <c r="AH34" s="496"/>
      <c r="AI34" s="448" t="s">
        <v>436</v>
      </c>
      <c r="AL34" s="538"/>
      <c r="AM34" s="538"/>
      <c r="AN34" s="538"/>
      <c r="AO34" s="538"/>
      <c r="AP34" s="538"/>
      <c r="AQ34" s="588">
        <v>1</v>
      </c>
    </row>
    <row customHeight="1" ht="14.699999999999998">
      <c r="Q35" s="546"/>
      <c r="R35" s="546"/>
      <c r="S35" s="1445"/>
      <c r="T35" s="533"/>
      <c r="U35" s="1414"/>
      <c r="V35" s="2422"/>
      <c r="W35" s="2422"/>
      <c r="X35" s="2422"/>
      <c r="Y35" s="2422"/>
      <c r="Z35" s="2422"/>
      <c r="AA35" s="2422"/>
      <c r="AB35" s="2422"/>
      <c r="AC35" s="2422"/>
      <c r="AD35" s="2422"/>
      <c r="AE35" s="2422"/>
      <c r="AF35" s="2422"/>
      <c r="AG35" s="2422"/>
      <c r="AH35" s="2422"/>
      <c r="AI35" s="2422"/>
      <c r="AQ35" s="1325">
        <v>14</v>
      </c>
    </row>
    <row customHeight="1" ht="14.699999999999998">
      <c r="Q36" s="546"/>
      <c r="R36" s="546"/>
      <c r="S36" s="2297" t="s">
        <v>312</v>
      </c>
      <c r="T36" s="2297"/>
      <c r="U36" s="2297"/>
      <c r="V36" s="2297"/>
      <c r="W36" s="2297"/>
      <c r="X36" s="2297"/>
      <c r="Y36" s="2297"/>
      <c r="Z36" s="2297"/>
      <c r="AA36" s="2297"/>
      <c r="AB36" s="2297"/>
      <c r="AC36" s="2297"/>
      <c r="AD36" s="2297"/>
      <c r="AE36" s="2297"/>
      <c r="AF36" s="2297"/>
      <c r="AG36" s="2297"/>
      <c r="AH36" s="2297"/>
      <c r="AI36" s="2297"/>
      <c r="AJ36" s="2297"/>
      <c r="AK36" s="2297" t="s">
        <v>313</v>
      </c>
      <c r="AQ36" s="1325">
        <v>14</v>
      </c>
    </row>
    <row customHeight="1" ht="14.699999999999998">
      <c r="Q37" s="546"/>
      <c r="R37" s="546"/>
      <c r="S37" s="2443" t="s">
        <v>91</v>
      </c>
      <c r="T37" s="2379" t="s">
        <v>438</v>
      </c>
      <c r="U37" s="471"/>
      <c r="V37" s="2444" t="s">
        <v>439</v>
      </c>
      <c r="W37" s="2445"/>
      <c r="X37" s="2445"/>
      <c r="Y37" s="2445"/>
      <c r="Z37" s="2445"/>
      <c r="AA37" s="2446"/>
      <c r="AB37" s="2447" t="s">
        <v>440</v>
      </c>
      <c r="AC37" s="2444" t="s">
        <v>439</v>
      </c>
      <c r="AD37" s="2445"/>
      <c r="AE37" s="2445"/>
      <c r="AF37" s="2445"/>
      <c r="AG37" s="2445"/>
      <c r="AH37" s="2446"/>
      <c r="AI37" s="2447" t="s">
        <v>441</v>
      </c>
      <c r="AJ37" s="2450" t="s">
        <v>442</v>
      </c>
      <c r="AK37" s="2297"/>
      <c r="AQ37" s="1325">
        <v>14</v>
      </c>
    </row>
    <row customHeight="1" ht="35.699999999999996">
      <c r="Q38" s="546"/>
      <c r="R38" s="546"/>
      <c r="S38" s="2443"/>
      <c r="T38" s="2379"/>
      <c r="U38" s="1201"/>
      <c r="V38" s="1522" t="s">
        <v>504</v>
      </c>
      <c r="W38" s="2432" t="s">
        <v>445</v>
      </c>
      <c r="X38" s="2433"/>
      <c r="Y38" s="2432" t="s">
        <v>446</v>
      </c>
      <c r="Z38" s="2439"/>
      <c r="AA38" s="2433"/>
      <c r="AB38" s="2448"/>
      <c r="AC38" s="1522" t="s">
        <v>504</v>
      </c>
      <c r="AD38" s="2432" t="s">
        <v>445</v>
      </c>
      <c r="AE38" s="2433"/>
      <c r="AF38" s="2432" t="s">
        <v>446</v>
      </c>
      <c r="AG38" s="2439"/>
      <c r="AH38" s="2433"/>
      <c r="AI38" s="2448"/>
      <c r="AJ38" s="2451"/>
      <c r="AK38" s="2297"/>
      <c r="AQ38" s="1325">
        <v>34</v>
      </c>
    </row>
    <row customHeight="1" ht="35.699999999999996">
      <c r="A39" s="1540"/>
      <c r="B39" s="1540" t="s">
        <v>138</v>
      </c>
      <c r="C39" s="1540" t="s">
        <v>139</v>
      </c>
      <c r="D39" s="1540" t="s">
        <v>140</v>
      </c>
      <c r="E39" s="1534" t="s">
        <v>447</v>
      </c>
      <c r="F39" s="1534" t="s">
        <v>448</v>
      </c>
      <c r="G39" s="1534" t="s">
        <v>449</v>
      </c>
      <c r="H39" s="1534"/>
      <c r="I39" s="1534" t="s">
        <v>505</v>
      </c>
      <c r="J39" s="1534" t="s">
        <v>452</v>
      </c>
      <c r="K39" s="1534" t="s">
        <v>506</v>
      </c>
      <c r="L39" s="1534" t="s">
        <v>427</v>
      </c>
      <c r="Q39" s="546"/>
      <c r="R39" s="546"/>
      <c r="S39" s="2443"/>
      <c r="T39" s="2379"/>
      <c r="U39" s="472"/>
      <c r="V39" s="1522" t="s">
        <v>507</v>
      </c>
      <c r="W39" s="1392" t="s">
        <v>508</v>
      </c>
      <c r="X39" s="1392" t="s">
        <v>509</v>
      </c>
      <c r="Y39" s="1527" t="s">
        <v>456</v>
      </c>
      <c r="Z39" s="2440" t="s">
        <v>457</v>
      </c>
      <c r="AA39" s="2441"/>
      <c r="AB39" s="2449"/>
      <c r="AC39" s="1522" t="s">
        <v>507</v>
      </c>
      <c r="AD39" s="1392" t="s">
        <v>508</v>
      </c>
      <c r="AE39" s="1392" t="s">
        <v>509</v>
      </c>
      <c r="AF39" s="1527" t="s">
        <v>456</v>
      </c>
      <c r="AG39" s="2440" t="s">
        <v>457</v>
      </c>
      <c r="AH39" s="2441"/>
      <c r="AI39" s="2449"/>
      <c r="AJ39" s="2452"/>
      <c r="AK39" s="2297"/>
      <c r="AQ39" s="1325">
        <v>34</v>
      </c>
    </row>
    <row s="12668" customFormat="1" customHeight="1" ht="11.25" hidden="1">
      <c r="A40" s="1540"/>
      <c r="B40" s="1540"/>
      <c r="C40" s="1540"/>
      <c r="D40" s="1540"/>
      <c r="E40" s="1540"/>
      <c r="F40" s="1540"/>
      <c r="G40" s="1540"/>
      <c r="H40" s="1540"/>
      <c r="I40" s="1540"/>
      <c r="J40" s="1540"/>
      <c r="K40" s="1540"/>
      <c r="L40" s="1534"/>
      <c r="M40" s="1532"/>
      <c r="N40" s="1532"/>
      <c r="O40" s="1532"/>
      <c r="P40" s="1416"/>
      <c r="Q40" s="1417"/>
      <c r="R40" s="1424">
        <v>1</v>
      </c>
      <c r="S40" s="1447" t="s">
        <v>112</v>
      </c>
      <c r="T40" s="1425" t="s">
        <v>113</v>
      </c>
      <c r="U40" s="1415" t="str">
        <f>OFFSET(U40,0,-1)</f>
        <v>2</v>
      </c>
      <c r="V40" s="1523">
        <f>OFFSET(V40,0,-1)+1</f>
        <v>3</v>
      </c>
      <c r="W40" s="1523">
        <f>OFFSET(W40,0,-1)+1</f>
        <v>4</v>
      </c>
      <c r="X40" s="1523">
        <f>OFFSET(X40,0,-1)+1</f>
        <v>5</v>
      </c>
      <c r="Y40" s="1523">
        <f>OFFSET(Y40,0,-1)+1</f>
        <v>6</v>
      </c>
      <c r="Z40" s="2442">
        <f>OFFSET(Z40,0,-1)+1</f>
        <v>7</v>
      </c>
      <c r="AA40" s="2442"/>
      <c r="AB40" s="1523">
        <f>OFFSET(AB40,0,-2)+1</f>
        <v>8</v>
      </c>
      <c r="AC40" s="1523">
        <f>OFFSET(AC40,0,-1)+1</f>
        <v>9</v>
      </c>
      <c r="AD40" s="1523">
        <f>OFFSET(AD40,0,-1)+1</f>
        <v>10</v>
      </c>
      <c r="AE40" s="1523">
        <f>OFFSET(AE40,0,-1)+1</f>
        <v>11</v>
      </c>
      <c r="AF40" s="1523">
        <f>OFFSET(AF40,0,-1)+1</f>
        <v>12</v>
      </c>
      <c r="AG40" s="2442">
        <f>OFFSET(AG40,0,-1)+1</f>
        <v>13</v>
      </c>
      <c r="AH40" s="2442"/>
      <c r="AI40" s="1523">
        <f>OFFSET(AI40,0,-2)+1</f>
        <v>14</v>
      </c>
      <c r="AJ40" s="1415">
        <f>OFFSET(AJ40,0,-1)</f>
        <v>14</v>
      </c>
      <c r="AK40" s="1523">
        <f>OFFSET(AK40,0,-1)+1</f>
        <v>15</v>
      </c>
      <c r="AL40" s="681"/>
      <c r="AM40" s="681"/>
      <c r="AN40" s="681"/>
      <c r="AO40" s="681"/>
      <c r="AP40" s="681"/>
      <c r="AQ40" s="666">
        <v>0</v>
      </c>
    </row>
    <row customHeight="1" ht="24">
      <c r="A41" s="1533" t="s">
        <v>238</v>
      </c>
      <c r="B41" s="1533"/>
      <c r="C41" s="1533"/>
      <c r="D41" s="1533"/>
      <c r="E41" s="2428">
        <v>1</v>
      </c>
      <c r="F41" s="1533"/>
      <c r="G41" s="1533"/>
      <c r="H41" s="1533"/>
      <c r="I41" s="1533"/>
      <c r="J41" s="1533"/>
      <c r="K41" s="1533"/>
      <c r="L41" s="1534"/>
      <c r="M41" s="1535"/>
      <c r="N41" s="1535"/>
      <c r="O41" s="1535"/>
      <c r="P41" s="531"/>
      <c r="Q41" s="530"/>
      <c r="R41" s="525"/>
      <c r="S41" s="1528">
        <f>INDEX(PT_DIFFERENTIATION_NUM_NTAR,MATCH(A41,PT_DIFFERENTIATION_NTAR_ID,0))</f>
        <v>0</v>
      </c>
      <c r="T41" s="468" t="s">
        <v>126</v>
      </c>
      <c r="U41" s="470"/>
      <c r="V41" s="2412"/>
      <c r="W41" s="2413"/>
      <c r="X41" s="2413"/>
      <c r="Y41" s="2413"/>
      <c r="Z41" s="2413"/>
      <c r="AA41" s="2413"/>
      <c r="AB41" s="2414"/>
      <c r="AC41" s="2412" t="str">
        <f>INDEX(PT_DIFFERENTIATION_NTAR,MATCH(A41,PT_DIFFERENTIATION_NTAR_ID,0))</f>
        <v/>
      </c>
      <c r="AD41" s="2413"/>
      <c r="AE41" s="2413"/>
      <c r="AF41" s="2413"/>
      <c r="AG41" s="2413"/>
      <c r="AH41" s="2413"/>
      <c r="AI41" s="2413"/>
      <c r="AJ41" s="2414"/>
      <c r="AK41"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70"/>
      <c r="AN41" s="670" t="str">
        <f>IF(T41="","",T41)</f>
        <v>Наименование тарифа</v>
      </c>
      <c r="AO41" s="670"/>
      <c r="AP41" s="670"/>
      <c r="AQ41" s="1325">
        <v>23</v>
      </c>
    </row>
    <row customHeight="1" ht="24">
      <c r="A42" s="1533" t="s">
        <v>238</v>
      </c>
      <c r="B42" s="1533" t="s">
        <v>239</v>
      </c>
      <c r="C42" s="1533"/>
      <c r="D42" s="1533"/>
      <c r="E42" s="2429"/>
      <c r="F42" s="2428">
        <v>1</v>
      </c>
      <c r="G42" s="1533"/>
      <c r="H42" s="1533"/>
      <c r="I42" s="1533"/>
      <c r="J42" s="1533"/>
      <c r="K42" s="1533"/>
      <c r="L42" s="1534"/>
      <c r="M42" s="1535"/>
      <c r="N42" s="1535"/>
      <c r="O42" s="1535"/>
      <c r="P42" s="1526"/>
      <c r="Q42" s="522"/>
      <c r="R42" s="523"/>
      <c r="S42" s="1528" t="str">
        <f>INDEX(PT_DIFFERENTIATION_NUM_TER,MATCH(B42,PT_DIFFERENTIATION_TER_ID,0))</f>
        <v>.</v>
      </c>
      <c r="T42" s="478" t="s">
        <v>409</v>
      </c>
      <c r="U42" s="470"/>
      <c r="V42" s="2412"/>
      <c r="W42" s="2413"/>
      <c r="X42" s="2413"/>
      <c r="Y42" s="2413"/>
      <c r="Z42" s="2413"/>
      <c r="AA42" s="2413"/>
      <c r="AB42" s="2414"/>
      <c r="AC42" s="2412" t="str">
        <f>INDEX(PT_DIFFERENTIATION_TER,MATCH(B42,PT_DIFFERENTIATION_TER_ID,0))</f>
        <v/>
      </c>
      <c r="AD42" s="2413"/>
      <c r="AE42" s="2413"/>
      <c r="AF42" s="2413"/>
      <c r="AG42" s="2413"/>
      <c r="AH42" s="2413"/>
      <c r="AI42" s="2413"/>
      <c r="AJ42" s="2414"/>
      <c r="AK42" s="1428" t="s">
        <v>410</v>
      </c>
      <c r="AM42" s="670"/>
      <c r="AN42" s="670" t="str">
        <f>IF(T42="","",T42)</f>
        <v>Территория действия тарифа</v>
      </c>
      <c r="AO42" s="670"/>
      <c r="AP42" s="670"/>
      <c r="AQ42" s="1325">
        <v>23</v>
      </c>
    </row>
    <row customHeight="1" ht="24">
      <c r="A43" s="1533" t="s">
        <v>238</v>
      </c>
      <c r="B43" s="1533" t="s">
        <v>239</v>
      </c>
      <c r="C43" s="1533" t="s">
        <v>240</v>
      </c>
      <c r="D43" s="1533"/>
      <c r="E43" s="2429"/>
      <c r="F43" s="2429"/>
      <c r="G43" s="2428">
        <v>1</v>
      </c>
      <c r="H43" s="1533"/>
      <c r="I43" s="1533"/>
      <c r="J43" s="1533"/>
      <c r="K43" s="1533"/>
      <c r="L43" s="1534"/>
      <c r="M43" s="1535"/>
      <c r="N43" s="1535"/>
      <c r="O43" s="1535"/>
      <c r="P43" s="524"/>
      <c r="Q43" s="522"/>
      <c r="R43" s="523"/>
      <c r="S43" s="1528" t="str">
        <f>INDEX(PT_DIFFERENTIATION_NUM_CS,MATCH(C43,PT_DIFFERENTIATION_CS_ID,0))</f>
        <v>..</v>
      </c>
      <c r="T43" s="479" t="s">
        <v>496</v>
      </c>
      <c r="U43" s="470"/>
      <c r="V43" s="2412"/>
      <c r="W43" s="2413"/>
      <c r="X43" s="2413"/>
      <c r="Y43" s="2413"/>
      <c r="Z43" s="2413"/>
      <c r="AA43" s="2413"/>
      <c r="AB43" s="2414"/>
      <c r="AC43" s="2412" t="str">
        <f>INDEX(PT_DIFFERENTIATION_CS,MATCH(C43,PT_DIFFERENTIATION_CS_ID,0))</f>
        <v/>
      </c>
      <c r="AD43" s="2413"/>
      <c r="AE43" s="2413"/>
      <c r="AF43" s="2413"/>
      <c r="AG43" s="2413"/>
      <c r="AH43" s="2413"/>
      <c r="AI43" s="2413"/>
      <c r="AJ43" s="2414"/>
      <c r="AK43" s="1428" t="s">
        <v>497</v>
      </c>
      <c r="AM43" s="670"/>
      <c r="AN43" s="670" t="str">
        <f>IF(T43="","",T43)</f>
        <v>Наименование централизованной системы холодного водоснабжения</v>
      </c>
      <c r="AO43" s="670"/>
      <c r="AP43" s="670"/>
      <c r="AQ43" s="1325">
        <v>23</v>
      </c>
    </row>
    <row customHeight="1" ht="24">
      <c r="A44" s="1533" t="s">
        <v>238</v>
      </c>
      <c r="B44" s="1533" t="s">
        <v>239</v>
      </c>
      <c r="C44" s="1533" t="s">
        <v>240</v>
      </c>
      <c r="D44" s="1533" t="s">
        <v>510</v>
      </c>
      <c r="E44" s="2429"/>
      <c r="F44" s="2429"/>
      <c r="G44" s="2429"/>
      <c r="H44" s="2429"/>
      <c r="I44" s="2426" t="str">
        <f>S43&amp;".1"</f>
        <v>...1</v>
      </c>
      <c r="J44" s="1533"/>
      <c r="K44" s="1533"/>
      <c r="L44" s="1534"/>
      <c r="P44" s="2427">
        <v>1</v>
      </c>
      <c r="Q44" s="1524"/>
      <c r="R44" s="526"/>
      <c r="S44" s="1528" t="str">
        <f>$I44</f>
        <v>...1</v>
      </c>
      <c r="T44" s="455" t="s">
        <v>498</v>
      </c>
      <c r="U44" s="470"/>
      <c r="V44" s="2520"/>
      <c r="W44" s="2521"/>
      <c r="X44" s="2521"/>
      <c r="Y44" s="2521"/>
      <c r="Z44" s="2521"/>
      <c r="AA44" s="2521"/>
      <c r="AB44" s="2522"/>
      <c r="AC44" s="2523"/>
      <c r="AD44" s="2524"/>
      <c r="AE44" s="2524"/>
      <c r="AF44" s="2524"/>
      <c r="AG44" s="2524"/>
      <c r="AH44" s="2524"/>
      <c r="AI44" s="2524"/>
      <c r="AJ44" s="2525"/>
      <c r="AK44" s="1428" t="s">
        <v>499</v>
      </c>
      <c r="AM44" s="670"/>
      <c r="AN44" s="670" t="str">
        <f>IF(T44="","",T44)</f>
        <v>Наименование признака дифференциации</v>
      </c>
      <c r="AO44" s="670"/>
      <c r="AP44" s="670"/>
      <c r="AQ44" s="1325">
        <v>23</v>
      </c>
    </row>
    <row customHeight="1" ht="24">
      <c r="A45" s="1533" t="s">
        <v>238</v>
      </c>
      <c r="B45" s="1533" t="s">
        <v>239</v>
      </c>
      <c r="C45" s="1533" t="s">
        <v>240</v>
      </c>
      <c r="D45" s="1533" t="s">
        <v>510</v>
      </c>
      <c r="E45" s="2429"/>
      <c r="F45" s="2429"/>
      <c r="G45" s="2429"/>
      <c r="H45" s="2429"/>
      <c r="I45" s="2456"/>
      <c r="J45" s="2426" t="str">
        <f>I44&amp;".1"</f>
        <v>...1.1</v>
      </c>
      <c r="K45" s="1533"/>
      <c r="L45" s="1534" t="s">
        <v>418</v>
      </c>
      <c r="P45" s="2427"/>
      <c r="Q45" s="2427">
        <v>1</v>
      </c>
      <c r="R45" s="527"/>
      <c r="S45" s="1528" t="str">
        <f>$J45</f>
        <v>...1.1</v>
      </c>
      <c r="T45" s="456" t="s">
        <v>419</v>
      </c>
      <c r="U45" s="470"/>
      <c r="V45" s="2415"/>
      <c r="W45" s="2416"/>
      <c r="X45" s="2416"/>
      <c r="Y45" s="2416"/>
      <c r="Z45" s="2416"/>
      <c r="AA45" s="2416"/>
      <c r="AB45" s="2417"/>
      <c r="AC45" s="2415"/>
      <c r="AD45" s="2416"/>
      <c r="AE45" s="2416"/>
      <c r="AF45" s="2416"/>
      <c r="AG45" s="2416"/>
      <c r="AH45" s="2416"/>
      <c r="AI45" s="2416"/>
      <c r="AJ45" s="2417"/>
      <c r="AK45" s="1477" t="s">
        <v>500</v>
      </c>
      <c r="AM45" s="670"/>
      <c r="AN45" s="670" t="str">
        <f>IF(T45="","",T45)</f>
        <v>Группа потребителей</v>
      </c>
      <c r="AO45" s="670"/>
      <c r="AP45" s="670"/>
      <c r="AQ45" s="1325">
        <v>23</v>
      </c>
    </row>
    <row customHeight="1" ht="24">
      <c r="A46" s="1533" t="s">
        <v>238</v>
      </c>
      <c r="B46" s="1533" t="s">
        <v>239</v>
      </c>
      <c r="C46" s="1533" t="s">
        <v>240</v>
      </c>
      <c r="D46" s="1533" t="s">
        <v>510</v>
      </c>
      <c r="E46" s="2429"/>
      <c r="F46" s="2429"/>
      <c r="G46" s="2429"/>
      <c r="H46" s="2429"/>
      <c r="I46" s="2456"/>
      <c r="J46" s="2456"/>
      <c r="K46" s="2426" t="str">
        <f>J45&amp;".1"</f>
        <v>...1.1.1</v>
      </c>
      <c r="L46" s="1534"/>
      <c r="P46" s="2427"/>
      <c r="Q46" s="2427"/>
      <c r="R46" s="527">
        <v>1</v>
      </c>
      <c r="S46" s="1528" t="str">
        <f>$K46</f>
        <v>...1.1.1</v>
      </c>
      <c r="T46" s="1607"/>
      <c r="U46" s="470"/>
      <c r="V46" s="1530"/>
      <c r="W46" s="1530"/>
      <c r="X46" s="1531"/>
      <c r="Y46" s="2437"/>
      <c r="Z46" s="2438" t="s">
        <v>64</v>
      </c>
      <c r="AA46" s="2437"/>
      <c r="AB46" s="2438" t="s">
        <v>64</v>
      </c>
      <c r="AC46" s="921"/>
      <c r="AD46" s="921"/>
      <c r="AE46" s="1427"/>
      <c r="AF46" s="2435"/>
      <c r="AG46" s="2277" t="s">
        <v>64</v>
      </c>
      <c r="AH46" s="2457"/>
      <c r="AI46" s="2277" t="s">
        <v>19</v>
      </c>
      <c r="AJ46" s="1608"/>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1">
        <f>STRCHECKDATE(V47:AJ47)</f>
      </c>
      <c r="AM46" s="670"/>
      <c r="AN46" s="670" t="str">
        <f>IF(T46="","",T46)</f>
        <v/>
      </c>
      <c r="AO46" s="670"/>
      <c r="AP46" s="670"/>
      <c r="AQ46" s="1325">
        <v>23</v>
      </c>
    </row>
    <row customHeight="1" ht="0">
      <c r="A47" s="1533" t="s">
        <v>238</v>
      </c>
      <c r="B47" s="1533" t="s">
        <v>239</v>
      </c>
      <c r="C47" s="1533" t="s">
        <v>240</v>
      </c>
      <c r="D47" s="1533" t="s">
        <v>510</v>
      </c>
      <c r="E47" s="2429"/>
      <c r="F47" s="2429"/>
      <c r="G47" s="2429"/>
      <c r="H47" s="2429"/>
      <c r="I47" s="2456"/>
      <c r="J47" s="2456"/>
      <c r="K47" s="2426"/>
      <c r="L47" s="1534"/>
      <c r="P47" s="2427"/>
      <c r="Q47" s="2427"/>
      <c r="R47" s="527"/>
      <c r="S47" s="1529"/>
      <c r="T47" s="470"/>
      <c r="U47" s="470"/>
      <c r="V47" s="1530"/>
      <c r="W47" s="1530"/>
      <c r="X47" s="498" t="str">
        <f>Y46&amp;"-"&amp;AA46</f>
        <v>-</v>
      </c>
      <c r="Y47" s="2438"/>
      <c r="Z47" s="2438"/>
      <c r="AA47" s="2438"/>
      <c r="AB47" s="2438"/>
      <c r="AC47" s="495"/>
      <c r="AD47" s="495"/>
      <c r="AE47" s="498" t="str">
        <f>AF46&amp;"-"&amp;AH46</f>
        <v>-</v>
      </c>
      <c r="AF47" s="2436"/>
      <c r="AG47" s="2277"/>
      <c r="AH47" s="2458"/>
      <c r="AI47" s="2277"/>
      <c r="AJ47" s="1609"/>
      <c r="AK47" s="2519"/>
      <c r="AM47" s="670"/>
      <c r="AN47" s="670" t="str">
        <f>IF(T47="","",T47)</f>
        <v/>
      </c>
      <c r="AO47" s="670"/>
      <c r="AP47" s="670"/>
      <c r="AQ47" s="1325">
        <v>0</v>
      </c>
    </row>
    <row customHeight="1" ht="21">
      <c r="A48" s="1533" t="s">
        <v>238</v>
      </c>
      <c r="B48" s="1533" t="s">
        <v>239</v>
      </c>
      <c r="C48" s="1533" t="s">
        <v>240</v>
      </c>
      <c r="D48" s="1533" t="s">
        <v>510</v>
      </c>
      <c r="E48" s="2429"/>
      <c r="F48" s="2429"/>
      <c r="G48" s="2429"/>
      <c r="H48" s="2429"/>
      <c r="I48" s="2456"/>
      <c r="J48" s="2426"/>
      <c r="K48" s="1533"/>
      <c r="L48" s="1534"/>
      <c r="P48" s="2427"/>
      <c r="Q48" s="2427"/>
      <c r="R48" s="526"/>
      <c r="S48" s="1448"/>
      <c r="T48" s="457" t="s">
        <v>501</v>
      </c>
      <c r="U48" s="537"/>
      <c r="V48" s="537"/>
      <c r="W48" s="537"/>
      <c r="X48" s="537"/>
      <c r="Y48" s="537"/>
      <c r="Z48" s="537"/>
      <c r="AA48" s="537"/>
      <c r="AB48" s="537"/>
      <c r="AC48" s="537"/>
      <c r="AD48" s="537"/>
      <c r="AE48" s="537"/>
      <c r="AF48" s="537"/>
      <c r="AG48" s="537"/>
      <c r="AH48" s="537"/>
      <c r="AI48" s="537"/>
      <c r="AJ48" s="537"/>
      <c r="AK48" s="1428" t="s">
        <v>502</v>
      </c>
      <c r="AM48" s="670"/>
      <c r="AN48" s="670" t="str">
        <f>IF(T48="","",T48)</f>
        <v>Добавить значение признака дифференциации</v>
      </c>
      <c r="AO48" s="670"/>
      <c r="AP48" s="670"/>
      <c r="AQ48" s="1325">
        <v>20</v>
      </c>
    </row>
    <row customHeight="1" ht="22.049999999999997">
      <c r="A49" s="1533" t="s">
        <v>238</v>
      </c>
      <c r="B49" s="1533" t="s">
        <v>239</v>
      </c>
      <c r="C49" s="1533" t="s">
        <v>240</v>
      </c>
      <c r="D49" s="1533" t="s">
        <v>510</v>
      </c>
      <c r="E49" s="2429"/>
      <c r="F49" s="2429"/>
      <c r="G49" s="2429"/>
      <c r="H49" s="2429"/>
      <c r="I49" s="2426"/>
      <c r="J49" s="1533"/>
      <c r="K49" s="1533"/>
      <c r="L49" s="1534"/>
      <c r="P49" s="2427"/>
      <c r="Q49" s="1524"/>
      <c r="R49" s="526"/>
      <c r="S49" s="1448"/>
      <c r="T49" s="535" t="s">
        <v>424</v>
      </c>
      <c r="U49" s="537"/>
      <c r="V49" s="537"/>
      <c r="W49" s="537"/>
      <c r="X49" s="537"/>
      <c r="Y49" s="537"/>
      <c r="Z49" s="537"/>
      <c r="AA49" s="537"/>
      <c r="AB49" s="536"/>
      <c r="AC49" s="537"/>
      <c r="AD49" s="537"/>
      <c r="AE49" s="537"/>
      <c r="AF49" s="537"/>
      <c r="AG49" s="537"/>
      <c r="AH49" s="537"/>
      <c r="AI49" s="536"/>
      <c r="AJ49" s="537"/>
      <c r="AK49" s="1610"/>
      <c r="AM49" s="670"/>
      <c r="AN49" s="670" t="str">
        <f>IF(T49="","",T49)</f>
        <v>Добавить группу потребителей</v>
      </c>
      <c r="AO49" s="670"/>
      <c r="AP49" s="670"/>
      <c r="AQ49" s="1325">
        <v>21</v>
      </c>
    </row>
    <row customHeight="1" ht="22.049999999999997">
      <c r="A50" s="1533" t="s">
        <v>238</v>
      </c>
      <c r="B50" s="1533" t="s">
        <v>239</v>
      </c>
      <c r="C50" s="1533" t="s">
        <v>240</v>
      </c>
      <c r="D50" s="1533" t="s">
        <v>510</v>
      </c>
      <c r="E50" s="2429"/>
      <c r="F50" s="2429"/>
      <c r="G50" s="2429"/>
      <c r="H50" s="2428"/>
      <c r="I50" s="1533"/>
      <c r="J50" s="1533"/>
      <c r="K50" s="1533"/>
      <c r="L50" s="1534"/>
      <c r="M50" s="1535"/>
      <c r="N50" s="1535"/>
      <c r="O50" s="707"/>
      <c r="P50" s="530"/>
      <c r="Q50" s="545"/>
      <c r="R50" s="525"/>
      <c r="S50" s="1448"/>
      <c r="T50" s="542" t="s">
        <v>503</v>
      </c>
      <c r="U50" s="537"/>
      <c r="V50" s="537"/>
      <c r="W50" s="537"/>
      <c r="X50" s="537"/>
      <c r="Y50" s="537"/>
      <c r="Z50" s="537"/>
      <c r="AA50" s="537"/>
      <c r="AB50" s="536"/>
      <c r="AC50" s="537"/>
      <c r="AD50" s="537"/>
      <c r="AE50" s="537"/>
      <c r="AF50" s="537"/>
      <c r="AG50" s="537"/>
      <c r="AH50" s="537"/>
      <c r="AI50" s="536"/>
      <c r="AJ50" s="537"/>
      <c r="AK50" s="473"/>
      <c r="AM50" s="670"/>
      <c r="AN50" s="670" t="str">
        <f>IF(T50="","",T50)</f>
        <v>Добавить наименование признака дифференциации</v>
      </c>
      <c r="AO50" s="670"/>
      <c r="AP50" s="670"/>
      <c r="AQ50" s="1325">
        <v>21</v>
      </c>
    </row>
    <row s="11993" customFormat="1" customHeight="1" ht="0">
      <c r="A51" s="1513" t="s">
        <v>238</v>
      </c>
      <c r="B51" s="1513" t="s">
        <v>239</v>
      </c>
      <c r="C51" s="1484"/>
      <c r="D51" s="1484"/>
      <c r="E51" s="2429"/>
      <c r="F51" s="2428"/>
      <c r="G51" s="1484"/>
      <c r="H51" s="1484"/>
      <c r="I51" s="1484"/>
      <c r="J51" s="1484"/>
      <c r="K51" s="1484"/>
      <c r="L51" s="1596"/>
      <c r="M51" s="1491"/>
      <c r="N51" s="1491"/>
      <c r="P51" s="1486"/>
      <c r="Q51" s="1487"/>
      <c r="R51" s="1486"/>
      <c r="S51" s="1492"/>
      <c r="T51" s="1495" t="s">
        <v>166</v>
      </c>
      <c r="U51" s="1494"/>
      <c r="V51" s="1494"/>
      <c r="W51" s="1494"/>
      <c r="X51" s="1494"/>
      <c r="Y51" s="1494"/>
      <c r="Z51" s="1494"/>
      <c r="AA51" s="1494"/>
      <c r="AB51" s="1494"/>
      <c r="AC51" s="1494"/>
      <c r="AD51" s="1494"/>
      <c r="AE51" s="1494"/>
      <c r="AF51" s="1494"/>
      <c r="AG51" s="1494"/>
      <c r="AH51" s="1494"/>
      <c r="AI51" s="1494"/>
      <c r="AJ51" s="1494"/>
      <c r="AK51" s="1494"/>
      <c r="AM51" s="959"/>
      <c r="AN51" s="959" t="str">
        <f>IF(T51="","",T51)</f>
        <v>Добавить централизованную систему для дифференциации</v>
      </c>
      <c r="AO51" s="959"/>
      <c r="AP51" s="959"/>
      <c r="AQ51" s="688">
        <v>0</v>
      </c>
    </row>
    <row s="11993" customFormat="1" customHeight="1" ht="0">
      <c r="A52" s="1513" t="s">
        <v>238</v>
      </c>
      <c r="B52" s="1513"/>
      <c r="C52" s="1513"/>
      <c r="D52" s="1513"/>
      <c r="E52" s="2428"/>
      <c r="F52" s="1513"/>
      <c r="G52" s="1513"/>
      <c r="H52" s="1513"/>
      <c r="I52" s="1513"/>
      <c r="J52" s="1513"/>
      <c r="K52" s="1513"/>
      <c r="L52" s="1516"/>
      <c r="M52" s="1491"/>
      <c r="N52" s="1491"/>
      <c r="O52" s="688"/>
      <c r="P52" s="550"/>
      <c r="Q52" s="1514"/>
      <c r="R52" s="550"/>
      <c r="S52" s="1492"/>
      <c r="T52" s="1495" t="s">
        <v>167</v>
      </c>
      <c r="U52" s="1494"/>
      <c r="V52" s="1494"/>
      <c r="W52" s="1494"/>
      <c r="X52" s="1494"/>
      <c r="Y52" s="1494"/>
      <c r="Z52" s="1494"/>
      <c r="AA52" s="1494"/>
      <c r="AB52" s="1494"/>
      <c r="AC52" s="1494"/>
      <c r="AD52" s="1494"/>
      <c r="AE52" s="1494"/>
      <c r="AF52" s="1494"/>
      <c r="AG52" s="1494"/>
      <c r="AH52" s="1494"/>
      <c r="AI52" s="1494"/>
      <c r="AJ52" s="1494"/>
      <c r="AK52" s="1494"/>
      <c r="AM52" s="670"/>
      <c r="AN52" s="670" t="str">
        <f>IF(T52="","",T52)</f>
        <v>Добавить территорию для дифференциации</v>
      </c>
      <c r="AO52" s="670"/>
      <c r="AP52" s="670"/>
      <c r="AQ52" s="681">
        <v>0</v>
      </c>
    </row>
    <row s="11993" customFormat="1" customHeight="1" ht="0">
      <c r="A53" s="1484"/>
      <c r="B53" s="1484"/>
      <c r="C53" s="1484"/>
      <c r="D53" s="1484"/>
      <c r="E53" s="1513"/>
      <c r="F53" s="1484"/>
      <c r="G53" s="1484"/>
      <c r="H53" s="1484"/>
      <c r="I53" s="1484"/>
      <c r="J53" s="1484"/>
      <c r="K53" s="1484"/>
      <c r="L53" s="1596"/>
      <c r="M53" s="1491"/>
      <c r="N53" s="1491"/>
      <c r="P53" s="1486"/>
      <c r="Q53" s="1487"/>
      <c r="R53" s="1486"/>
      <c r="S53" s="1492"/>
      <c r="T53" s="1495" t="s">
        <v>168</v>
      </c>
      <c r="U53" s="1494"/>
      <c r="V53" s="1494"/>
      <c r="W53" s="1494"/>
      <c r="X53" s="1494"/>
      <c r="Y53" s="1494"/>
      <c r="Z53" s="1494"/>
      <c r="AA53" s="1494"/>
      <c r="AB53" s="1494"/>
      <c r="AC53" s="1494"/>
      <c r="AD53" s="1494"/>
      <c r="AE53" s="1494"/>
      <c r="AF53" s="1494"/>
      <c r="AG53" s="1494"/>
      <c r="AH53" s="1494"/>
      <c r="AI53" s="1494"/>
      <c r="AJ53" s="1494"/>
      <c r="AK53" s="1494"/>
      <c r="AM53" s="959"/>
      <c r="AN53" s="959" t="str">
        <f>IF(T53="","",T53)</f>
        <v>Добавить наименование тарифа</v>
      </c>
      <c r="AO53" s="959"/>
      <c r="AP53" s="959"/>
      <c r="AQ53" s="688">
        <v>0</v>
      </c>
    </row>
    <row customHeight="1" ht="11.549999999999999">
      <c r="M54" s="1330"/>
      <c r="N54" s="1330"/>
      <c r="O54" s="707"/>
      <c r="P54" s="1325"/>
      <c r="Q54" s="1325"/>
      <c r="R54" s="1325"/>
      <c r="S54" s="1325"/>
      <c r="AL54" s="1325"/>
      <c r="AM54" s="1325"/>
      <c r="AN54" s="1325"/>
      <c r="AO54" s="1325"/>
      <c r="AP54" s="1325"/>
      <c r="AQ54" s="1325">
        <v>11</v>
      </c>
    </row>
    <row customHeight="1" ht="14.699999999999998">
      <c r="O55" s="707"/>
      <c r="S55" s="1423"/>
      <c r="T55" s="2455"/>
      <c r="U55" s="2455"/>
      <c r="V55" s="2455"/>
      <c r="W55" s="2455"/>
      <c r="X55" s="2455"/>
      <c r="Y55" s="2455"/>
      <c r="Z55" s="2455"/>
      <c r="AA55" s="2455"/>
      <c r="AB55" s="2455"/>
      <c r="AC55" s="2455"/>
      <c r="AD55" s="2455"/>
      <c r="AE55" s="2455"/>
      <c r="AF55" s="2455"/>
      <c r="AG55" s="2455"/>
      <c r="AH55" s="2455"/>
      <c r="AI55" s="2455"/>
      <c r="AJ55" s="2455"/>
      <c r="AK55" s="2455"/>
      <c r="AQ55" s="1325">
        <v>14</v>
      </c>
    </row>
    <row customHeight="1" ht="14.699999999999998">
      <c r="O56" s="707"/>
      <c r="AQ56" s="1325">
        <v>14</v>
      </c>
    </row>
    <row customHeight="1" ht="14.699999999999998">
      <c r="O57" s="707"/>
      <c r="S57" s="1423"/>
      <c r="T57" s="2455"/>
      <c r="U57" s="2455"/>
      <c r="V57" s="2455"/>
      <c r="W57" s="2455"/>
      <c r="X57" s="2455"/>
      <c r="Y57" s="2455"/>
      <c r="Z57" s="2455"/>
      <c r="AA57" s="2455"/>
      <c r="AB57" s="2455"/>
      <c r="AC57" s="2455"/>
      <c r="AD57" s="2455"/>
      <c r="AE57" s="2455"/>
      <c r="AF57" s="2455"/>
      <c r="AG57" s="2455"/>
      <c r="AH57" s="2455"/>
      <c r="AI57" s="2455"/>
      <c r="AJ57" s="2455"/>
      <c r="AK57" s="2455"/>
      <c r="AQ57" s="1325">
        <v>14</v>
      </c>
    </row>
    <row customHeight="1" ht="22.5" hidden="1">
      <c r="A58" s="1330" t="s">
        <v>85</v>
      </c>
      <c r="B58" s="1330">
        <v>0</v>
      </c>
      <c r="C58" s="1330">
        <v>0</v>
      </c>
      <c r="D58" s="1330">
        <v>0</v>
      </c>
      <c r="E58" s="1330">
        <v>0</v>
      </c>
      <c r="F58" s="1330">
        <v>0</v>
      </c>
      <c r="G58" s="1330">
        <v>0</v>
      </c>
      <c r="H58" s="1330">
        <v>0</v>
      </c>
      <c r="I58" s="1330">
        <v>0</v>
      </c>
      <c r="J58" s="1330">
        <v>0</v>
      </c>
      <c r="K58" s="1330">
        <v>0</v>
      </c>
      <c r="L58" s="1591">
        <v>0</v>
      </c>
      <c r="M58" s="1532">
        <v>0</v>
      </c>
      <c r="N58" s="1532">
        <v>0</v>
      </c>
      <c r="O58" s="1532">
        <v>0</v>
      </c>
      <c r="P58" s="1521">
        <v>3</v>
      </c>
      <c r="Q58" s="514">
        <v>3</v>
      </c>
      <c r="R58" s="514">
        <v>3</v>
      </c>
      <c r="S58" s="751">
        <v>12</v>
      </c>
      <c r="T58" s="1325">
        <v>35</v>
      </c>
      <c r="U58" s="1325">
        <v>0</v>
      </c>
      <c r="V58" s="1325">
        <v>0</v>
      </c>
      <c r="W58" s="1325">
        <v>0</v>
      </c>
      <c r="X58" s="1325">
        <v>0</v>
      </c>
      <c r="Y58" s="1325">
        <v>0</v>
      </c>
      <c r="Z58" s="1325">
        <v>0</v>
      </c>
      <c r="AA58" s="1325">
        <v>0</v>
      </c>
      <c r="AB58" s="1325">
        <v>0</v>
      </c>
      <c r="AC58" s="1325">
        <v>24</v>
      </c>
      <c r="AD58" s="1325">
        <v>24</v>
      </c>
      <c r="AE58" s="1325">
        <v>24</v>
      </c>
      <c r="AF58" s="1325">
        <v>11</v>
      </c>
      <c r="AG58" s="1325">
        <v>3</v>
      </c>
      <c r="AH58" s="1325">
        <v>11</v>
      </c>
      <c r="AI58" s="1325">
        <v>0</v>
      </c>
      <c r="AJ58" s="1325">
        <v>4</v>
      </c>
      <c r="AK58" s="1325">
        <v>115</v>
      </c>
      <c r="AL58" s="681">
        <v>10</v>
      </c>
      <c r="AM58" s="681">
        <v>10</v>
      </c>
      <c r="AN58" s="681">
        <v>10</v>
      </c>
      <c r="AO58" s="681">
        <v>10</v>
      </c>
      <c r="AP58" s="681">
        <v>10</v>
      </c>
      <c r="AQ58" s="132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7E2FB1-2A3B-EBF6-51EE-E6343997BBC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992" width="10.57421875" hidden="1"/>
    <col min="2" max="2" style="11992" width="11.00390625" hidden="1" customWidth="1"/>
    <col min="3" max="3" style="11992" width="10.57421875" hidden="1"/>
    <col min="4" max="4" style="11992" width="11.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4.140625" hidden="1" customWidth="1"/>
    <col min="10" max="10" style="11992" width="9.8515625" hidden="1" customWidth="1"/>
    <col min="11" max="11" style="11992" width="14.7109375" hidden="1" customWidth="1"/>
    <col min="12" max="12" style="13388" width="19.140625" hidden="1" customWidth="1"/>
    <col min="13" max="14" style="13389" width="12.28125" hidden="1" customWidth="1"/>
    <col min="15" max="15" style="13389" width="23.421875" hidden="1" customWidth="1"/>
    <col min="16" max="16" style="13390" width="3.00390625" customWidth="1"/>
    <col min="17" max="18" style="13391" width="3.00390625" customWidth="1"/>
    <col min="19" max="19" style="13392" width="12.00390625" customWidth="1"/>
    <col min="20" max="20" style="11913" width="35.00390625" customWidth="1"/>
    <col min="21" max="21" style="11913" width="0.140625" customWidth="1"/>
    <col min="22" max="24" style="11913" width="24.7109375" hidden="1" customWidth="1"/>
    <col min="25" max="25" style="11913" width="11.7109375" hidden="1" customWidth="1"/>
    <col min="26" max="26" style="11913" width="3.7109375" hidden="1" customWidth="1"/>
    <col min="27" max="27" style="11913" width="11.7109375" hidden="1" customWidth="1"/>
    <col min="28" max="28" style="11913" width="8.57421875" hidden="1" customWidth="1"/>
    <col min="29" max="29" style="11913" width="24.7109375" customWidth="1"/>
    <col min="30" max="31" style="11913" width="24.00390625" customWidth="1"/>
    <col min="32" max="32" style="11913" width="11.00390625" customWidth="1"/>
    <col min="33" max="33" style="11913" width="3.7109375" customWidth="1"/>
    <col min="34" max="34" style="11913" width="11.00390625" customWidth="1"/>
    <col min="35" max="35" style="11913" width="8.57421875" hidden="1" customWidth="1"/>
    <col min="36" max="36" style="11913" width="4.00390625" customWidth="1"/>
    <col min="37" max="37" style="11913" width="115.00390625" customWidth="1"/>
    <col min="38" max="42" style="11993" width="10.00390625" customWidth="1"/>
    <col min="43" max="43" style="11913" width="10.57421875" hidden="1"/>
  </cols>
  <sheetData>
    <row customHeight="1" ht="22.5" hidden="1">
      <c r="X1" s="497"/>
      <c r="Y1" s="497"/>
      <c r="AE1" s="497"/>
      <c r="AF1" s="497"/>
      <c r="AQ1" s="1325" t="s">
        <v>14</v>
      </c>
    </row>
    <row customHeight="1" ht="23.25" hidden="1">
      <c r="A2" s="1533"/>
      <c r="B2" s="1533"/>
      <c r="C2" s="1533"/>
      <c r="D2" s="1533"/>
      <c r="E2" s="2428">
        <v>1</v>
      </c>
      <c r="F2" s="1533"/>
      <c r="G2" s="1533"/>
      <c r="H2" s="1533"/>
      <c r="I2" s="1533"/>
      <c r="J2" s="1533"/>
      <c r="K2" s="1533"/>
      <c r="L2" s="1534"/>
      <c r="M2" s="1535"/>
      <c r="N2" s="1535"/>
      <c r="O2" s="1535"/>
      <c r="P2" s="531"/>
      <c r="Q2" s="530"/>
      <c r="R2" s="525"/>
      <c r="S2" s="1627">
        <f>INDEX(PT_DIFFERENTIATION_NUM_NTAR,MATCH(A2,PT_DIFFERENTIATION_NTAR_ID,0))</f>
      </c>
      <c r="T2" s="468" t="s">
        <v>126</v>
      </c>
      <c r="U2" s="470"/>
      <c r="V2" s="2412"/>
      <c r="W2" s="2413"/>
      <c r="X2" s="2413"/>
      <c r="Y2" s="2413"/>
      <c r="Z2" s="2413"/>
      <c r="AA2" s="2413"/>
      <c r="AB2" s="2414"/>
      <c r="AC2" s="2412">
        <f>INDEX(PT_DIFFERENTIATION_NTAR,MATCH(A2,PT_DIFFERENTIATION_NTAR_ID,0))</f>
      </c>
      <c r="AD2" s="2413"/>
      <c r="AE2" s="2413"/>
      <c r="AF2" s="2413"/>
      <c r="AG2" s="2413"/>
      <c r="AH2" s="2413"/>
      <c r="AI2" s="2413"/>
      <c r="AJ2" s="2414"/>
      <c r="AK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70"/>
      <c r="AN2" s="670" t="str">
        <f>IF(T2="","",T2)</f>
        <v>Наименование тарифа</v>
      </c>
      <c r="AO2" s="670"/>
      <c r="AP2" s="670"/>
      <c r="AQ2" s="1325">
        <v>0</v>
      </c>
    </row>
    <row customHeight="1" ht="23.25" hidden="1">
      <c r="A3" s="1533"/>
      <c r="B3" s="1533"/>
      <c r="C3" s="1533"/>
      <c r="D3" s="1533"/>
      <c r="E3" s="2429"/>
      <c r="F3" s="2428">
        <v>1</v>
      </c>
      <c r="G3" s="1533"/>
      <c r="H3" s="1533"/>
      <c r="I3" s="1533"/>
      <c r="J3" s="1533"/>
      <c r="K3" s="1533"/>
      <c r="L3" s="1534"/>
      <c r="M3" s="1535"/>
      <c r="N3" s="1535"/>
      <c r="O3" s="1535"/>
      <c r="P3" s="1623"/>
      <c r="Q3" s="522"/>
      <c r="R3" s="523"/>
      <c r="S3" s="1627">
        <f>INDEX(PT_DIFFERENTIATION_NUM_TER,MATCH(B3,PT_DIFFERENTIATION_TER_ID,0))</f>
      </c>
      <c r="T3" s="478" t="s">
        <v>409</v>
      </c>
      <c r="U3" s="470"/>
      <c r="V3" s="2412"/>
      <c r="W3" s="2413"/>
      <c r="X3" s="2413"/>
      <c r="Y3" s="2413"/>
      <c r="Z3" s="2413"/>
      <c r="AA3" s="2413"/>
      <c r="AB3" s="2414"/>
      <c r="AC3" s="2412">
        <f>INDEX(PT_DIFFERENTIATION_TER,MATCH(B3,PT_DIFFERENTIATION_TER_ID,0))</f>
      </c>
      <c r="AD3" s="2413"/>
      <c r="AE3" s="2413"/>
      <c r="AF3" s="2413"/>
      <c r="AG3" s="2413"/>
      <c r="AH3" s="2413"/>
      <c r="AI3" s="2413"/>
      <c r="AJ3" s="2414"/>
      <c r="AK3" s="1428" t="s">
        <v>410</v>
      </c>
      <c r="AM3" s="670"/>
      <c r="AN3" s="670" t="str">
        <f>IF(T3="","",T3)</f>
        <v>Территория действия тарифа</v>
      </c>
      <c r="AO3" s="670"/>
      <c r="AP3" s="670"/>
      <c r="AQ3" s="1325">
        <v>0</v>
      </c>
    </row>
    <row customHeight="1" ht="23.25" hidden="1">
      <c r="A4" s="1533"/>
      <c r="B4" s="1533"/>
      <c r="C4" s="1533"/>
      <c r="D4" s="1533"/>
      <c r="E4" s="2429"/>
      <c r="F4" s="2429"/>
      <c r="G4" s="2428">
        <v>1</v>
      </c>
      <c r="H4" s="1533"/>
      <c r="I4" s="1533"/>
      <c r="J4" s="1533"/>
      <c r="K4" s="1533"/>
      <c r="L4" s="1534"/>
      <c r="M4" s="1535"/>
      <c r="N4" s="1535"/>
      <c r="O4" s="1535"/>
      <c r="P4" s="524"/>
      <c r="Q4" s="522"/>
      <c r="R4" s="523"/>
      <c r="S4" s="1627">
        <f>INDEX(PT_DIFFERENTIATION_NUM_CS,MATCH(C4,PT_DIFFERENTIATION_CS_ID,0))</f>
      </c>
      <c r="T4" s="479" t="s">
        <v>496</v>
      </c>
      <c r="U4" s="470"/>
      <c r="V4" s="2412"/>
      <c r="W4" s="2413"/>
      <c r="X4" s="2413"/>
      <c r="Y4" s="2413"/>
      <c r="Z4" s="2413"/>
      <c r="AA4" s="2413"/>
      <c r="AB4" s="2414"/>
      <c r="AC4" s="2412">
        <f>INDEX(PT_DIFFERENTIATION_CS,MATCH(C4,PT_DIFFERENTIATION_CS_ID,0))</f>
      </c>
      <c r="AD4" s="2413"/>
      <c r="AE4" s="2413"/>
      <c r="AF4" s="2413"/>
      <c r="AG4" s="2413"/>
      <c r="AH4" s="2413"/>
      <c r="AI4" s="2413"/>
      <c r="AJ4" s="2414"/>
      <c r="AK4" s="1428" t="s">
        <v>497</v>
      </c>
      <c r="AM4" s="670"/>
      <c r="AN4" s="670" t="str">
        <f>IF(T4="","",T4)</f>
        <v>Наименование централизованной системы холодного водоснабжения</v>
      </c>
      <c r="AO4" s="670"/>
      <c r="AP4" s="670"/>
      <c r="AQ4" s="1325">
        <v>0</v>
      </c>
    </row>
    <row customHeight="1" ht="23.25" hidden="1">
      <c r="A5" s="1533"/>
      <c r="B5" s="1533"/>
      <c r="C5" s="1533"/>
      <c r="D5" s="1533"/>
      <c r="E5" s="2429"/>
      <c r="F5" s="2429"/>
      <c r="G5" s="2429"/>
      <c r="H5" s="2429"/>
      <c r="I5" s="2426">
        <f>S4&amp;".1"</f>
      </c>
      <c r="J5" s="1533"/>
      <c r="K5" s="1533"/>
      <c r="L5" s="1534"/>
      <c r="P5" s="2427">
        <v>1</v>
      </c>
      <c r="Q5" s="1620"/>
      <c r="R5" s="526"/>
      <c r="S5" s="1627">
        <f>$I5</f>
      </c>
      <c r="T5" s="455" t="s">
        <v>498</v>
      </c>
      <c r="U5" s="470"/>
      <c r="V5" s="2520"/>
      <c r="W5" s="2521"/>
      <c r="X5" s="2521"/>
      <c r="Y5" s="2521"/>
      <c r="Z5" s="2521"/>
      <c r="AA5" s="2521"/>
      <c r="AB5" s="2522"/>
      <c r="AC5" s="2523"/>
      <c r="AD5" s="2524"/>
      <c r="AE5" s="2524"/>
      <c r="AF5" s="2524"/>
      <c r="AG5" s="2524"/>
      <c r="AH5" s="2524"/>
      <c r="AI5" s="2524"/>
      <c r="AJ5" s="2525"/>
      <c r="AK5" s="1428" t="s">
        <v>499</v>
      </c>
      <c r="AM5" s="670"/>
      <c r="AN5" s="670" t="str">
        <f>IF(T5="","",T5)</f>
        <v>Наименование признака дифференциации</v>
      </c>
      <c r="AO5" s="670"/>
      <c r="AP5" s="670"/>
      <c r="AQ5" s="1325">
        <v>0</v>
      </c>
    </row>
    <row customHeight="1" ht="23.25" hidden="1">
      <c r="A6" s="1533"/>
      <c r="B6" s="1533"/>
      <c r="C6" s="1533"/>
      <c r="D6" s="1533"/>
      <c r="E6" s="2429"/>
      <c r="F6" s="2429"/>
      <c r="G6" s="2429"/>
      <c r="H6" s="2429"/>
      <c r="I6" s="2456"/>
      <c r="J6" s="2426">
        <f>I5&amp;".1"</f>
      </c>
      <c r="K6" s="1533"/>
      <c r="L6" s="1534" t="s">
        <v>418</v>
      </c>
      <c r="P6" s="2427"/>
      <c r="Q6" s="2427">
        <v>1</v>
      </c>
      <c r="R6" s="527"/>
      <c r="S6" s="1627">
        <f>$J6</f>
      </c>
      <c r="T6" s="456" t="s">
        <v>419</v>
      </c>
      <c r="U6" s="470"/>
      <c r="V6" s="2415"/>
      <c r="W6" s="2416"/>
      <c r="X6" s="2416"/>
      <c r="Y6" s="2416"/>
      <c r="Z6" s="2416"/>
      <c r="AA6" s="2416"/>
      <c r="AB6" s="2417"/>
      <c r="AC6" s="2415"/>
      <c r="AD6" s="2416"/>
      <c r="AE6" s="2416"/>
      <c r="AF6" s="2416"/>
      <c r="AG6" s="2416"/>
      <c r="AH6" s="2416"/>
      <c r="AI6" s="2416"/>
      <c r="AJ6" s="2417"/>
      <c r="AK6" s="1477" t="s">
        <v>500</v>
      </c>
      <c r="AM6" s="670"/>
      <c r="AN6" s="670" t="str">
        <f>IF(T6="","",T6)</f>
        <v>Группа потребителей</v>
      </c>
      <c r="AO6" s="670"/>
      <c r="AP6" s="670"/>
      <c r="AQ6" s="1325">
        <v>0</v>
      </c>
    </row>
    <row customHeight="1" ht="23.25" hidden="1">
      <c r="A7" s="1533"/>
      <c r="B7" s="1533"/>
      <c r="C7" s="1533"/>
      <c r="D7" s="1533"/>
      <c r="E7" s="2429"/>
      <c r="F7" s="2429"/>
      <c r="G7" s="2429"/>
      <c r="H7" s="2429"/>
      <c r="I7" s="2456"/>
      <c r="J7" s="2456"/>
      <c r="K7" s="2426">
        <f>J6&amp;".1"</f>
      </c>
      <c r="L7" s="1534"/>
      <c r="P7" s="2427"/>
      <c r="Q7" s="2427"/>
      <c r="R7" s="527">
        <v>1</v>
      </c>
      <c r="S7" s="1627">
        <f>$K7</f>
      </c>
      <c r="T7" s="1607"/>
      <c r="U7" s="470"/>
      <c r="V7" s="921"/>
      <c r="W7" s="921"/>
      <c r="X7" s="1427"/>
      <c r="Y7" s="2435"/>
      <c r="Z7" s="2277" t="s">
        <v>64</v>
      </c>
      <c r="AA7" s="2435"/>
      <c r="AB7" s="2277" t="s">
        <v>64</v>
      </c>
      <c r="AC7" s="921"/>
      <c r="AD7" s="921"/>
      <c r="AE7" s="1427"/>
      <c r="AF7" s="2435"/>
      <c r="AG7" s="2277" t="s">
        <v>64</v>
      </c>
      <c r="AH7" s="2457"/>
      <c r="AI7" s="2277" t="s">
        <v>64</v>
      </c>
      <c r="AJ7" s="1608"/>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1">
        <f>STRCHECKDATE(V8:AJ8)</f>
      </c>
      <c r="AM7" s="670"/>
      <c r="AN7" s="670" t="str">
        <f>IF(T7="","",T7)</f>
        <v/>
      </c>
      <c r="AO7" s="670"/>
      <c r="AP7" s="670"/>
      <c r="AQ7" s="1325">
        <v>0</v>
      </c>
    </row>
    <row customHeight="1" ht="14.25" hidden="1">
      <c r="A8" s="1533"/>
      <c r="B8" s="1533"/>
      <c r="C8" s="1533"/>
      <c r="D8" s="1533"/>
      <c r="E8" s="2429"/>
      <c r="F8" s="2429"/>
      <c r="G8" s="2429"/>
      <c r="H8" s="2429"/>
      <c r="I8" s="2456"/>
      <c r="J8" s="2456"/>
      <c r="K8" s="2426"/>
      <c r="L8" s="1534"/>
      <c r="P8" s="2427"/>
      <c r="Q8" s="2427"/>
      <c r="R8" s="527"/>
      <c r="S8" s="1626"/>
      <c r="T8" s="470"/>
      <c r="U8" s="470"/>
      <c r="V8" s="495"/>
      <c r="W8" s="495"/>
      <c r="X8" s="498" t="str">
        <f>Y7&amp;"-"&amp;AA7</f>
        <v>-</v>
      </c>
      <c r="Y8" s="2436"/>
      <c r="Z8" s="2277"/>
      <c r="AA8" s="2436"/>
      <c r="AB8" s="2277"/>
      <c r="AC8" s="495"/>
      <c r="AD8" s="495"/>
      <c r="AE8" s="498" t="str">
        <f>AF7&amp;"-"&amp;AH7</f>
        <v>-</v>
      </c>
      <c r="AF8" s="2436"/>
      <c r="AG8" s="2277"/>
      <c r="AH8" s="2458"/>
      <c r="AI8" s="2277"/>
      <c r="AJ8" s="1609"/>
      <c r="AK8" s="2519"/>
      <c r="AM8" s="670"/>
      <c r="AN8" s="670" t="str">
        <f>IF(T8="","",T8)</f>
        <v/>
      </c>
      <c r="AO8" s="670"/>
      <c r="AP8" s="670"/>
      <c r="AQ8" s="1325">
        <v>0</v>
      </c>
    </row>
    <row customHeight="1" ht="21" hidden="1">
      <c r="A9" s="1533"/>
      <c r="B9" s="1533"/>
      <c r="C9" s="1533"/>
      <c r="D9" s="1533"/>
      <c r="E9" s="2429"/>
      <c r="F9" s="2429"/>
      <c r="G9" s="2429"/>
      <c r="H9" s="2429"/>
      <c r="I9" s="2456"/>
      <c r="J9" s="2426"/>
      <c r="K9" s="1533"/>
      <c r="L9" s="1534"/>
      <c r="P9" s="2427"/>
      <c r="Q9" s="2427"/>
      <c r="R9" s="526"/>
      <c r="S9" s="1448"/>
      <c r="T9" s="457" t="s">
        <v>501</v>
      </c>
      <c r="U9" s="537"/>
      <c r="V9" s="537"/>
      <c r="W9" s="537"/>
      <c r="X9" s="537"/>
      <c r="Y9" s="537"/>
      <c r="Z9" s="537"/>
      <c r="AA9" s="537"/>
      <c r="AB9" s="537"/>
      <c r="AC9" s="537"/>
      <c r="AD9" s="537"/>
      <c r="AE9" s="537"/>
      <c r="AF9" s="537"/>
      <c r="AG9" s="537"/>
      <c r="AH9" s="537"/>
      <c r="AI9" s="537"/>
      <c r="AJ9" s="537"/>
      <c r="AK9" s="1428" t="s">
        <v>502</v>
      </c>
      <c r="AM9" s="670"/>
      <c r="AN9" s="670" t="str">
        <f>IF(T9="","",T9)</f>
        <v>Добавить значение признака дифференциации</v>
      </c>
      <c r="AO9" s="670"/>
      <c r="AP9" s="670"/>
      <c r="AQ9" s="1325">
        <v>0</v>
      </c>
    </row>
    <row customHeight="1" ht="21" hidden="1">
      <c r="A10" s="1533"/>
      <c r="B10" s="1533"/>
      <c r="C10" s="1533"/>
      <c r="D10" s="1533"/>
      <c r="E10" s="2429"/>
      <c r="F10" s="2429"/>
      <c r="G10" s="2429"/>
      <c r="H10" s="2429"/>
      <c r="I10" s="2426"/>
      <c r="J10" s="1533"/>
      <c r="K10" s="1533"/>
      <c r="L10" s="1534"/>
      <c r="P10" s="2427"/>
      <c r="Q10" s="1620"/>
      <c r="R10" s="526"/>
      <c r="S10" s="1448"/>
      <c r="T10" s="535" t="s">
        <v>424</v>
      </c>
      <c r="U10" s="537"/>
      <c r="V10" s="537"/>
      <c r="W10" s="537"/>
      <c r="X10" s="537"/>
      <c r="Y10" s="537"/>
      <c r="Z10" s="537"/>
      <c r="AA10" s="537"/>
      <c r="AB10" s="536"/>
      <c r="AC10" s="537"/>
      <c r="AD10" s="537"/>
      <c r="AE10" s="537"/>
      <c r="AF10" s="537"/>
      <c r="AG10" s="537"/>
      <c r="AH10" s="537"/>
      <c r="AI10" s="536"/>
      <c r="AJ10" s="537"/>
      <c r="AK10" s="1610"/>
      <c r="AM10" s="670"/>
      <c r="AN10" s="670" t="str">
        <f>IF(T10="","",T10)</f>
        <v>Добавить группу потребителей</v>
      </c>
      <c r="AO10" s="670"/>
      <c r="AP10" s="670"/>
      <c r="AQ10" s="1325">
        <v>0</v>
      </c>
    </row>
    <row customHeight="1" ht="21" hidden="1">
      <c r="A11" s="1533"/>
      <c r="B11" s="1533"/>
      <c r="C11" s="1533"/>
      <c r="D11" s="1533"/>
      <c r="E11" s="2429"/>
      <c r="F11" s="2429"/>
      <c r="G11" s="2429"/>
      <c r="H11" s="2428"/>
      <c r="I11" s="1533"/>
      <c r="J11" s="1533"/>
      <c r="K11" s="1533"/>
      <c r="L11" s="1534"/>
      <c r="M11" s="1535"/>
      <c r="N11" s="1535"/>
      <c r="O11" s="707"/>
      <c r="P11" s="530"/>
      <c r="Q11" s="545"/>
      <c r="R11" s="525"/>
      <c r="S11" s="1448"/>
      <c r="T11" s="542" t="s">
        <v>503</v>
      </c>
      <c r="U11" s="537"/>
      <c r="V11" s="537"/>
      <c r="W11" s="537"/>
      <c r="X11" s="537"/>
      <c r="Y11" s="537"/>
      <c r="Z11" s="537"/>
      <c r="AA11" s="537"/>
      <c r="AB11" s="536"/>
      <c r="AC11" s="537"/>
      <c r="AD11" s="537"/>
      <c r="AE11" s="537"/>
      <c r="AF11" s="537"/>
      <c r="AG11" s="537"/>
      <c r="AH11" s="537"/>
      <c r="AI11" s="536"/>
      <c r="AJ11" s="537"/>
      <c r="AK11" s="473"/>
      <c r="AM11" s="670"/>
      <c r="AN11" s="670" t="str">
        <f>IF(T11="","",T11)</f>
        <v>Добавить наименование признака дифференциации</v>
      </c>
      <c r="AO11" s="670"/>
      <c r="AP11" s="670"/>
      <c r="AQ11" s="1325">
        <v>0</v>
      </c>
    </row>
    <row s="11993" customFormat="1" customHeight="1" ht="14.25" hidden="1">
      <c r="A12" s="1513"/>
      <c r="B12" s="1513"/>
      <c r="C12" s="1484"/>
      <c r="D12" s="1484"/>
      <c r="E12" s="2429"/>
      <c r="F12" s="2428"/>
      <c r="G12" s="1484"/>
      <c r="H12" s="1484"/>
      <c r="I12" s="1484"/>
      <c r="J12" s="1484"/>
      <c r="K12" s="1484"/>
      <c r="L12" s="1628"/>
      <c r="M12" s="1491"/>
      <c r="N12" s="1491"/>
      <c r="P12" s="1486"/>
      <c r="Q12" s="1487"/>
      <c r="R12" s="1486"/>
      <c r="S12" s="1492"/>
      <c r="T12" s="1495" t="s">
        <v>166</v>
      </c>
      <c r="U12" s="1494"/>
      <c r="V12" s="1494"/>
      <c r="W12" s="1494"/>
      <c r="X12" s="1494"/>
      <c r="Y12" s="1494"/>
      <c r="Z12" s="1494"/>
      <c r="AA12" s="1494"/>
      <c r="AB12" s="1494"/>
      <c r="AC12" s="1494"/>
      <c r="AD12" s="1494"/>
      <c r="AE12" s="1494"/>
      <c r="AF12" s="1494"/>
      <c r="AG12" s="1494"/>
      <c r="AH12" s="1494"/>
      <c r="AI12" s="1494"/>
      <c r="AJ12" s="1494"/>
      <c r="AK12" s="1494"/>
      <c r="AM12" s="959"/>
      <c r="AN12" s="959" t="str">
        <f>IF(T12="","",T12)</f>
        <v>Добавить централизованную систему для дифференциации</v>
      </c>
      <c r="AO12" s="959"/>
      <c r="AP12" s="959"/>
      <c r="AQ12" s="688">
        <v>0</v>
      </c>
    </row>
    <row s="11993" customFormat="1" customHeight="1" ht="14.25" hidden="1">
      <c r="A13" s="1513"/>
      <c r="B13" s="1513"/>
      <c r="C13" s="1513"/>
      <c r="D13" s="1513"/>
      <c r="E13" s="2428"/>
      <c r="F13" s="1513"/>
      <c r="G13" s="1513"/>
      <c r="H13" s="1513"/>
      <c r="I13" s="1513"/>
      <c r="J13" s="1513"/>
      <c r="K13" s="1513"/>
      <c r="L13" s="1516"/>
      <c r="M13" s="1491"/>
      <c r="N13" s="1491"/>
      <c r="O13" s="688"/>
      <c r="P13" s="550"/>
      <c r="Q13" s="1514"/>
      <c r="R13" s="550"/>
      <c r="S13" s="1492"/>
      <c r="T13" s="1495" t="s">
        <v>167</v>
      </c>
      <c r="U13" s="1494"/>
      <c r="V13" s="1494"/>
      <c r="W13" s="1494"/>
      <c r="X13" s="1494"/>
      <c r="Y13" s="1494"/>
      <c r="Z13" s="1494"/>
      <c r="AA13" s="1494"/>
      <c r="AB13" s="1494"/>
      <c r="AC13" s="1494"/>
      <c r="AD13" s="1494"/>
      <c r="AE13" s="1494"/>
      <c r="AF13" s="1494"/>
      <c r="AG13" s="1494"/>
      <c r="AH13" s="1494"/>
      <c r="AI13" s="1494"/>
      <c r="AJ13" s="1494"/>
      <c r="AK13" s="1494"/>
      <c r="AM13" s="670"/>
      <c r="AN13" s="670" t="str">
        <f>IF(T13="","",T13)</f>
        <v>Добавить территорию для дифференциации</v>
      </c>
      <c r="AO13" s="670"/>
      <c r="AP13" s="670"/>
      <c r="AQ13" s="681">
        <v>0</v>
      </c>
    </row>
    <row customHeight="1" ht="14.25" hidden="1">
      <c r="AB14" s="497"/>
      <c r="AI14" s="497"/>
      <c r="AQ14" s="1325">
        <v>0</v>
      </c>
    </row>
    <row customHeight="1" ht="14.25" hidden="1">
      <c r="AC15" s="1530"/>
      <c r="AD15" s="1530"/>
      <c r="AE15" s="1531"/>
      <c r="AF15" s="2437"/>
      <c r="AG15" s="2438" t="s">
        <v>64</v>
      </c>
      <c r="AH15" s="2437"/>
      <c r="AI15" s="2438" t="s">
        <v>64</v>
      </c>
      <c r="AQ15" s="1325">
        <v>0</v>
      </c>
    </row>
    <row customHeight="1" ht="14.25" hidden="1">
      <c r="AC16" s="1530"/>
      <c r="AD16" s="1530"/>
      <c r="AE16" s="498" t="str">
        <f>AF15&amp;"-"&amp;AH15</f>
        <v>-</v>
      </c>
      <c r="AF16" s="2438"/>
      <c r="AG16" s="2438"/>
      <c r="AH16" s="2438"/>
      <c r="AI16" s="2438"/>
      <c r="AQ16" s="1325">
        <v>0</v>
      </c>
    </row>
    <row customHeight="1" ht="14.25" hidden="1">
      <c r="AI17" s="497"/>
      <c r="AQ17" s="1325">
        <v>0</v>
      </c>
    </row>
    <row s="11992" customFormat="1" customHeight="1" ht="22.5" hidden="1">
      <c r="L18" s="1617"/>
      <c r="M18" s="1532"/>
      <c r="N18" s="1532"/>
      <c r="O18" s="1537" t="s">
        <v>426</v>
      </c>
      <c r="P18" s="1532"/>
      <c r="Q18" s="1541"/>
      <c r="R18" s="1541"/>
      <c r="S18" s="899"/>
      <c r="Y18" s="1537"/>
      <c r="AA18" s="1537"/>
      <c r="AB18" s="1536"/>
      <c r="AF18" s="1537"/>
      <c r="AH18" s="1537"/>
      <c r="AI18" s="1536"/>
      <c r="AL18" s="681"/>
      <c r="AM18" s="681"/>
      <c r="AN18" s="681"/>
      <c r="AO18" s="681"/>
      <c r="AP18" s="681"/>
      <c r="AQ18" s="1330">
        <v>0</v>
      </c>
    </row>
    <row s="11992" customFormat="1" customHeight="1" ht="14.25" hidden="1">
      <c r="L19" s="1617"/>
      <c r="M19" s="1532"/>
      <c r="N19" s="1532"/>
      <c r="O19" s="1532"/>
      <c r="P19" s="1532"/>
      <c r="Q19" s="1541"/>
      <c r="R19" s="1541"/>
      <c r="S19" s="899"/>
      <c r="AB19" s="1536"/>
      <c r="AI19" s="1536"/>
      <c r="AL19" s="681"/>
      <c r="AM19" s="681"/>
      <c r="AN19" s="681"/>
      <c r="AO19" s="681"/>
      <c r="AP19" s="681"/>
      <c r="AQ19" s="1330">
        <v>0</v>
      </c>
    </row>
    <row s="11992" customFormat="1" customHeight="1" ht="12" hidden="1">
      <c r="L20" s="1617"/>
      <c r="M20" s="1532"/>
      <c r="N20" s="1532"/>
      <c r="O20" s="1534" t="s">
        <v>427</v>
      </c>
      <c r="P20" s="1532"/>
      <c r="Q20" s="1612"/>
      <c r="R20" s="1612"/>
      <c r="S20" s="899"/>
      <c r="T20" s="1330" t="s">
        <v>428</v>
      </c>
      <c r="Z20" s="356" t="s">
        <v>429</v>
      </c>
      <c r="AB20" s="356" t="s">
        <v>430</v>
      </c>
      <c r="AC20" s="1330" t="s">
        <v>428</v>
      </c>
      <c r="AG20" s="356" t="s">
        <v>431</v>
      </c>
      <c r="AI20" s="356" t="s">
        <v>430</v>
      </c>
      <c r="AQ20" s="1330">
        <v>0</v>
      </c>
    </row>
    <row customHeight="1" ht="14.25" hidden="1">
      <c r="O21" s="1534"/>
      <c r="AQ21" s="1325">
        <v>0</v>
      </c>
    </row>
    <row customHeight="1" ht="14.25" hidden="1">
      <c r="O22" s="1534"/>
      <c r="AQ22" s="1325">
        <v>0</v>
      </c>
    </row>
    <row customHeight="1" ht="14.699999999999998">
      <c r="Q23" s="546"/>
      <c r="R23" s="546"/>
      <c r="S23" s="1445"/>
      <c r="T23" s="533"/>
      <c r="U23" s="533"/>
      <c r="V23" s="679"/>
      <c r="W23" s="679"/>
      <c r="X23" s="679"/>
      <c r="Y23" s="679"/>
      <c r="Z23" s="679"/>
      <c r="AA23" s="679"/>
      <c r="AB23" s="679"/>
      <c r="AC23" s="679"/>
      <c r="AD23" s="679"/>
      <c r="AE23" s="679"/>
      <c r="AF23" s="679"/>
      <c r="AG23" s="679"/>
      <c r="AH23" s="679"/>
      <c r="AI23" s="679"/>
      <c r="AQ23" s="1325">
        <v>14</v>
      </c>
    </row>
    <row customHeight="1" ht="14.699999999999998">
      <c r="Q24" s="546"/>
      <c r="R24" s="546"/>
      <c r="S24" s="241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418"/>
      <c r="U24" s="2418"/>
      <c r="V24" s="2418"/>
      <c r="W24" s="2418"/>
      <c r="X24" s="2418"/>
      <c r="Y24" s="2418"/>
      <c r="Z24" s="2418"/>
      <c r="AA24" s="2418"/>
      <c r="AB24" s="2418"/>
      <c r="AC24" s="2418"/>
      <c r="AD24" s="2418"/>
      <c r="AE24" s="2418"/>
      <c r="AF24" s="2418"/>
      <c r="AG24" s="2418"/>
      <c r="AH24" s="2418"/>
      <c r="AI24" s="1413"/>
      <c r="AQ24" s="1325">
        <v>14</v>
      </c>
    </row>
    <row customHeight="1" ht="14.699999999999998">
      <c r="Q25" s="546"/>
      <c r="R25" s="546"/>
      <c r="S25" s="2419" t="str">
        <f>IF(org=0,"Не определено",org)</f>
        <v>Филиал "Шатурская ГРЭС" ПАО "Юнипро"</v>
      </c>
      <c r="T25" s="2419"/>
      <c r="U25" s="2419"/>
      <c r="V25" s="2419"/>
      <c r="W25" s="2419"/>
      <c r="X25" s="2419"/>
      <c r="Y25" s="2419"/>
      <c r="Z25" s="2419"/>
      <c r="AA25" s="2419"/>
      <c r="AB25" s="2419"/>
      <c r="AC25" s="2419"/>
      <c r="AD25" s="2419"/>
      <c r="AE25" s="2419"/>
      <c r="AF25" s="2419"/>
      <c r="AG25" s="2419"/>
      <c r="AH25" s="2419"/>
      <c r="AI25" s="1413"/>
      <c r="AQ25" s="1325">
        <v>14</v>
      </c>
    </row>
    <row customHeight="1" ht="14.25">
      <c r="Q26" s="546"/>
      <c r="R26" s="546"/>
      <c r="S26" s="1445"/>
      <c r="T26" s="533"/>
      <c r="U26" s="533"/>
      <c r="V26" s="492"/>
      <c r="W26" s="492"/>
      <c r="X26" s="492"/>
      <c r="Y26" s="492"/>
      <c r="Z26" s="492"/>
      <c r="AA26" s="492"/>
      <c r="AB26" s="492"/>
      <c r="AC26" s="492"/>
      <c r="AD26" s="492"/>
      <c r="AE26" s="492"/>
      <c r="AF26" s="492"/>
      <c r="AG26" s="492"/>
      <c r="AH26" s="492"/>
      <c r="AI26" s="492"/>
      <c r="AJ26" s="679"/>
      <c r="AQ26" s="1325">
        <v>0</v>
      </c>
    </row>
    <row s="12119" customFormat="1" customHeight="1" ht="25.5">
      <c r="A27" s="1538"/>
      <c r="B27" s="1538"/>
      <c r="C27" s="1538"/>
      <c r="D27" s="1538"/>
      <c r="E27" s="1538"/>
      <c r="F27" s="1538"/>
      <c r="G27" s="1538"/>
      <c r="H27" s="1538"/>
      <c r="I27" s="1538"/>
      <c r="J27" s="1538"/>
      <c r="K27" s="1538"/>
      <c r="L27" s="1539"/>
      <c r="M27" s="1538"/>
      <c r="N27" s="1538"/>
      <c r="O27" s="1538"/>
      <c r="S27" s="2420" t="s">
        <v>42</v>
      </c>
      <c r="T27" s="2420"/>
      <c r="U27" s="1542"/>
      <c r="V27" s="2421" t="str">
        <f>IF(TITLE_NAME_OR_PR_CHANGE="",IF(TITLE_NAME_OR_PR="","",TITLE_NAME_OR_PR),TITLE_NAME_OR_PR_CHANGE)</f>
        <v>Комитет по ценам и тарифам Московской области</v>
      </c>
      <c r="W27" s="2421"/>
      <c r="X27" s="2421"/>
      <c r="Y27" s="2421"/>
      <c r="Z27" s="2421"/>
      <c r="AA27" s="2421"/>
      <c r="AB27" s="496"/>
      <c r="AC27" s="2421" t="str">
        <f>IF(TITLE_NAME_OR_PR_CHANGE="",IF(TITLE_NAME_OR_PR="","",TITLE_NAME_OR_PR),TITLE_NAME_OR_PR_CHANGE)</f>
        <v>Комитет по ценам и тарифам Московской области</v>
      </c>
      <c r="AD27" s="2421"/>
      <c r="AE27" s="2421"/>
      <c r="AF27" s="2421"/>
      <c r="AG27" s="2421"/>
      <c r="AH27" s="2421"/>
      <c r="AI27" s="496"/>
      <c r="AJ27" s="496"/>
      <c r="AK27" s="450"/>
      <c r="AL27" s="538"/>
      <c r="AM27" s="538"/>
      <c r="AN27" s="538"/>
      <c r="AO27" s="538"/>
      <c r="AP27" s="538"/>
      <c r="AQ27" s="588">
        <v>0</v>
      </c>
    </row>
    <row s="12119" customFormat="1" customHeight="1" ht="18.75">
      <c r="A28" s="1538"/>
      <c r="B28" s="1538"/>
      <c r="C28" s="1538"/>
      <c r="D28" s="1538"/>
      <c r="E28" s="1538"/>
      <c r="F28" s="1538"/>
      <c r="G28" s="1538"/>
      <c r="H28" s="1538"/>
      <c r="I28" s="1538"/>
      <c r="J28" s="1538"/>
      <c r="K28" s="1538"/>
      <c r="L28" s="1539"/>
      <c r="M28" s="1538"/>
      <c r="N28" s="1538"/>
      <c r="O28" s="1538"/>
      <c r="S28" s="2420" t="s">
        <v>432</v>
      </c>
      <c r="T28" s="2420"/>
      <c r="U28" s="1542"/>
      <c r="V28" s="2434" t="str">
        <f>IF(TITLE_DATE_PR_CHANGE="",IF(TITLE_DATE_PR="","",TITLE_DATE_PR),TITLE_DATE_PR_CHANGE)</f>
        <v>45646.459814814814</v>
      </c>
      <c r="W28" s="2434"/>
      <c r="X28" s="2434"/>
      <c r="Y28" s="2434"/>
      <c r="Z28" s="2434"/>
      <c r="AA28" s="2434"/>
      <c r="AB28" s="496"/>
      <c r="AC28" s="2434" t="str">
        <f>IF(TITLE_DATE_PR_CHANGE="",IF(TITLE_DATE_PR="","",TITLE_DATE_PR),TITLE_DATE_PR_CHANGE)</f>
        <v>45646.459814814814</v>
      </c>
      <c r="AD28" s="2434"/>
      <c r="AE28" s="2434"/>
      <c r="AF28" s="2434"/>
      <c r="AG28" s="2434"/>
      <c r="AH28" s="2434"/>
      <c r="AI28" s="496"/>
      <c r="AJ28" s="496"/>
      <c r="AK28" s="450"/>
      <c r="AL28" s="538"/>
      <c r="AM28" s="538"/>
      <c r="AN28" s="538"/>
      <c r="AO28" s="538"/>
      <c r="AP28" s="538"/>
      <c r="AQ28" s="588">
        <v>0</v>
      </c>
    </row>
    <row s="12119" customFormat="1" customHeight="1" ht="18.75">
      <c r="A29" s="1538"/>
      <c r="B29" s="1538"/>
      <c r="C29" s="1538"/>
      <c r="D29" s="1538"/>
      <c r="E29" s="1538"/>
      <c r="F29" s="1538"/>
      <c r="G29" s="1538"/>
      <c r="H29" s="1538"/>
      <c r="I29" s="1538"/>
      <c r="J29" s="1538"/>
      <c r="K29" s="1538"/>
      <c r="L29" s="1539"/>
      <c r="M29" s="1538"/>
      <c r="N29" s="1538"/>
      <c r="O29" s="1538"/>
      <c r="S29" s="2420" t="s">
        <v>433</v>
      </c>
      <c r="T29" s="2420"/>
      <c r="U29" s="1542"/>
      <c r="V29" s="2421" t="str">
        <f>IF(TITLE_NUMBER_PR_CHANGE="",IF(TITLE_NUMBER_PR="","",TITLE_NUMBER_PR),TITLE_NUMBER_PR_CHANGE)</f>
        <v>329-Р</v>
      </c>
      <c r="W29" s="2421"/>
      <c r="X29" s="2421"/>
      <c r="Y29" s="2421"/>
      <c r="Z29" s="2421"/>
      <c r="AA29" s="2421"/>
      <c r="AB29" s="496"/>
      <c r="AC29" s="2421" t="str">
        <f>IF(TITLE_NUMBER_PR_CHANGE="",IF(TITLE_NUMBER_PR="","",TITLE_NUMBER_PR),TITLE_NUMBER_PR_CHANGE)</f>
        <v>329-Р</v>
      </c>
      <c r="AD29" s="2421"/>
      <c r="AE29" s="2421"/>
      <c r="AF29" s="2421"/>
      <c r="AG29" s="2421"/>
      <c r="AH29" s="2421"/>
      <c r="AI29" s="496"/>
      <c r="AJ29" s="496"/>
      <c r="AK29" s="450"/>
      <c r="AL29" s="538"/>
      <c r="AM29" s="538"/>
      <c r="AN29" s="538"/>
      <c r="AO29" s="538"/>
      <c r="AP29" s="538"/>
      <c r="AQ29" s="588">
        <v>0</v>
      </c>
    </row>
    <row s="12119" customFormat="1" customHeight="1" ht="18.75">
      <c r="A30" s="1538"/>
      <c r="B30" s="1538"/>
      <c r="C30" s="1538"/>
      <c r="D30" s="1538"/>
      <c r="E30" s="1538"/>
      <c r="F30" s="1538"/>
      <c r="G30" s="1538"/>
      <c r="H30" s="1538"/>
      <c r="I30" s="1538"/>
      <c r="J30" s="1538"/>
      <c r="K30" s="1538"/>
      <c r="L30" s="1539"/>
      <c r="M30" s="1538"/>
      <c r="N30" s="1538"/>
      <c r="O30" s="1538"/>
      <c r="S30" s="2420" t="s">
        <v>44</v>
      </c>
      <c r="T30" s="2420"/>
      <c r="U30" s="1542"/>
      <c r="V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421"/>
      <c r="X30" s="2421"/>
      <c r="Y30" s="2421"/>
      <c r="Z30" s="2421"/>
      <c r="AA30" s="2421"/>
      <c r="AB30" s="496"/>
      <c r="AC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421"/>
      <c r="AE30" s="2421"/>
      <c r="AF30" s="2421"/>
      <c r="AG30" s="2421"/>
      <c r="AH30" s="2421"/>
      <c r="AI30" s="496"/>
      <c r="AJ30" s="496"/>
      <c r="AK30" s="450"/>
      <c r="AL30" s="538"/>
      <c r="AM30" s="538"/>
      <c r="AN30" s="538"/>
      <c r="AO30" s="538"/>
      <c r="AP30" s="538"/>
      <c r="AQ30" s="588">
        <v>0</v>
      </c>
    </row>
    <row customHeight="1" ht="14.25" hidden="1">
      <c r="Q31" s="546"/>
      <c r="R31" s="546"/>
      <c r="S31" s="1445"/>
      <c r="T31" s="533"/>
      <c r="U31" s="533"/>
      <c r="V31" s="492"/>
      <c r="W31" s="492"/>
      <c r="X31" s="492"/>
      <c r="Y31" s="492"/>
      <c r="Z31" s="492"/>
      <c r="AA31" s="492"/>
      <c r="AB31" s="492"/>
      <c r="AC31" s="492"/>
      <c r="AD31" s="492"/>
      <c r="AE31" s="492"/>
      <c r="AF31" s="492"/>
      <c r="AG31" s="492"/>
      <c r="AH31" s="492"/>
      <c r="AI31" s="492"/>
      <c r="AJ31" s="679"/>
      <c r="AQ31" s="1325">
        <v>0</v>
      </c>
    </row>
    <row s="12119" customFormat="1" customHeight="1" ht="18.75" hidden="1">
      <c r="A32" s="1538"/>
      <c r="B32" s="1538"/>
      <c r="C32" s="1538"/>
      <c r="D32" s="1538"/>
      <c r="E32" s="1538"/>
      <c r="F32" s="1538"/>
      <c r="G32" s="1538"/>
      <c r="H32" s="1538"/>
      <c r="I32" s="1538"/>
      <c r="J32" s="1538"/>
      <c r="K32" s="1538"/>
      <c r="L32" s="1539"/>
      <c r="M32" s="1538"/>
      <c r="N32" s="1538"/>
      <c r="O32" s="1538"/>
      <c r="S32" s="2420" t="s">
        <v>434</v>
      </c>
      <c r="T32" s="2420"/>
      <c r="U32" s="1542"/>
      <c r="V32" s="2434" t="str">
        <f>IF(TITLE_DATE_PR_CHANGE="",IF(TITLE_DATE_PR="","",TITLE_DATE_PR),TITLE_DATE_PR_CHANGE)</f>
        <v>45646.459814814814</v>
      </c>
      <c r="W32" s="2434"/>
      <c r="X32" s="2434"/>
      <c r="Y32" s="2434"/>
      <c r="Z32" s="2434"/>
      <c r="AA32" s="2434"/>
      <c r="AB32" s="496"/>
      <c r="AC32" s="2434" t="str">
        <f>IF(TITLE_DATE_PR_CHANGE="",IF(TITLE_DATE_PR="","",TITLE_DATE_PR),TITLE_DATE_PR_CHANGE)</f>
        <v>45646.459814814814</v>
      </c>
      <c r="AD32" s="2434"/>
      <c r="AE32" s="2434"/>
      <c r="AF32" s="2434"/>
      <c r="AG32" s="2434"/>
      <c r="AH32" s="2434"/>
      <c r="AI32" s="496"/>
      <c r="AJ32" s="496"/>
      <c r="AK32" s="450"/>
      <c r="AL32" s="538"/>
      <c r="AM32" s="538"/>
      <c r="AN32" s="538"/>
      <c r="AO32" s="538"/>
      <c r="AP32" s="538"/>
      <c r="AQ32" s="588">
        <v>0</v>
      </c>
    </row>
    <row s="12119" customFormat="1" customHeight="1" ht="18.75" hidden="1">
      <c r="A33" s="1538"/>
      <c r="B33" s="1538"/>
      <c r="C33" s="1538"/>
      <c r="D33" s="1538"/>
      <c r="E33" s="1538"/>
      <c r="F33" s="1538"/>
      <c r="G33" s="1538"/>
      <c r="H33" s="1538"/>
      <c r="I33" s="1538"/>
      <c r="J33" s="1538"/>
      <c r="K33" s="1538"/>
      <c r="L33" s="1539"/>
      <c r="M33" s="1538"/>
      <c r="N33" s="1538"/>
      <c r="O33" s="1538"/>
      <c r="S33" s="2420" t="s">
        <v>435</v>
      </c>
      <c r="T33" s="2420"/>
      <c r="U33" s="1542"/>
      <c r="V33" s="2421" t="str">
        <f>IF(TITLE_NUMBER_PR_CHANGE="",IF(TITLE_NUMBER_PR="","",TITLE_NUMBER_PR),TITLE_NUMBER_PR_CHANGE)</f>
        <v>329-Р</v>
      </c>
      <c r="W33" s="2421"/>
      <c r="X33" s="2421"/>
      <c r="Y33" s="2421"/>
      <c r="Z33" s="2421"/>
      <c r="AA33" s="2421"/>
      <c r="AB33" s="496"/>
      <c r="AC33" s="2421" t="str">
        <f>IF(TITLE_NUMBER_PR_CHANGE="",IF(TITLE_NUMBER_PR="","",TITLE_NUMBER_PR),TITLE_NUMBER_PR_CHANGE)</f>
        <v>329-Р</v>
      </c>
      <c r="AD33" s="2421"/>
      <c r="AE33" s="2421"/>
      <c r="AF33" s="2421"/>
      <c r="AG33" s="2421"/>
      <c r="AH33" s="2421"/>
      <c r="AI33" s="496"/>
      <c r="AJ33" s="496"/>
      <c r="AK33" s="450"/>
      <c r="AL33" s="538"/>
      <c r="AM33" s="538"/>
      <c r="AN33" s="538"/>
      <c r="AO33" s="538"/>
      <c r="AP33" s="538"/>
      <c r="AQ33" s="588">
        <v>0</v>
      </c>
    </row>
    <row s="12119" customFormat="1" customHeight="1" ht="1.05">
      <c r="A34" s="1538"/>
      <c r="B34" s="1538"/>
      <c r="C34" s="1538"/>
      <c r="D34" s="1538"/>
      <c r="E34" s="1538"/>
      <c r="F34" s="1538"/>
      <c r="G34" s="1538"/>
      <c r="H34" s="1538"/>
      <c r="I34" s="1538"/>
      <c r="J34" s="1538"/>
      <c r="K34" s="1538"/>
      <c r="L34" s="1539"/>
      <c r="M34" s="1538"/>
      <c r="N34" s="1538"/>
      <c r="O34" s="1538"/>
      <c r="S34" s="493"/>
      <c r="T34" s="493"/>
      <c r="U34" s="1624"/>
      <c r="V34" s="496"/>
      <c r="W34" s="496"/>
      <c r="X34" s="496"/>
      <c r="Y34" s="496"/>
      <c r="Z34" s="496"/>
      <c r="AA34" s="496"/>
      <c r="AB34" s="448" t="s">
        <v>436</v>
      </c>
      <c r="AC34" s="496"/>
      <c r="AD34" s="496"/>
      <c r="AE34" s="496"/>
      <c r="AF34" s="496"/>
      <c r="AG34" s="496"/>
      <c r="AH34" s="496"/>
      <c r="AI34" s="448" t="s">
        <v>436</v>
      </c>
      <c r="AL34" s="538"/>
      <c r="AM34" s="538"/>
      <c r="AN34" s="538"/>
      <c r="AO34" s="538"/>
      <c r="AP34" s="538"/>
      <c r="AQ34" s="588">
        <v>1</v>
      </c>
    </row>
    <row customHeight="1" ht="14.699999999999998">
      <c r="Q35" s="546"/>
      <c r="R35" s="546"/>
      <c r="S35" s="1445"/>
      <c r="T35" s="533"/>
      <c r="U35" s="1414"/>
      <c r="V35" s="2422"/>
      <c r="W35" s="2422"/>
      <c r="X35" s="2422"/>
      <c r="Y35" s="2422"/>
      <c r="Z35" s="2422"/>
      <c r="AA35" s="2422"/>
      <c r="AB35" s="2422"/>
      <c r="AC35" s="2422"/>
      <c r="AD35" s="2422"/>
      <c r="AE35" s="2422"/>
      <c r="AF35" s="2422"/>
      <c r="AG35" s="2422"/>
      <c r="AH35" s="2422"/>
      <c r="AI35" s="2422"/>
      <c r="AQ35" s="1325">
        <v>14</v>
      </c>
    </row>
    <row customHeight="1" ht="14.699999999999998">
      <c r="Q36" s="546"/>
      <c r="R36" s="546"/>
      <c r="S36" s="2297" t="s">
        <v>312</v>
      </c>
      <c r="T36" s="2297"/>
      <c r="U36" s="2297"/>
      <c r="V36" s="2297"/>
      <c r="W36" s="2297"/>
      <c r="X36" s="2297"/>
      <c r="Y36" s="2297"/>
      <c r="Z36" s="2297"/>
      <c r="AA36" s="2297"/>
      <c r="AB36" s="2297"/>
      <c r="AC36" s="2297"/>
      <c r="AD36" s="2297"/>
      <c r="AE36" s="2297"/>
      <c r="AF36" s="2297"/>
      <c r="AG36" s="2297"/>
      <c r="AH36" s="2297"/>
      <c r="AI36" s="2297"/>
      <c r="AJ36" s="2297"/>
      <c r="AK36" s="2297" t="s">
        <v>313</v>
      </c>
      <c r="AQ36" s="1325">
        <v>14</v>
      </c>
    </row>
    <row customHeight="1" ht="14.699999999999998">
      <c r="Q37" s="546"/>
      <c r="R37" s="546"/>
      <c r="S37" s="2443" t="s">
        <v>91</v>
      </c>
      <c r="T37" s="2379" t="s">
        <v>438</v>
      </c>
      <c r="U37" s="471"/>
      <c r="V37" s="2444" t="s">
        <v>439</v>
      </c>
      <c r="W37" s="2445"/>
      <c r="X37" s="2445"/>
      <c r="Y37" s="2445"/>
      <c r="Z37" s="2445"/>
      <c r="AA37" s="2446"/>
      <c r="AB37" s="2447" t="s">
        <v>440</v>
      </c>
      <c r="AC37" s="2444" t="s">
        <v>439</v>
      </c>
      <c r="AD37" s="2445"/>
      <c r="AE37" s="2445"/>
      <c r="AF37" s="2445"/>
      <c r="AG37" s="2445"/>
      <c r="AH37" s="2446"/>
      <c r="AI37" s="2447" t="s">
        <v>441</v>
      </c>
      <c r="AJ37" s="2450" t="s">
        <v>442</v>
      </c>
      <c r="AK37" s="2297"/>
      <c r="AQ37" s="1325">
        <v>14</v>
      </c>
    </row>
    <row customHeight="1" ht="35.699999999999996">
      <c r="Q38" s="546"/>
      <c r="R38" s="546"/>
      <c r="S38" s="2443"/>
      <c r="T38" s="2379"/>
      <c r="U38" s="1201"/>
      <c r="V38" s="1622" t="s">
        <v>504</v>
      </c>
      <c r="W38" s="2432" t="s">
        <v>445</v>
      </c>
      <c r="X38" s="2433"/>
      <c r="Y38" s="2432" t="s">
        <v>446</v>
      </c>
      <c r="Z38" s="2439"/>
      <c r="AA38" s="2433"/>
      <c r="AB38" s="2448"/>
      <c r="AC38" s="1622" t="s">
        <v>504</v>
      </c>
      <c r="AD38" s="2432" t="s">
        <v>445</v>
      </c>
      <c r="AE38" s="2433"/>
      <c r="AF38" s="2432" t="s">
        <v>446</v>
      </c>
      <c r="AG38" s="2439"/>
      <c r="AH38" s="2433"/>
      <c r="AI38" s="2448"/>
      <c r="AJ38" s="2451"/>
      <c r="AK38" s="2297"/>
      <c r="AQ38" s="1325">
        <v>34</v>
      </c>
    </row>
    <row customHeight="1" ht="35.699999999999996">
      <c r="A39" s="1540"/>
      <c r="B39" s="1540" t="s">
        <v>138</v>
      </c>
      <c r="C39" s="1540" t="s">
        <v>139</v>
      </c>
      <c r="D39" s="1540" t="s">
        <v>140</v>
      </c>
      <c r="E39" s="1534" t="s">
        <v>447</v>
      </c>
      <c r="F39" s="1534" t="s">
        <v>448</v>
      </c>
      <c r="G39" s="1534" t="s">
        <v>449</v>
      </c>
      <c r="H39" s="1534"/>
      <c r="I39" s="1534" t="s">
        <v>505</v>
      </c>
      <c r="J39" s="1534" t="s">
        <v>452</v>
      </c>
      <c r="K39" s="1534" t="s">
        <v>506</v>
      </c>
      <c r="L39" s="1534" t="s">
        <v>427</v>
      </c>
      <c r="Q39" s="546"/>
      <c r="R39" s="546"/>
      <c r="S39" s="2443"/>
      <c r="T39" s="2379"/>
      <c r="U39" s="472"/>
      <c r="V39" s="1622" t="s">
        <v>507</v>
      </c>
      <c r="W39" s="1392" t="s">
        <v>508</v>
      </c>
      <c r="X39" s="1392" t="s">
        <v>509</v>
      </c>
      <c r="Y39" s="1625" t="s">
        <v>456</v>
      </c>
      <c r="Z39" s="2440" t="s">
        <v>457</v>
      </c>
      <c r="AA39" s="2441"/>
      <c r="AB39" s="2449"/>
      <c r="AC39" s="1622" t="s">
        <v>507</v>
      </c>
      <c r="AD39" s="1392" t="s">
        <v>508</v>
      </c>
      <c r="AE39" s="1392" t="s">
        <v>509</v>
      </c>
      <c r="AF39" s="1625" t="s">
        <v>456</v>
      </c>
      <c r="AG39" s="2440" t="s">
        <v>457</v>
      </c>
      <c r="AH39" s="2441"/>
      <c r="AI39" s="2449"/>
      <c r="AJ39" s="2452"/>
      <c r="AK39" s="2297"/>
      <c r="AQ39" s="1325">
        <v>34</v>
      </c>
    </row>
    <row s="12668" customFormat="1" customHeight="1" ht="0">
      <c r="A40" s="1540"/>
      <c r="B40" s="1540"/>
      <c r="C40" s="1540"/>
      <c r="D40" s="1540"/>
      <c r="E40" s="1540"/>
      <c r="F40" s="1540"/>
      <c r="G40" s="1540"/>
      <c r="H40" s="1540"/>
      <c r="I40" s="1540"/>
      <c r="J40" s="1540"/>
      <c r="K40" s="1540"/>
      <c r="L40" s="1534"/>
      <c r="M40" s="1532"/>
      <c r="N40" s="1532"/>
      <c r="O40" s="1532"/>
      <c r="P40" s="1416"/>
      <c r="Q40" s="1417"/>
      <c r="R40" s="1424">
        <v>1</v>
      </c>
      <c r="S40" s="1447" t="s">
        <v>112</v>
      </c>
      <c r="T40" s="1425" t="s">
        <v>113</v>
      </c>
      <c r="U40" s="1415" t="str">
        <f>OFFSET(U40,0,-1)</f>
        <v>2</v>
      </c>
      <c r="V40" s="1621">
        <f>OFFSET(V40,0,-1)+1</f>
        <v>3</v>
      </c>
      <c r="W40" s="1621">
        <f>OFFSET(W40,0,-1)+1</f>
        <v>4</v>
      </c>
      <c r="X40" s="1621">
        <f>OFFSET(X40,0,-1)+1</f>
        <v>5</v>
      </c>
      <c r="Y40" s="1621">
        <f>OFFSET(Y40,0,-1)+1</f>
        <v>6</v>
      </c>
      <c r="Z40" s="2442">
        <f>OFFSET(Z40,0,-1)+1</f>
        <v>7</v>
      </c>
      <c r="AA40" s="2442"/>
      <c r="AB40" s="1621">
        <f>OFFSET(AB40,0,-2)+1</f>
        <v>8</v>
      </c>
      <c r="AC40" s="1621">
        <f>OFFSET(AC40,0,-1)+1</f>
        <v>9</v>
      </c>
      <c r="AD40" s="1621">
        <f>OFFSET(AD40,0,-1)+1</f>
        <v>10</v>
      </c>
      <c r="AE40" s="1621">
        <f>OFFSET(AE40,0,-1)+1</f>
        <v>11</v>
      </c>
      <c r="AF40" s="1621">
        <f>OFFSET(AF40,0,-1)+1</f>
        <v>12</v>
      </c>
      <c r="AG40" s="2442">
        <f>OFFSET(AG40,0,-1)+1</f>
        <v>13</v>
      </c>
      <c r="AH40" s="2442"/>
      <c r="AI40" s="1621">
        <f>OFFSET(AI40,0,-2)+1</f>
        <v>14</v>
      </c>
      <c r="AJ40" s="1415">
        <f>OFFSET(AJ40,0,-1)</f>
        <v>14</v>
      </c>
      <c r="AK40" s="1621">
        <f>OFFSET(AK40,0,-1)+1</f>
        <v>15</v>
      </c>
      <c r="AL40" s="681"/>
      <c r="AM40" s="681"/>
      <c r="AN40" s="681"/>
      <c r="AO40" s="681"/>
      <c r="AP40" s="681"/>
      <c r="AQ40" s="666">
        <v>0</v>
      </c>
    </row>
    <row customHeight="1" ht="24">
      <c r="A41" s="1533" t="s">
        <v>243</v>
      </c>
      <c r="B41" s="1533"/>
      <c r="C41" s="1533"/>
      <c r="D41" s="1533"/>
      <c r="E41" s="2428">
        <v>1</v>
      </c>
      <c r="F41" s="1533"/>
      <c r="G41" s="1533"/>
      <c r="H41" s="1533"/>
      <c r="I41" s="1533"/>
      <c r="J41" s="1533"/>
      <c r="K41" s="1533"/>
      <c r="L41" s="1534"/>
      <c r="M41" s="1535"/>
      <c r="N41" s="1535"/>
      <c r="O41" s="1535"/>
      <c r="P41" s="531"/>
      <c r="Q41" s="530"/>
      <c r="R41" s="525"/>
      <c r="S41" s="1627">
        <f>INDEX(PT_DIFFERENTIATION_NUM_NTAR,MATCH(A41,PT_DIFFERENTIATION_NTAR_ID,0))</f>
        <v>0</v>
      </c>
      <c r="T41" s="468" t="s">
        <v>126</v>
      </c>
      <c r="U41" s="470"/>
      <c r="V41" s="2412"/>
      <c r="W41" s="2413"/>
      <c r="X41" s="2413"/>
      <c r="Y41" s="2413"/>
      <c r="Z41" s="2413"/>
      <c r="AA41" s="2413"/>
      <c r="AB41" s="2414"/>
      <c r="AC41" s="2412" t="str">
        <f>INDEX(PT_DIFFERENTIATION_NTAR,MATCH(A41,PT_DIFFERENTIATION_NTAR_ID,0))</f>
        <v/>
      </c>
      <c r="AD41" s="2413"/>
      <c r="AE41" s="2413"/>
      <c r="AF41" s="2413"/>
      <c r="AG41" s="2413"/>
      <c r="AH41" s="2413"/>
      <c r="AI41" s="2413"/>
      <c r="AJ41" s="2414"/>
      <c r="AK41"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70"/>
      <c r="AN41" s="670" t="str">
        <f>IF(T41="","",T41)</f>
        <v>Наименование тарифа</v>
      </c>
      <c r="AO41" s="670"/>
      <c r="AP41" s="670"/>
      <c r="AQ41" s="1325">
        <v>23</v>
      </c>
    </row>
    <row customHeight="1" ht="24">
      <c r="A42" s="1533" t="s">
        <v>243</v>
      </c>
      <c r="B42" s="1533" t="s">
        <v>244</v>
      </c>
      <c r="C42" s="1533"/>
      <c r="D42" s="1533"/>
      <c r="E42" s="2429"/>
      <c r="F42" s="2428">
        <v>1</v>
      </c>
      <c r="G42" s="1533"/>
      <c r="H42" s="1533"/>
      <c r="I42" s="1533"/>
      <c r="J42" s="1533"/>
      <c r="K42" s="1533"/>
      <c r="L42" s="1534"/>
      <c r="M42" s="1535"/>
      <c r="N42" s="1535"/>
      <c r="O42" s="1535"/>
      <c r="P42" s="1623"/>
      <c r="Q42" s="522"/>
      <c r="R42" s="523"/>
      <c r="S42" s="1627" t="str">
        <f>INDEX(PT_DIFFERENTIATION_NUM_TER,MATCH(B42,PT_DIFFERENTIATION_TER_ID,0))</f>
        <v>.</v>
      </c>
      <c r="T42" s="478" t="s">
        <v>409</v>
      </c>
      <c r="U42" s="470"/>
      <c r="V42" s="2412"/>
      <c r="W42" s="2413"/>
      <c r="X42" s="2413"/>
      <c r="Y42" s="2413"/>
      <c r="Z42" s="2413"/>
      <c r="AA42" s="2413"/>
      <c r="AB42" s="2414"/>
      <c r="AC42" s="2412" t="str">
        <f>INDEX(PT_DIFFERENTIATION_TER,MATCH(B42,PT_DIFFERENTIATION_TER_ID,0))</f>
        <v/>
      </c>
      <c r="AD42" s="2413"/>
      <c r="AE42" s="2413"/>
      <c r="AF42" s="2413"/>
      <c r="AG42" s="2413"/>
      <c r="AH42" s="2413"/>
      <c r="AI42" s="2413"/>
      <c r="AJ42" s="2414"/>
      <c r="AK42" s="1428" t="s">
        <v>410</v>
      </c>
      <c r="AM42" s="670"/>
      <c r="AN42" s="670" t="str">
        <f>IF(T42="","",T42)</f>
        <v>Территория действия тарифа</v>
      </c>
      <c r="AO42" s="670"/>
      <c r="AP42" s="670"/>
      <c r="AQ42" s="1325">
        <v>23</v>
      </c>
    </row>
    <row customHeight="1" ht="24">
      <c r="A43" s="1533" t="s">
        <v>243</v>
      </c>
      <c r="B43" s="1533" t="s">
        <v>244</v>
      </c>
      <c r="C43" s="1533" t="s">
        <v>245</v>
      </c>
      <c r="D43" s="1533"/>
      <c r="E43" s="2429"/>
      <c r="F43" s="2429"/>
      <c r="G43" s="2428">
        <v>1</v>
      </c>
      <c r="H43" s="1533"/>
      <c r="I43" s="1533"/>
      <c r="J43" s="1533"/>
      <c r="K43" s="1533"/>
      <c r="L43" s="1534"/>
      <c r="M43" s="1535"/>
      <c r="N43" s="1535"/>
      <c r="O43" s="1535"/>
      <c r="P43" s="524"/>
      <c r="Q43" s="522"/>
      <c r="R43" s="523"/>
      <c r="S43" s="1627" t="str">
        <f>INDEX(PT_DIFFERENTIATION_NUM_CS,MATCH(C43,PT_DIFFERENTIATION_CS_ID,0))</f>
        <v>..</v>
      </c>
      <c r="T43" s="479" t="s">
        <v>496</v>
      </c>
      <c r="U43" s="470"/>
      <c r="V43" s="2412"/>
      <c r="W43" s="2413"/>
      <c r="X43" s="2413"/>
      <c r="Y43" s="2413"/>
      <c r="Z43" s="2413"/>
      <c r="AA43" s="2413"/>
      <c r="AB43" s="2414"/>
      <c r="AC43" s="2412" t="str">
        <f>INDEX(PT_DIFFERENTIATION_CS,MATCH(C43,PT_DIFFERENTIATION_CS_ID,0))</f>
        <v/>
      </c>
      <c r="AD43" s="2413"/>
      <c r="AE43" s="2413"/>
      <c r="AF43" s="2413"/>
      <c r="AG43" s="2413"/>
      <c r="AH43" s="2413"/>
      <c r="AI43" s="2413"/>
      <c r="AJ43" s="2414"/>
      <c r="AK43" s="1428" t="s">
        <v>497</v>
      </c>
      <c r="AM43" s="670"/>
      <c r="AN43" s="670" t="str">
        <f>IF(T43="","",T43)</f>
        <v>Наименование централизованной системы холодного водоснабжения</v>
      </c>
      <c r="AO43" s="670"/>
      <c r="AP43" s="670"/>
      <c r="AQ43" s="1325">
        <v>23</v>
      </c>
    </row>
    <row customHeight="1" ht="24">
      <c r="A44" s="1533" t="s">
        <v>243</v>
      </c>
      <c r="B44" s="1533" t="s">
        <v>244</v>
      </c>
      <c r="C44" s="1533" t="s">
        <v>245</v>
      </c>
      <c r="D44" s="1533" t="s">
        <v>511</v>
      </c>
      <c r="E44" s="2429"/>
      <c r="F44" s="2429"/>
      <c r="G44" s="2429"/>
      <c r="H44" s="2429"/>
      <c r="I44" s="2426" t="str">
        <f>S43&amp;".1"</f>
        <v>...1</v>
      </c>
      <c r="J44" s="1533"/>
      <c r="K44" s="1533"/>
      <c r="L44" s="1534"/>
      <c r="P44" s="2427">
        <v>1</v>
      </c>
      <c r="Q44" s="1620"/>
      <c r="R44" s="526"/>
      <c r="S44" s="1627" t="str">
        <f>$I44</f>
        <v>...1</v>
      </c>
      <c r="T44" s="455" t="s">
        <v>498</v>
      </c>
      <c r="U44" s="470"/>
      <c r="V44" s="2520"/>
      <c r="W44" s="2521"/>
      <c r="X44" s="2521"/>
      <c r="Y44" s="2521"/>
      <c r="Z44" s="2521"/>
      <c r="AA44" s="2521"/>
      <c r="AB44" s="2522"/>
      <c r="AC44" s="2523"/>
      <c r="AD44" s="2524"/>
      <c r="AE44" s="2524"/>
      <c r="AF44" s="2524"/>
      <c r="AG44" s="2524"/>
      <c r="AH44" s="2524"/>
      <c r="AI44" s="2524"/>
      <c r="AJ44" s="2525"/>
      <c r="AK44" s="1428" t="s">
        <v>499</v>
      </c>
      <c r="AM44" s="670"/>
      <c r="AN44" s="670" t="str">
        <f>IF(T44="","",T44)</f>
        <v>Наименование признака дифференциации</v>
      </c>
      <c r="AO44" s="670"/>
      <c r="AP44" s="670"/>
      <c r="AQ44" s="1325">
        <v>23</v>
      </c>
    </row>
    <row customHeight="1" ht="24">
      <c r="A45" s="1533" t="s">
        <v>243</v>
      </c>
      <c r="B45" s="1533" t="s">
        <v>244</v>
      </c>
      <c r="C45" s="1533" t="s">
        <v>245</v>
      </c>
      <c r="D45" s="1533" t="s">
        <v>511</v>
      </c>
      <c r="E45" s="2429"/>
      <c r="F45" s="2429"/>
      <c r="G45" s="2429"/>
      <c r="H45" s="2429"/>
      <c r="I45" s="2456"/>
      <c r="J45" s="2426" t="str">
        <f>I44&amp;".1"</f>
        <v>...1.1</v>
      </c>
      <c r="K45" s="1533"/>
      <c r="L45" s="1534" t="s">
        <v>418</v>
      </c>
      <c r="P45" s="2427"/>
      <c r="Q45" s="2427">
        <v>1</v>
      </c>
      <c r="R45" s="527"/>
      <c r="S45" s="1627" t="str">
        <f>$J45</f>
        <v>...1.1</v>
      </c>
      <c r="T45" s="456" t="s">
        <v>419</v>
      </c>
      <c r="U45" s="470"/>
      <c r="V45" s="2415"/>
      <c r="W45" s="2416"/>
      <c r="X45" s="2416"/>
      <c r="Y45" s="2416"/>
      <c r="Z45" s="2416"/>
      <c r="AA45" s="2416"/>
      <c r="AB45" s="2417"/>
      <c r="AC45" s="2415"/>
      <c r="AD45" s="2416"/>
      <c r="AE45" s="2416"/>
      <c r="AF45" s="2416"/>
      <c r="AG45" s="2416"/>
      <c r="AH45" s="2416"/>
      <c r="AI45" s="2416"/>
      <c r="AJ45" s="2417"/>
      <c r="AK45" s="1477" t="s">
        <v>500</v>
      </c>
      <c r="AM45" s="670"/>
      <c r="AN45" s="670" t="str">
        <f>IF(T45="","",T45)</f>
        <v>Группа потребителей</v>
      </c>
      <c r="AO45" s="670"/>
      <c r="AP45" s="670"/>
      <c r="AQ45" s="1325">
        <v>23</v>
      </c>
    </row>
    <row customHeight="1" ht="24">
      <c r="A46" s="1533" t="s">
        <v>243</v>
      </c>
      <c r="B46" s="1533" t="s">
        <v>244</v>
      </c>
      <c r="C46" s="1533" t="s">
        <v>245</v>
      </c>
      <c r="D46" s="1533" t="s">
        <v>511</v>
      </c>
      <c r="E46" s="2429"/>
      <c r="F46" s="2429"/>
      <c r="G46" s="2429"/>
      <c r="H46" s="2429"/>
      <c r="I46" s="2456"/>
      <c r="J46" s="2456"/>
      <c r="K46" s="2426" t="str">
        <f>J45&amp;".1"</f>
        <v>...1.1.1</v>
      </c>
      <c r="L46" s="1534"/>
      <c r="P46" s="2427"/>
      <c r="Q46" s="2427"/>
      <c r="R46" s="527">
        <v>1</v>
      </c>
      <c r="S46" s="1627" t="str">
        <f>$K46</f>
        <v>...1.1.1</v>
      </c>
      <c r="T46" s="1607"/>
      <c r="U46" s="470"/>
      <c r="V46" s="921"/>
      <c r="W46" s="921"/>
      <c r="X46" s="1427"/>
      <c r="Y46" s="2435"/>
      <c r="Z46" s="2277" t="s">
        <v>64</v>
      </c>
      <c r="AA46" s="2435"/>
      <c r="AB46" s="2277" t="s">
        <v>64</v>
      </c>
      <c r="AC46" s="921"/>
      <c r="AD46" s="921"/>
      <c r="AE46" s="1427"/>
      <c r="AF46" s="2435"/>
      <c r="AG46" s="2277" t="s">
        <v>64</v>
      </c>
      <c r="AH46" s="2457"/>
      <c r="AI46" s="2277" t="s">
        <v>64</v>
      </c>
      <c r="AJ46" s="1608"/>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1">
        <f>STRCHECKDATE(V47:AJ47)</f>
      </c>
      <c r="AM46" s="670"/>
      <c r="AN46" s="670" t="str">
        <f>IF(T46="","",T46)</f>
        <v/>
      </c>
      <c r="AO46" s="670"/>
      <c r="AP46" s="670"/>
      <c r="AQ46" s="1325">
        <v>23</v>
      </c>
    </row>
    <row customHeight="1" ht="0">
      <c r="A47" s="1533" t="s">
        <v>243</v>
      </c>
      <c r="B47" s="1533" t="s">
        <v>244</v>
      </c>
      <c r="C47" s="1533" t="s">
        <v>245</v>
      </c>
      <c r="D47" s="1533" t="s">
        <v>511</v>
      </c>
      <c r="E47" s="2429"/>
      <c r="F47" s="2429"/>
      <c r="G47" s="2429"/>
      <c r="H47" s="2429"/>
      <c r="I47" s="2456"/>
      <c r="J47" s="2456"/>
      <c r="K47" s="2426"/>
      <c r="L47" s="1534"/>
      <c r="P47" s="2427"/>
      <c r="Q47" s="2427"/>
      <c r="R47" s="527"/>
      <c r="S47" s="1626"/>
      <c r="T47" s="470"/>
      <c r="U47" s="470"/>
      <c r="V47" s="495"/>
      <c r="W47" s="495"/>
      <c r="X47" s="498" t="str">
        <f>Y46&amp;"-"&amp;AA46</f>
        <v>-</v>
      </c>
      <c r="Y47" s="2436"/>
      <c r="Z47" s="2277"/>
      <c r="AA47" s="2436"/>
      <c r="AB47" s="2277"/>
      <c r="AC47" s="495"/>
      <c r="AD47" s="495"/>
      <c r="AE47" s="498" t="str">
        <f>AF46&amp;"-"&amp;AH46</f>
        <v>-</v>
      </c>
      <c r="AF47" s="2436"/>
      <c r="AG47" s="2277"/>
      <c r="AH47" s="2458"/>
      <c r="AI47" s="2277"/>
      <c r="AJ47" s="1609"/>
      <c r="AK47" s="2519"/>
      <c r="AM47" s="670"/>
      <c r="AN47" s="670" t="str">
        <f>IF(T47="","",T47)</f>
        <v/>
      </c>
      <c r="AO47" s="670"/>
      <c r="AP47" s="670"/>
      <c r="AQ47" s="1325">
        <v>0</v>
      </c>
    </row>
    <row customHeight="1" ht="21">
      <c r="A48" s="1533" t="s">
        <v>243</v>
      </c>
      <c r="B48" s="1533" t="s">
        <v>244</v>
      </c>
      <c r="C48" s="1533" t="s">
        <v>245</v>
      </c>
      <c r="D48" s="1533" t="s">
        <v>511</v>
      </c>
      <c r="E48" s="2429"/>
      <c r="F48" s="2429"/>
      <c r="G48" s="2429"/>
      <c r="H48" s="2429"/>
      <c r="I48" s="2456"/>
      <c r="J48" s="2426"/>
      <c r="K48" s="1533"/>
      <c r="L48" s="1534"/>
      <c r="P48" s="2427"/>
      <c r="Q48" s="2427"/>
      <c r="R48" s="526"/>
      <c r="S48" s="1448"/>
      <c r="T48" s="457" t="s">
        <v>501</v>
      </c>
      <c r="U48" s="537"/>
      <c r="V48" s="537"/>
      <c r="W48" s="537"/>
      <c r="X48" s="537"/>
      <c r="Y48" s="537"/>
      <c r="Z48" s="537"/>
      <c r="AA48" s="537"/>
      <c r="AB48" s="537"/>
      <c r="AC48" s="537"/>
      <c r="AD48" s="537"/>
      <c r="AE48" s="537"/>
      <c r="AF48" s="537"/>
      <c r="AG48" s="537"/>
      <c r="AH48" s="537"/>
      <c r="AI48" s="537"/>
      <c r="AJ48" s="537"/>
      <c r="AK48" s="1428" t="s">
        <v>502</v>
      </c>
      <c r="AM48" s="670"/>
      <c r="AN48" s="670" t="str">
        <f>IF(T48="","",T48)</f>
        <v>Добавить значение признака дифференциации</v>
      </c>
      <c r="AO48" s="670"/>
      <c r="AP48" s="670"/>
      <c r="AQ48" s="1325">
        <v>20</v>
      </c>
    </row>
    <row customHeight="1" ht="22.049999999999997">
      <c r="A49" s="1533" t="s">
        <v>243</v>
      </c>
      <c r="B49" s="1533" t="s">
        <v>244</v>
      </c>
      <c r="C49" s="1533" t="s">
        <v>245</v>
      </c>
      <c r="D49" s="1533" t="s">
        <v>511</v>
      </c>
      <c r="E49" s="2429"/>
      <c r="F49" s="2429"/>
      <c r="G49" s="2429"/>
      <c r="H49" s="2429"/>
      <c r="I49" s="2426"/>
      <c r="J49" s="1533"/>
      <c r="K49" s="1533"/>
      <c r="L49" s="1534"/>
      <c r="P49" s="2427"/>
      <c r="Q49" s="1620"/>
      <c r="R49" s="526"/>
      <c r="S49" s="1448"/>
      <c r="T49" s="535" t="s">
        <v>424</v>
      </c>
      <c r="U49" s="537"/>
      <c r="V49" s="537"/>
      <c r="W49" s="537"/>
      <c r="X49" s="537"/>
      <c r="Y49" s="537"/>
      <c r="Z49" s="537"/>
      <c r="AA49" s="537"/>
      <c r="AB49" s="536"/>
      <c r="AC49" s="537"/>
      <c r="AD49" s="537"/>
      <c r="AE49" s="537"/>
      <c r="AF49" s="537"/>
      <c r="AG49" s="537"/>
      <c r="AH49" s="537"/>
      <c r="AI49" s="536"/>
      <c r="AJ49" s="537"/>
      <c r="AK49" s="1610"/>
      <c r="AM49" s="670"/>
      <c r="AN49" s="670" t="str">
        <f>IF(T49="","",T49)</f>
        <v>Добавить группу потребителей</v>
      </c>
      <c r="AO49" s="670"/>
      <c r="AP49" s="670"/>
      <c r="AQ49" s="1325">
        <v>21</v>
      </c>
    </row>
    <row customHeight="1" ht="22.049999999999997">
      <c r="A50" s="1533" t="s">
        <v>243</v>
      </c>
      <c r="B50" s="1533" t="s">
        <v>244</v>
      </c>
      <c r="C50" s="1533" t="s">
        <v>245</v>
      </c>
      <c r="D50" s="1533" t="s">
        <v>511</v>
      </c>
      <c r="E50" s="2429"/>
      <c r="F50" s="2429"/>
      <c r="G50" s="2429"/>
      <c r="H50" s="2428"/>
      <c r="I50" s="1533"/>
      <c r="J50" s="1533"/>
      <c r="K50" s="1533"/>
      <c r="L50" s="1534"/>
      <c r="M50" s="1535"/>
      <c r="N50" s="1535"/>
      <c r="O50" s="707"/>
      <c r="P50" s="530"/>
      <c r="Q50" s="545"/>
      <c r="R50" s="525"/>
      <c r="S50" s="1448"/>
      <c r="T50" s="542" t="s">
        <v>503</v>
      </c>
      <c r="U50" s="537"/>
      <c r="V50" s="537"/>
      <c r="W50" s="537"/>
      <c r="X50" s="537"/>
      <c r="Y50" s="537"/>
      <c r="Z50" s="537"/>
      <c r="AA50" s="537"/>
      <c r="AB50" s="536"/>
      <c r="AC50" s="537"/>
      <c r="AD50" s="537"/>
      <c r="AE50" s="537"/>
      <c r="AF50" s="537"/>
      <c r="AG50" s="537"/>
      <c r="AH50" s="537"/>
      <c r="AI50" s="536"/>
      <c r="AJ50" s="537"/>
      <c r="AK50" s="473"/>
      <c r="AM50" s="670"/>
      <c r="AN50" s="670" t="str">
        <f>IF(T50="","",T50)</f>
        <v>Добавить наименование признака дифференциации</v>
      </c>
      <c r="AO50" s="670"/>
      <c r="AP50" s="670"/>
      <c r="AQ50" s="1325">
        <v>21</v>
      </c>
    </row>
    <row s="11993" customFormat="1" customHeight="1" ht="0">
      <c r="A51" s="1513" t="s">
        <v>243</v>
      </c>
      <c r="B51" s="1513" t="s">
        <v>244</v>
      </c>
      <c r="C51" s="1484"/>
      <c r="D51" s="1484"/>
      <c r="E51" s="2429"/>
      <c r="F51" s="2428"/>
      <c r="G51" s="1484"/>
      <c r="H51" s="1484"/>
      <c r="I51" s="1484"/>
      <c r="J51" s="1484"/>
      <c r="K51" s="1484"/>
      <c r="L51" s="1628"/>
      <c r="M51" s="1491"/>
      <c r="N51" s="1491"/>
      <c r="P51" s="1486"/>
      <c r="Q51" s="1487"/>
      <c r="R51" s="1486"/>
      <c r="S51" s="1492"/>
      <c r="T51" s="1495" t="s">
        <v>166</v>
      </c>
      <c r="U51" s="1494"/>
      <c r="V51" s="1494"/>
      <c r="W51" s="1494"/>
      <c r="X51" s="1494"/>
      <c r="Y51" s="1494"/>
      <c r="Z51" s="1494"/>
      <c r="AA51" s="1494"/>
      <c r="AB51" s="1494"/>
      <c r="AC51" s="1494"/>
      <c r="AD51" s="1494"/>
      <c r="AE51" s="1494"/>
      <c r="AF51" s="1494"/>
      <c r="AG51" s="1494"/>
      <c r="AH51" s="1494"/>
      <c r="AI51" s="1494"/>
      <c r="AJ51" s="1494"/>
      <c r="AK51" s="1494"/>
      <c r="AM51" s="959"/>
      <c r="AN51" s="959" t="str">
        <f>IF(T51="","",T51)</f>
        <v>Добавить централизованную систему для дифференциации</v>
      </c>
      <c r="AO51" s="959"/>
      <c r="AP51" s="959"/>
      <c r="AQ51" s="688">
        <v>0</v>
      </c>
    </row>
    <row s="11993" customFormat="1" customHeight="1" ht="0">
      <c r="A52" s="1513" t="s">
        <v>243</v>
      </c>
      <c r="B52" s="1513"/>
      <c r="C52" s="1513"/>
      <c r="D52" s="1513"/>
      <c r="E52" s="2428"/>
      <c r="F52" s="1513"/>
      <c r="G52" s="1513"/>
      <c r="H52" s="1513"/>
      <c r="I52" s="1513"/>
      <c r="J52" s="1513"/>
      <c r="K52" s="1513"/>
      <c r="L52" s="1516"/>
      <c r="M52" s="1491"/>
      <c r="N52" s="1491"/>
      <c r="O52" s="688"/>
      <c r="P52" s="550"/>
      <c r="Q52" s="1514"/>
      <c r="R52" s="550"/>
      <c r="S52" s="1492"/>
      <c r="T52" s="1495" t="s">
        <v>167</v>
      </c>
      <c r="U52" s="1494"/>
      <c r="V52" s="1494"/>
      <c r="W52" s="1494"/>
      <c r="X52" s="1494"/>
      <c r="Y52" s="1494"/>
      <c r="Z52" s="1494"/>
      <c r="AA52" s="1494"/>
      <c r="AB52" s="1494"/>
      <c r="AC52" s="1494"/>
      <c r="AD52" s="1494"/>
      <c r="AE52" s="1494"/>
      <c r="AF52" s="1494"/>
      <c r="AG52" s="1494"/>
      <c r="AH52" s="1494"/>
      <c r="AI52" s="1494"/>
      <c r="AJ52" s="1494"/>
      <c r="AK52" s="1494"/>
      <c r="AM52" s="670"/>
      <c r="AN52" s="670" t="str">
        <f>IF(T52="","",T52)</f>
        <v>Добавить территорию для дифференциации</v>
      </c>
      <c r="AO52" s="670"/>
      <c r="AP52" s="670"/>
      <c r="AQ52" s="681">
        <v>0</v>
      </c>
    </row>
    <row s="11993" customFormat="1" customHeight="1" ht="0">
      <c r="A53" s="1484"/>
      <c r="B53" s="1484"/>
      <c r="C53" s="1484"/>
      <c r="D53" s="1484"/>
      <c r="E53" s="1513"/>
      <c r="F53" s="1484"/>
      <c r="G53" s="1484"/>
      <c r="H53" s="1484"/>
      <c r="I53" s="1484"/>
      <c r="J53" s="1484"/>
      <c r="K53" s="1484"/>
      <c r="L53" s="1628"/>
      <c r="M53" s="1491"/>
      <c r="N53" s="1491"/>
      <c r="P53" s="1486"/>
      <c r="Q53" s="1487"/>
      <c r="R53" s="1486"/>
      <c r="S53" s="1492"/>
      <c r="T53" s="1495" t="s">
        <v>168</v>
      </c>
      <c r="U53" s="1494"/>
      <c r="V53" s="1494"/>
      <c r="W53" s="1494"/>
      <c r="X53" s="1494"/>
      <c r="Y53" s="1494"/>
      <c r="Z53" s="1494"/>
      <c r="AA53" s="1494"/>
      <c r="AB53" s="1494"/>
      <c r="AC53" s="1494"/>
      <c r="AD53" s="1494"/>
      <c r="AE53" s="1494"/>
      <c r="AF53" s="1494"/>
      <c r="AG53" s="1494"/>
      <c r="AH53" s="1494"/>
      <c r="AI53" s="1494"/>
      <c r="AJ53" s="1494"/>
      <c r="AK53" s="1494"/>
      <c r="AM53" s="959"/>
      <c r="AN53" s="959" t="str">
        <f>IF(T53="","",T53)</f>
        <v>Добавить наименование тарифа</v>
      </c>
      <c r="AO53" s="959"/>
      <c r="AP53" s="959"/>
      <c r="AQ53" s="688">
        <v>0</v>
      </c>
    </row>
    <row customHeight="1" ht="11.549999999999999">
      <c r="M54" s="1330"/>
      <c r="N54" s="1330"/>
      <c r="O54" s="707"/>
      <c r="P54" s="1325"/>
      <c r="Q54" s="1325"/>
      <c r="R54" s="1325"/>
      <c r="S54" s="1325"/>
      <c r="AL54" s="1325"/>
      <c r="AM54" s="1325"/>
      <c r="AN54" s="1325"/>
      <c r="AO54" s="1325"/>
      <c r="AP54" s="1325"/>
      <c r="AQ54" s="1325">
        <v>11</v>
      </c>
    </row>
    <row customHeight="1" ht="14.699999999999998">
      <c r="O55" s="707"/>
      <c r="S55" s="1423"/>
      <c r="T55" s="2455"/>
      <c r="U55" s="2455"/>
      <c r="V55" s="2455"/>
      <c r="W55" s="2455"/>
      <c r="X55" s="2455"/>
      <c r="Y55" s="2455"/>
      <c r="Z55" s="2455"/>
      <c r="AA55" s="2455"/>
      <c r="AB55" s="2455"/>
      <c r="AC55" s="2455"/>
      <c r="AD55" s="2455"/>
      <c r="AE55" s="2455"/>
      <c r="AF55" s="2455"/>
      <c r="AG55" s="2455"/>
      <c r="AH55" s="2455"/>
      <c r="AI55" s="2455"/>
      <c r="AJ55" s="2455"/>
      <c r="AK55" s="2455"/>
      <c r="AQ55" s="1325">
        <v>14</v>
      </c>
    </row>
    <row customHeight="1" ht="14.699999999999998">
      <c r="O56" s="707"/>
      <c r="AQ56" s="1325">
        <v>14</v>
      </c>
    </row>
    <row customHeight="1" ht="14.699999999999998">
      <c r="O57" s="707"/>
      <c r="S57" s="1423"/>
      <c r="T57" s="2455"/>
      <c r="U57" s="2455"/>
      <c r="V57" s="2455"/>
      <c r="W57" s="2455"/>
      <c r="X57" s="2455"/>
      <c r="Y57" s="2455"/>
      <c r="Z57" s="2455"/>
      <c r="AA57" s="2455"/>
      <c r="AB57" s="2455"/>
      <c r="AC57" s="2455"/>
      <c r="AD57" s="2455"/>
      <c r="AE57" s="2455"/>
      <c r="AF57" s="2455"/>
      <c r="AG57" s="2455"/>
      <c r="AH57" s="2455"/>
      <c r="AI57" s="2455"/>
      <c r="AJ57" s="2455"/>
      <c r="AK57" s="2455"/>
      <c r="AQ57" s="1325">
        <v>14</v>
      </c>
    </row>
    <row customHeight="1" ht="22.5" hidden="1">
      <c r="A58" s="1330" t="s">
        <v>85</v>
      </c>
      <c r="B58" s="1330">
        <v>0</v>
      </c>
      <c r="C58" s="1330">
        <v>0</v>
      </c>
      <c r="D58" s="1330">
        <v>0</v>
      </c>
      <c r="E58" s="1330">
        <v>0</v>
      </c>
      <c r="F58" s="1330">
        <v>0</v>
      </c>
      <c r="G58" s="1330">
        <v>0</v>
      </c>
      <c r="H58" s="1330">
        <v>0</v>
      </c>
      <c r="I58" s="1330">
        <v>0</v>
      </c>
      <c r="J58" s="1330">
        <v>0</v>
      </c>
      <c r="K58" s="1330">
        <v>0</v>
      </c>
      <c r="L58" s="1617">
        <v>0</v>
      </c>
      <c r="M58" s="1532">
        <v>0</v>
      </c>
      <c r="N58" s="1532">
        <v>0</v>
      </c>
      <c r="O58" s="1532">
        <v>0</v>
      </c>
      <c r="P58" s="1616">
        <v>3</v>
      </c>
      <c r="Q58" s="514">
        <v>3</v>
      </c>
      <c r="R58" s="514">
        <v>3</v>
      </c>
      <c r="S58" s="751">
        <v>12</v>
      </c>
      <c r="T58" s="1325">
        <v>35</v>
      </c>
      <c r="U58" s="1325">
        <v>0</v>
      </c>
      <c r="V58" s="1325">
        <v>0</v>
      </c>
      <c r="W58" s="1325">
        <v>0</v>
      </c>
      <c r="X58" s="1325">
        <v>0</v>
      </c>
      <c r="Y58" s="1325">
        <v>0</v>
      </c>
      <c r="Z58" s="1325">
        <v>0</v>
      </c>
      <c r="AA58" s="1325">
        <v>0</v>
      </c>
      <c r="AB58" s="1325">
        <v>0</v>
      </c>
      <c r="AC58" s="1325">
        <v>24</v>
      </c>
      <c r="AD58" s="1325">
        <v>24</v>
      </c>
      <c r="AE58" s="1325">
        <v>24</v>
      </c>
      <c r="AF58" s="1325">
        <v>11</v>
      </c>
      <c r="AG58" s="1325">
        <v>3</v>
      </c>
      <c r="AH58" s="1325">
        <v>11</v>
      </c>
      <c r="AI58" s="1325">
        <v>0</v>
      </c>
      <c r="AJ58" s="1325">
        <v>4</v>
      </c>
      <c r="AK58" s="1325">
        <v>115</v>
      </c>
      <c r="AL58" s="681">
        <v>10</v>
      </c>
      <c r="AM58" s="681">
        <v>10</v>
      </c>
      <c r="AN58" s="681">
        <v>10</v>
      </c>
      <c r="AO58" s="681">
        <v>10</v>
      </c>
      <c r="AP58" s="681">
        <v>10</v>
      </c>
      <c r="AQ58" s="132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84B225-0B18-3ADD-1811-8799A365255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992" width="10.57421875" hidden="1"/>
    <col min="2" max="2" style="11992" width="11.00390625" hidden="1" customWidth="1"/>
    <col min="3" max="3" style="11992" width="10.57421875" hidden="1"/>
    <col min="4" max="4" style="11992" width="11.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4.140625" hidden="1" customWidth="1"/>
    <col min="10" max="10" style="11992" width="9.8515625" hidden="1" customWidth="1"/>
    <col min="11" max="11" style="11992" width="14.7109375" hidden="1" customWidth="1"/>
    <col min="12" max="12" style="13388" width="19.140625" hidden="1" customWidth="1"/>
    <col min="13" max="14" style="13389" width="12.28125" hidden="1" customWidth="1"/>
    <col min="15" max="15" style="13389" width="23.421875" hidden="1" customWidth="1"/>
    <col min="16" max="16" style="13390" width="3.00390625" customWidth="1"/>
    <col min="17" max="18" style="13391" width="3.00390625" customWidth="1"/>
    <col min="19" max="19" style="13392" width="12.00390625" customWidth="1"/>
    <col min="20" max="20" style="11913" width="35.00390625" customWidth="1"/>
    <col min="21" max="21" style="11913" width="0.140625" customWidth="1"/>
    <col min="22" max="24" style="11913" width="24.7109375" hidden="1" customWidth="1"/>
    <col min="25" max="25" style="11913" width="11.7109375" hidden="1" customWidth="1"/>
    <col min="26" max="26" style="11913" width="3.7109375" hidden="1" customWidth="1"/>
    <col min="27" max="27" style="11913" width="11.7109375" hidden="1" customWidth="1"/>
    <col min="28" max="28" style="11913" width="8.57421875" hidden="1" customWidth="1"/>
    <col min="29" max="29" style="11913" width="24.7109375" customWidth="1"/>
    <col min="30" max="31" style="11913" width="24.00390625" customWidth="1"/>
    <col min="32" max="32" style="11913" width="11.00390625" customWidth="1"/>
    <col min="33" max="33" style="11913" width="3.7109375" customWidth="1"/>
    <col min="34" max="34" style="11913" width="11.00390625" customWidth="1"/>
    <col min="35" max="35" style="11913" width="8.57421875" hidden="1" customWidth="1"/>
    <col min="36" max="36" style="11913" width="4.00390625" customWidth="1"/>
    <col min="37" max="37" style="11913" width="115.00390625" customWidth="1"/>
    <col min="38" max="42" style="11993" width="10.00390625" customWidth="1"/>
    <col min="43" max="43" style="11913" width="10.57421875" hidden="1"/>
  </cols>
  <sheetData>
    <row customHeight="1" ht="22.5" hidden="1">
      <c r="X1" s="497"/>
      <c r="Y1" s="497"/>
      <c r="AE1" s="497"/>
      <c r="AF1" s="497"/>
      <c r="AQ1" s="1325" t="s">
        <v>14</v>
      </c>
    </row>
    <row customHeight="1" ht="23.25" hidden="1">
      <c r="A2" s="1533"/>
      <c r="B2" s="1533"/>
      <c r="C2" s="1533"/>
      <c r="D2" s="1533"/>
      <c r="E2" s="2428">
        <v>1</v>
      </c>
      <c r="F2" s="1533"/>
      <c r="G2" s="1533"/>
      <c r="H2" s="1533"/>
      <c r="I2" s="1533"/>
      <c r="J2" s="1533"/>
      <c r="K2" s="1533"/>
      <c r="L2" s="1534"/>
      <c r="M2" s="1535"/>
      <c r="N2" s="1535"/>
      <c r="O2" s="1535"/>
      <c r="P2" s="531"/>
      <c r="Q2" s="530"/>
      <c r="R2" s="525"/>
      <c r="S2" s="1627">
        <f>INDEX(PT_DIFFERENTIATION_NUM_NTAR,MATCH(A2,PT_DIFFERENTIATION_NTAR_ID,0))</f>
      </c>
      <c r="T2" s="468" t="s">
        <v>126</v>
      </c>
      <c r="U2" s="470"/>
      <c r="V2" s="2412"/>
      <c r="W2" s="2413"/>
      <c r="X2" s="2413"/>
      <c r="Y2" s="2413"/>
      <c r="Z2" s="2413"/>
      <c r="AA2" s="2413"/>
      <c r="AB2" s="2414"/>
      <c r="AC2" s="2412">
        <f>INDEX(PT_DIFFERENTIATION_NTAR,MATCH(A2,PT_DIFFERENTIATION_NTAR_ID,0))</f>
      </c>
      <c r="AD2" s="2413"/>
      <c r="AE2" s="2413"/>
      <c r="AF2" s="2413"/>
      <c r="AG2" s="2413"/>
      <c r="AH2" s="2413"/>
      <c r="AI2" s="2413"/>
      <c r="AJ2" s="2414"/>
      <c r="AK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70"/>
      <c r="AN2" s="670" t="str">
        <f>IF(T2="","",T2)</f>
        <v>Наименование тарифа</v>
      </c>
      <c r="AO2" s="670"/>
      <c r="AP2" s="670"/>
      <c r="AQ2" s="1325">
        <v>0</v>
      </c>
    </row>
    <row customHeight="1" ht="23.25" hidden="1">
      <c r="A3" s="1533"/>
      <c r="B3" s="1533"/>
      <c r="C3" s="1533"/>
      <c r="D3" s="1533"/>
      <c r="E3" s="2429"/>
      <c r="F3" s="2428">
        <v>1</v>
      </c>
      <c r="G3" s="1533"/>
      <c r="H3" s="1533"/>
      <c r="I3" s="1533"/>
      <c r="J3" s="1533"/>
      <c r="K3" s="1533"/>
      <c r="L3" s="1534"/>
      <c r="M3" s="1535"/>
      <c r="N3" s="1535"/>
      <c r="O3" s="1535"/>
      <c r="P3" s="1623"/>
      <c r="Q3" s="522"/>
      <c r="R3" s="523"/>
      <c r="S3" s="1627">
        <f>INDEX(PT_DIFFERENTIATION_NUM_TER,MATCH(B3,PT_DIFFERENTIATION_TER_ID,0))</f>
      </c>
      <c r="T3" s="478" t="s">
        <v>409</v>
      </c>
      <c r="U3" s="470"/>
      <c r="V3" s="2412"/>
      <c r="W3" s="2413"/>
      <c r="X3" s="2413"/>
      <c r="Y3" s="2413"/>
      <c r="Z3" s="2413"/>
      <c r="AA3" s="2413"/>
      <c r="AB3" s="2414"/>
      <c r="AC3" s="2412">
        <f>INDEX(PT_DIFFERENTIATION_TER,MATCH(B3,PT_DIFFERENTIATION_TER_ID,0))</f>
      </c>
      <c r="AD3" s="2413"/>
      <c r="AE3" s="2413"/>
      <c r="AF3" s="2413"/>
      <c r="AG3" s="2413"/>
      <c r="AH3" s="2413"/>
      <c r="AI3" s="2413"/>
      <c r="AJ3" s="2414"/>
      <c r="AK3" s="1428" t="s">
        <v>410</v>
      </c>
      <c r="AM3" s="670"/>
      <c r="AN3" s="670" t="str">
        <f>IF(T3="","",T3)</f>
        <v>Территория действия тарифа</v>
      </c>
      <c r="AO3" s="670"/>
      <c r="AP3" s="670"/>
      <c r="AQ3" s="1325">
        <v>0</v>
      </c>
    </row>
    <row customHeight="1" ht="23.25" hidden="1">
      <c r="A4" s="1533"/>
      <c r="B4" s="1533"/>
      <c r="C4" s="1533"/>
      <c r="D4" s="1533"/>
      <c r="E4" s="2429"/>
      <c r="F4" s="2429"/>
      <c r="G4" s="2428">
        <v>1</v>
      </c>
      <c r="H4" s="1533"/>
      <c r="I4" s="1533"/>
      <c r="J4" s="1533"/>
      <c r="K4" s="1533"/>
      <c r="L4" s="1534"/>
      <c r="M4" s="1535"/>
      <c r="N4" s="1535"/>
      <c r="O4" s="1535"/>
      <c r="P4" s="524"/>
      <c r="Q4" s="522"/>
      <c r="R4" s="523"/>
      <c r="S4" s="1627">
        <f>INDEX(PT_DIFFERENTIATION_NUM_CS,MATCH(C4,PT_DIFFERENTIATION_CS_ID,0))</f>
      </c>
      <c r="T4" s="479" t="s">
        <v>496</v>
      </c>
      <c r="U4" s="470"/>
      <c r="V4" s="2412"/>
      <c r="W4" s="2413"/>
      <c r="X4" s="2413"/>
      <c r="Y4" s="2413"/>
      <c r="Z4" s="2413"/>
      <c r="AA4" s="2413"/>
      <c r="AB4" s="2414"/>
      <c r="AC4" s="2412">
        <f>INDEX(PT_DIFFERENTIATION_CS,MATCH(C4,PT_DIFFERENTIATION_CS_ID,0))</f>
      </c>
      <c r="AD4" s="2413"/>
      <c r="AE4" s="2413"/>
      <c r="AF4" s="2413"/>
      <c r="AG4" s="2413"/>
      <c r="AH4" s="2413"/>
      <c r="AI4" s="2413"/>
      <c r="AJ4" s="2414"/>
      <c r="AK4" s="1428" t="s">
        <v>497</v>
      </c>
      <c r="AM4" s="670"/>
      <c r="AN4" s="670" t="str">
        <f>IF(T4="","",T4)</f>
        <v>Наименование централизованной системы холодного водоснабжения</v>
      </c>
      <c r="AO4" s="670"/>
      <c r="AP4" s="670"/>
      <c r="AQ4" s="1325">
        <v>0</v>
      </c>
    </row>
    <row customHeight="1" ht="23.25" hidden="1">
      <c r="A5" s="1533"/>
      <c r="B5" s="1533"/>
      <c r="C5" s="1533"/>
      <c r="D5" s="1533"/>
      <c r="E5" s="2429"/>
      <c r="F5" s="2429"/>
      <c r="G5" s="2429"/>
      <c r="H5" s="2429"/>
      <c r="I5" s="2426">
        <f>S4&amp;".1"</f>
      </c>
      <c r="J5" s="1533"/>
      <c r="K5" s="1533"/>
      <c r="L5" s="1534"/>
      <c r="P5" s="2427">
        <v>1</v>
      </c>
      <c r="Q5" s="1620"/>
      <c r="R5" s="526"/>
      <c r="S5" s="1627">
        <f>$I5</f>
      </c>
      <c r="T5" s="455" t="s">
        <v>498</v>
      </c>
      <c r="U5" s="470"/>
      <c r="V5" s="2520"/>
      <c r="W5" s="2521"/>
      <c r="X5" s="2521"/>
      <c r="Y5" s="2521"/>
      <c r="Z5" s="2521"/>
      <c r="AA5" s="2521"/>
      <c r="AB5" s="2522"/>
      <c r="AC5" s="2523"/>
      <c r="AD5" s="2524"/>
      <c r="AE5" s="2524"/>
      <c r="AF5" s="2524"/>
      <c r="AG5" s="2524"/>
      <c r="AH5" s="2524"/>
      <c r="AI5" s="2524"/>
      <c r="AJ5" s="2525"/>
      <c r="AK5" s="1428" t="s">
        <v>499</v>
      </c>
      <c r="AM5" s="670"/>
      <c r="AN5" s="670" t="str">
        <f>IF(T5="","",T5)</f>
        <v>Наименование признака дифференциации</v>
      </c>
      <c r="AO5" s="670"/>
      <c r="AP5" s="670"/>
      <c r="AQ5" s="1325">
        <v>0</v>
      </c>
    </row>
    <row customHeight="1" ht="23.25" hidden="1">
      <c r="A6" s="1533"/>
      <c r="B6" s="1533"/>
      <c r="C6" s="1533"/>
      <c r="D6" s="1533"/>
      <c r="E6" s="2429"/>
      <c r="F6" s="2429"/>
      <c r="G6" s="2429"/>
      <c r="H6" s="2429"/>
      <c r="I6" s="2456"/>
      <c r="J6" s="2426">
        <f>I5&amp;".1"</f>
      </c>
      <c r="K6" s="1533"/>
      <c r="L6" s="1534" t="s">
        <v>418</v>
      </c>
      <c r="P6" s="2427"/>
      <c r="Q6" s="2427">
        <v>1</v>
      </c>
      <c r="R6" s="527"/>
      <c r="S6" s="1627">
        <f>$J6</f>
      </c>
      <c r="T6" s="456" t="s">
        <v>419</v>
      </c>
      <c r="U6" s="470"/>
      <c r="V6" s="2415"/>
      <c r="W6" s="2416"/>
      <c r="X6" s="2416"/>
      <c r="Y6" s="2416"/>
      <c r="Z6" s="2416"/>
      <c r="AA6" s="2416"/>
      <c r="AB6" s="2417"/>
      <c r="AC6" s="2415"/>
      <c r="AD6" s="2416"/>
      <c r="AE6" s="2416"/>
      <c r="AF6" s="2416"/>
      <c r="AG6" s="2416"/>
      <c r="AH6" s="2416"/>
      <c r="AI6" s="2416"/>
      <c r="AJ6" s="2417"/>
      <c r="AK6" s="1477" t="s">
        <v>500</v>
      </c>
      <c r="AM6" s="670"/>
      <c r="AN6" s="670" t="str">
        <f>IF(T6="","",T6)</f>
        <v>Группа потребителей</v>
      </c>
      <c r="AO6" s="670"/>
      <c r="AP6" s="670"/>
      <c r="AQ6" s="1325">
        <v>0</v>
      </c>
    </row>
    <row customHeight="1" ht="23.25" hidden="1">
      <c r="A7" s="1533"/>
      <c r="B7" s="1533"/>
      <c r="C7" s="1533"/>
      <c r="D7" s="1533"/>
      <c r="E7" s="2429"/>
      <c r="F7" s="2429"/>
      <c r="G7" s="2429"/>
      <c r="H7" s="2429"/>
      <c r="I7" s="2456"/>
      <c r="J7" s="2456"/>
      <c r="K7" s="2426">
        <f>J6&amp;".1"</f>
      </c>
      <c r="L7" s="1534"/>
      <c r="P7" s="2427"/>
      <c r="Q7" s="2427"/>
      <c r="R7" s="527">
        <v>1</v>
      </c>
      <c r="S7" s="1627">
        <f>$K7</f>
      </c>
      <c r="T7" s="1607"/>
      <c r="U7" s="470"/>
      <c r="V7" s="921"/>
      <c r="W7" s="921"/>
      <c r="X7" s="1427"/>
      <c r="Y7" s="2435"/>
      <c r="Z7" s="2277" t="s">
        <v>64</v>
      </c>
      <c r="AA7" s="2435"/>
      <c r="AB7" s="2277" t="s">
        <v>64</v>
      </c>
      <c r="AC7" s="921"/>
      <c r="AD7" s="921"/>
      <c r="AE7" s="1427"/>
      <c r="AF7" s="2435"/>
      <c r="AG7" s="2277" t="s">
        <v>64</v>
      </c>
      <c r="AH7" s="2457"/>
      <c r="AI7" s="2277" t="s">
        <v>64</v>
      </c>
      <c r="AJ7" s="1608"/>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1">
        <f>STRCHECKDATE(V8:AJ8)</f>
      </c>
      <c r="AM7" s="670"/>
      <c r="AN7" s="670" t="str">
        <f>IF(T7="","",T7)</f>
        <v/>
      </c>
      <c r="AO7" s="670"/>
      <c r="AP7" s="670"/>
      <c r="AQ7" s="1325">
        <v>0</v>
      </c>
    </row>
    <row customHeight="1" ht="14.25" hidden="1">
      <c r="A8" s="1533"/>
      <c r="B8" s="1533"/>
      <c r="C8" s="1533"/>
      <c r="D8" s="1533"/>
      <c r="E8" s="2429"/>
      <c r="F8" s="2429"/>
      <c r="G8" s="2429"/>
      <c r="H8" s="2429"/>
      <c r="I8" s="2456"/>
      <c r="J8" s="2456"/>
      <c r="K8" s="2426"/>
      <c r="L8" s="1534"/>
      <c r="P8" s="2427"/>
      <c r="Q8" s="2427"/>
      <c r="R8" s="527"/>
      <c r="S8" s="1626"/>
      <c r="T8" s="470"/>
      <c r="U8" s="470"/>
      <c r="V8" s="495"/>
      <c r="W8" s="495"/>
      <c r="X8" s="498" t="str">
        <f>Y7&amp;"-"&amp;AA7</f>
        <v>-</v>
      </c>
      <c r="Y8" s="2436"/>
      <c r="Z8" s="2277"/>
      <c r="AA8" s="2436"/>
      <c r="AB8" s="2277"/>
      <c r="AC8" s="495"/>
      <c r="AD8" s="495"/>
      <c r="AE8" s="498" t="str">
        <f>AF7&amp;"-"&amp;AH7</f>
        <v>-</v>
      </c>
      <c r="AF8" s="2436"/>
      <c r="AG8" s="2277"/>
      <c r="AH8" s="2458"/>
      <c r="AI8" s="2277"/>
      <c r="AJ8" s="1609"/>
      <c r="AK8" s="2519"/>
      <c r="AM8" s="670"/>
      <c r="AN8" s="670" t="str">
        <f>IF(T8="","",T8)</f>
        <v/>
      </c>
      <c r="AO8" s="670"/>
      <c r="AP8" s="670"/>
      <c r="AQ8" s="1325">
        <v>0</v>
      </c>
    </row>
    <row customHeight="1" ht="21" hidden="1">
      <c r="A9" s="1533"/>
      <c r="B9" s="1533"/>
      <c r="C9" s="1533"/>
      <c r="D9" s="1533"/>
      <c r="E9" s="2429"/>
      <c r="F9" s="2429"/>
      <c r="G9" s="2429"/>
      <c r="H9" s="2429"/>
      <c r="I9" s="2456"/>
      <c r="J9" s="2426"/>
      <c r="K9" s="1533"/>
      <c r="L9" s="1534"/>
      <c r="P9" s="2427"/>
      <c r="Q9" s="2427"/>
      <c r="R9" s="526"/>
      <c r="S9" s="1448"/>
      <c r="T9" s="457" t="s">
        <v>501</v>
      </c>
      <c r="U9" s="537"/>
      <c r="V9" s="537"/>
      <c r="W9" s="537"/>
      <c r="X9" s="537"/>
      <c r="Y9" s="537"/>
      <c r="Z9" s="537"/>
      <c r="AA9" s="537"/>
      <c r="AB9" s="537"/>
      <c r="AC9" s="537"/>
      <c r="AD9" s="537"/>
      <c r="AE9" s="537"/>
      <c r="AF9" s="537"/>
      <c r="AG9" s="537"/>
      <c r="AH9" s="537"/>
      <c r="AI9" s="537"/>
      <c r="AJ9" s="537"/>
      <c r="AK9" s="1428" t="s">
        <v>502</v>
      </c>
      <c r="AM9" s="670"/>
      <c r="AN9" s="670" t="str">
        <f>IF(T9="","",T9)</f>
        <v>Добавить значение признака дифференциации</v>
      </c>
      <c r="AO9" s="670"/>
      <c r="AP9" s="670"/>
      <c r="AQ9" s="1325">
        <v>0</v>
      </c>
    </row>
    <row customHeight="1" ht="21" hidden="1">
      <c r="A10" s="1533"/>
      <c r="B10" s="1533"/>
      <c r="C10" s="1533"/>
      <c r="D10" s="1533"/>
      <c r="E10" s="2429"/>
      <c r="F10" s="2429"/>
      <c r="G10" s="2429"/>
      <c r="H10" s="2429"/>
      <c r="I10" s="2426"/>
      <c r="J10" s="1533"/>
      <c r="K10" s="1533"/>
      <c r="L10" s="1534"/>
      <c r="P10" s="2427"/>
      <c r="Q10" s="1620"/>
      <c r="R10" s="526"/>
      <c r="S10" s="1448"/>
      <c r="T10" s="535" t="s">
        <v>424</v>
      </c>
      <c r="U10" s="537"/>
      <c r="V10" s="537"/>
      <c r="W10" s="537"/>
      <c r="X10" s="537"/>
      <c r="Y10" s="537"/>
      <c r="Z10" s="537"/>
      <c r="AA10" s="537"/>
      <c r="AB10" s="536"/>
      <c r="AC10" s="537"/>
      <c r="AD10" s="537"/>
      <c r="AE10" s="537"/>
      <c r="AF10" s="537"/>
      <c r="AG10" s="537"/>
      <c r="AH10" s="537"/>
      <c r="AI10" s="536"/>
      <c r="AJ10" s="537"/>
      <c r="AK10" s="1610"/>
      <c r="AM10" s="670"/>
      <c r="AN10" s="670" t="str">
        <f>IF(T10="","",T10)</f>
        <v>Добавить группу потребителей</v>
      </c>
      <c r="AO10" s="670"/>
      <c r="AP10" s="670"/>
      <c r="AQ10" s="1325">
        <v>0</v>
      </c>
    </row>
    <row customHeight="1" ht="21" hidden="1">
      <c r="A11" s="1533"/>
      <c r="B11" s="1533"/>
      <c r="C11" s="1533"/>
      <c r="D11" s="1533"/>
      <c r="E11" s="2429"/>
      <c r="F11" s="2429"/>
      <c r="G11" s="2429"/>
      <c r="H11" s="2428"/>
      <c r="I11" s="1533"/>
      <c r="J11" s="1533"/>
      <c r="K11" s="1533"/>
      <c r="L11" s="1534"/>
      <c r="M11" s="1535"/>
      <c r="N11" s="1535"/>
      <c r="O11" s="707"/>
      <c r="P11" s="530"/>
      <c r="Q11" s="545"/>
      <c r="R11" s="525"/>
      <c r="S11" s="1448"/>
      <c r="T11" s="542" t="s">
        <v>503</v>
      </c>
      <c r="U11" s="537"/>
      <c r="V11" s="537"/>
      <c r="W11" s="537"/>
      <c r="X11" s="537"/>
      <c r="Y11" s="537"/>
      <c r="Z11" s="537"/>
      <c r="AA11" s="537"/>
      <c r="AB11" s="536"/>
      <c r="AC11" s="537"/>
      <c r="AD11" s="537"/>
      <c r="AE11" s="537"/>
      <c r="AF11" s="537"/>
      <c r="AG11" s="537"/>
      <c r="AH11" s="537"/>
      <c r="AI11" s="536"/>
      <c r="AJ11" s="537"/>
      <c r="AK11" s="473"/>
      <c r="AM11" s="670"/>
      <c r="AN11" s="670" t="str">
        <f>IF(T11="","",T11)</f>
        <v>Добавить наименование признака дифференциации</v>
      </c>
      <c r="AO11" s="670"/>
      <c r="AP11" s="670"/>
      <c r="AQ11" s="1325">
        <v>0</v>
      </c>
    </row>
    <row s="11993" customFormat="1" customHeight="1" ht="14.25" hidden="1">
      <c r="A12" s="1513"/>
      <c r="B12" s="1513"/>
      <c r="C12" s="1484"/>
      <c r="D12" s="1484"/>
      <c r="E12" s="2429"/>
      <c r="F12" s="2428"/>
      <c r="G12" s="1484"/>
      <c r="H12" s="1484"/>
      <c r="I12" s="1484"/>
      <c r="J12" s="1484"/>
      <c r="K12" s="1484"/>
      <c r="L12" s="1628"/>
      <c r="M12" s="1491"/>
      <c r="N12" s="1491"/>
      <c r="P12" s="1486"/>
      <c r="Q12" s="1487"/>
      <c r="R12" s="1486"/>
      <c r="S12" s="1492"/>
      <c r="T12" s="1495" t="s">
        <v>166</v>
      </c>
      <c r="U12" s="1494"/>
      <c r="V12" s="1494"/>
      <c r="W12" s="1494"/>
      <c r="X12" s="1494"/>
      <c r="Y12" s="1494"/>
      <c r="Z12" s="1494"/>
      <c r="AA12" s="1494"/>
      <c r="AB12" s="1494"/>
      <c r="AC12" s="1494"/>
      <c r="AD12" s="1494"/>
      <c r="AE12" s="1494"/>
      <c r="AF12" s="1494"/>
      <c r="AG12" s="1494"/>
      <c r="AH12" s="1494"/>
      <c r="AI12" s="1494"/>
      <c r="AJ12" s="1494"/>
      <c r="AK12" s="1494"/>
      <c r="AM12" s="959"/>
      <c r="AN12" s="959" t="str">
        <f>IF(T12="","",T12)</f>
        <v>Добавить централизованную систему для дифференциации</v>
      </c>
      <c r="AO12" s="959"/>
      <c r="AP12" s="959"/>
      <c r="AQ12" s="688">
        <v>0</v>
      </c>
    </row>
    <row s="11993" customFormat="1" customHeight="1" ht="14.25" hidden="1">
      <c r="A13" s="1513"/>
      <c r="B13" s="1513"/>
      <c r="C13" s="1513"/>
      <c r="D13" s="1513"/>
      <c r="E13" s="2428"/>
      <c r="F13" s="1513"/>
      <c r="G13" s="1513"/>
      <c r="H13" s="1513"/>
      <c r="I13" s="1513"/>
      <c r="J13" s="1513"/>
      <c r="K13" s="1513"/>
      <c r="L13" s="1516"/>
      <c r="M13" s="1491"/>
      <c r="N13" s="1491"/>
      <c r="O13" s="688"/>
      <c r="P13" s="550"/>
      <c r="Q13" s="1514"/>
      <c r="R13" s="550"/>
      <c r="S13" s="1492"/>
      <c r="T13" s="1495" t="s">
        <v>167</v>
      </c>
      <c r="U13" s="1494"/>
      <c r="V13" s="1494"/>
      <c r="W13" s="1494"/>
      <c r="X13" s="1494"/>
      <c r="Y13" s="1494"/>
      <c r="Z13" s="1494"/>
      <c r="AA13" s="1494"/>
      <c r="AB13" s="1494"/>
      <c r="AC13" s="1494"/>
      <c r="AD13" s="1494"/>
      <c r="AE13" s="1494"/>
      <c r="AF13" s="1494"/>
      <c r="AG13" s="1494"/>
      <c r="AH13" s="1494"/>
      <c r="AI13" s="1494"/>
      <c r="AJ13" s="1494"/>
      <c r="AK13" s="1494"/>
      <c r="AM13" s="670"/>
      <c r="AN13" s="670" t="str">
        <f>IF(T13="","",T13)</f>
        <v>Добавить территорию для дифференциации</v>
      </c>
      <c r="AO13" s="670"/>
      <c r="AP13" s="670"/>
      <c r="AQ13" s="681">
        <v>0</v>
      </c>
    </row>
    <row customHeight="1" ht="14.25" hidden="1">
      <c r="AB14" s="497"/>
      <c r="AI14" s="497"/>
      <c r="AQ14" s="1325">
        <v>0</v>
      </c>
    </row>
    <row customHeight="1" ht="14.25" hidden="1">
      <c r="AC15" s="1530"/>
      <c r="AD15" s="1530"/>
      <c r="AE15" s="1531"/>
      <c r="AF15" s="2437"/>
      <c r="AG15" s="2438" t="s">
        <v>64</v>
      </c>
      <c r="AH15" s="2437"/>
      <c r="AI15" s="2438" t="s">
        <v>64</v>
      </c>
      <c r="AQ15" s="1325">
        <v>0</v>
      </c>
    </row>
    <row customHeight="1" ht="14.25" hidden="1">
      <c r="AC16" s="1530"/>
      <c r="AD16" s="1530"/>
      <c r="AE16" s="498" t="str">
        <f>AF15&amp;"-"&amp;AH15</f>
        <v>-</v>
      </c>
      <c r="AF16" s="2438"/>
      <c r="AG16" s="2438"/>
      <c r="AH16" s="2438"/>
      <c r="AI16" s="2438"/>
      <c r="AQ16" s="1325">
        <v>0</v>
      </c>
    </row>
    <row customHeight="1" ht="14.25" hidden="1">
      <c r="AI17" s="497"/>
      <c r="AQ17" s="1325">
        <v>0</v>
      </c>
    </row>
    <row s="11992" customFormat="1" customHeight="1" ht="22.5" hidden="1">
      <c r="L18" s="1617"/>
      <c r="M18" s="1532"/>
      <c r="N18" s="1532"/>
      <c r="O18" s="1537" t="s">
        <v>426</v>
      </c>
      <c r="P18" s="1532"/>
      <c r="Q18" s="1541"/>
      <c r="R18" s="1541"/>
      <c r="S18" s="899"/>
      <c r="Y18" s="1537"/>
      <c r="AA18" s="1537"/>
      <c r="AB18" s="1536"/>
      <c r="AF18" s="1537"/>
      <c r="AH18" s="1537"/>
      <c r="AI18" s="1536"/>
      <c r="AL18" s="681"/>
      <c r="AM18" s="681"/>
      <c r="AN18" s="681"/>
      <c r="AO18" s="681"/>
      <c r="AP18" s="681"/>
      <c r="AQ18" s="1330">
        <v>0</v>
      </c>
    </row>
    <row s="11992" customFormat="1" customHeight="1" ht="14.25" hidden="1">
      <c r="L19" s="1617"/>
      <c r="M19" s="1532"/>
      <c r="N19" s="1532"/>
      <c r="O19" s="1532"/>
      <c r="P19" s="1532"/>
      <c r="Q19" s="1541"/>
      <c r="R19" s="1541"/>
      <c r="S19" s="899"/>
      <c r="AB19" s="1536"/>
      <c r="AI19" s="1536"/>
      <c r="AL19" s="681"/>
      <c r="AM19" s="681"/>
      <c r="AN19" s="681"/>
      <c r="AO19" s="681"/>
      <c r="AP19" s="681"/>
      <c r="AQ19" s="1330">
        <v>0</v>
      </c>
    </row>
    <row s="11992" customFormat="1" customHeight="1" ht="12" hidden="1">
      <c r="L20" s="1617"/>
      <c r="M20" s="1532"/>
      <c r="N20" s="1532"/>
      <c r="O20" s="1534" t="s">
        <v>427</v>
      </c>
      <c r="P20" s="1532"/>
      <c r="Q20" s="1612"/>
      <c r="R20" s="1612"/>
      <c r="S20" s="899"/>
      <c r="T20" s="1330" t="s">
        <v>428</v>
      </c>
      <c r="Z20" s="356" t="s">
        <v>429</v>
      </c>
      <c r="AB20" s="356" t="s">
        <v>430</v>
      </c>
      <c r="AC20" s="1330" t="s">
        <v>428</v>
      </c>
      <c r="AG20" s="356" t="s">
        <v>431</v>
      </c>
      <c r="AI20" s="356" t="s">
        <v>430</v>
      </c>
      <c r="AQ20" s="1330">
        <v>0</v>
      </c>
    </row>
    <row customHeight="1" ht="14.25" hidden="1">
      <c r="O21" s="1534"/>
      <c r="AQ21" s="1325">
        <v>0</v>
      </c>
    </row>
    <row customHeight="1" ht="14.25" hidden="1">
      <c r="O22" s="1534"/>
      <c r="AQ22" s="1325">
        <v>0</v>
      </c>
    </row>
    <row customHeight="1" ht="14.699999999999998">
      <c r="Q23" s="546"/>
      <c r="R23" s="546"/>
      <c r="S23" s="1445"/>
      <c r="T23" s="533"/>
      <c r="U23" s="533"/>
      <c r="V23" s="679"/>
      <c r="W23" s="679"/>
      <c r="X23" s="679"/>
      <c r="Y23" s="679"/>
      <c r="Z23" s="679"/>
      <c r="AA23" s="679"/>
      <c r="AB23" s="679"/>
      <c r="AC23" s="679"/>
      <c r="AD23" s="679"/>
      <c r="AE23" s="679"/>
      <c r="AF23" s="679"/>
      <c r="AG23" s="679"/>
      <c r="AH23" s="679"/>
      <c r="AI23" s="679"/>
      <c r="AQ23" s="1325">
        <v>14</v>
      </c>
    </row>
    <row customHeight="1" ht="14.699999999999998">
      <c r="Q24" s="546"/>
      <c r="R24" s="546"/>
      <c r="S24" s="241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418"/>
      <c r="U24" s="2418"/>
      <c r="V24" s="2418"/>
      <c r="W24" s="2418"/>
      <c r="X24" s="2418"/>
      <c r="Y24" s="2418"/>
      <c r="Z24" s="2418"/>
      <c r="AA24" s="2418"/>
      <c r="AB24" s="2418"/>
      <c r="AC24" s="2418"/>
      <c r="AD24" s="2418"/>
      <c r="AE24" s="2418"/>
      <c r="AF24" s="2418"/>
      <c r="AG24" s="2418"/>
      <c r="AH24" s="2418"/>
      <c r="AI24" s="1413"/>
      <c r="AQ24" s="1325">
        <v>14</v>
      </c>
    </row>
    <row customHeight="1" ht="14.699999999999998">
      <c r="Q25" s="546"/>
      <c r="R25" s="546"/>
      <c r="S25" s="2419" t="str">
        <f>IF(org=0,"Не определено",org)</f>
        <v>Филиал "Шатурская ГРЭС" ПАО "Юнипро"</v>
      </c>
      <c r="T25" s="2419"/>
      <c r="U25" s="2419"/>
      <c r="V25" s="2419"/>
      <c r="W25" s="2419"/>
      <c r="X25" s="2419"/>
      <c r="Y25" s="2419"/>
      <c r="Z25" s="2419"/>
      <c r="AA25" s="2419"/>
      <c r="AB25" s="2419"/>
      <c r="AC25" s="2419"/>
      <c r="AD25" s="2419"/>
      <c r="AE25" s="2419"/>
      <c r="AF25" s="2419"/>
      <c r="AG25" s="2419"/>
      <c r="AH25" s="2419"/>
      <c r="AI25" s="1413"/>
      <c r="AQ25" s="1325">
        <v>14</v>
      </c>
    </row>
    <row customHeight="1" ht="14.25">
      <c r="Q26" s="546"/>
      <c r="R26" s="546"/>
      <c r="S26" s="1445"/>
      <c r="T26" s="533"/>
      <c r="U26" s="533"/>
      <c r="V26" s="492"/>
      <c r="W26" s="492"/>
      <c r="X26" s="492"/>
      <c r="Y26" s="492"/>
      <c r="Z26" s="492"/>
      <c r="AA26" s="492"/>
      <c r="AB26" s="492"/>
      <c r="AC26" s="492"/>
      <c r="AD26" s="492"/>
      <c r="AE26" s="492"/>
      <c r="AF26" s="492"/>
      <c r="AG26" s="492"/>
      <c r="AH26" s="492"/>
      <c r="AI26" s="492"/>
      <c r="AJ26" s="679"/>
      <c r="AQ26" s="1325">
        <v>0</v>
      </c>
    </row>
    <row s="12119" customFormat="1" customHeight="1" ht="25.5">
      <c r="A27" s="1538"/>
      <c r="B27" s="1538"/>
      <c r="C27" s="1538"/>
      <c r="D27" s="1538"/>
      <c r="E27" s="1538"/>
      <c r="F27" s="1538"/>
      <c r="G27" s="1538"/>
      <c r="H27" s="1538"/>
      <c r="I27" s="1538"/>
      <c r="J27" s="1538"/>
      <c r="K27" s="1538"/>
      <c r="L27" s="1539"/>
      <c r="M27" s="1538"/>
      <c r="N27" s="1538"/>
      <c r="O27" s="1538"/>
      <c r="S27" s="2420" t="s">
        <v>42</v>
      </c>
      <c r="T27" s="2420"/>
      <c r="U27" s="1542"/>
      <c r="V27" s="2421" t="str">
        <f>IF(TITLE_NAME_OR_PR_CHANGE="",IF(TITLE_NAME_OR_PR="","",TITLE_NAME_OR_PR),TITLE_NAME_OR_PR_CHANGE)</f>
        <v>Комитет по ценам и тарифам Московской области</v>
      </c>
      <c r="W27" s="2421"/>
      <c r="X27" s="2421"/>
      <c r="Y27" s="2421"/>
      <c r="Z27" s="2421"/>
      <c r="AA27" s="2421"/>
      <c r="AB27" s="496"/>
      <c r="AC27" s="2421" t="str">
        <f>IF(TITLE_NAME_OR_PR_CHANGE="",IF(TITLE_NAME_OR_PR="","",TITLE_NAME_OR_PR),TITLE_NAME_OR_PR_CHANGE)</f>
        <v>Комитет по ценам и тарифам Московской области</v>
      </c>
      <c r="AD27" s="2421"/>
      <c r="AE27" s="2421"/>
      <c r="AF27" s="2421"/>
      <c r="AG27" s="2421"/>
      <c r="AH27" s="2421"/>
      <c r="AI27" s="496"/>
      <c r="AJ27" s="496"/>
      <c r="AK27" s="450"/>
      <c r="AL27" s="538"/>
      <c r="AM27" s="538"/>
      <c r="AN27" s="538"/>
      <c r="AO27" s="538"/>
      <c r="AP27" s="538"/>
      <c r="AQ27" s="588">
        <v>0</v>
      </c>
    </row>
    <row s="12119" customFormat="1" customHeight="1" ht="18.75">
      <c r="A28" s="1538"/>
      <c r="B28" s="1538"/>
      <c r="C28" s="1538"/>
      <c r="D28" s="1538"/>
      <c r="E28" s="1538"/>
      <c r="F28" s="1538"/>
      <c r="G28" s="1538"/>
      <c r="H28" s="1538"/>
      <c r="I28" s="1538"/>
      <c r="J28" s="1538"/>
      <c r="K28" s="1538"/>
      <c r="L28" s="1539"/>
      <c r="M28" s="1538"/>
      <c r="N28" s="1538"/>
      <c r="O28" s="1538"/>
      <c r="S28" s="2420" t="s">
        <v>432</v>
      </c>
      <c r="T28" s="2420"/>
      <c r="U28" s="1542"/>
      <c r="V28" s="2434" t="str">
        <f>IF(TITLE_DATE_PR_CHANGE="",IF(TITLE_DATE_PR="","",TITLE_DATE_PR),TITLE_DATE_PR_CHANGE)</f>
        <v>45646.459814814814</v>
      </c>
      <c r="W28" s="2434"/>
      <c r="X28" s="2434"/>
      <c r="Y28" s="2434"/>
      <c r="Z28" s="2434"/>
      <c r="AA28" s="2434"/>
      <c r="AB28" s="496"/>
      <c r="AC28" s="2434" t="str">
        <f>IF(TITLE_DATE_PR_CHANGE="",IF(TITLE_DATE_PR="","",TITLE_DATE_PR),TITLE_DATE_PR_CHANGE)</f>
        <v>45646.459814814814</v>
      </c>
      <c r="AD28" s="2434"/>
      <c r="AE28" s="2434"/>
      <c r="AF28" s="2434"/>
      <c r="AG28" s="2434"/>
      <c r="AH28" s="2434"/>
      <c r="AI28" s="496"/>
      <c r="AJ28" s="496"/>
      <c r="AK28" s="450"/>
      <c r="AL28" s="538"/>
      <c r="AM28" s="538"/>
      <c r="AN28" s="538"/>
      <c r="AO28" s="538"/>
      <c r="AP28" s="538"/>
      <c r="AQ28" s="588">
        <v>0</v>
      </c>
    </row>
    <row s="12119" customFormat="1" customHeight="1" ht="18.75">
      <c r="A29" s="1538"/>
      <c r="B29" s="1538"/>
      <c r="C29" s="1538"/>
      <c r="D29" s="1538"/>
      <c r="E29" s="1538"/>
      <c r="F29" s="1538"/>
      <c r="G29" s="1538"/>
      <c r="H29" s="1538"/>
      <c r="I29" s="1538"/>
      <c r="J29" s="1538"/>
      <c r="K29" s="1538"/>
      <c r="L29" s="1539"/>
      <c r="M29" s="1538"/>
      <c r="N29" s="1538"/>
      <c r="O29" s="1538"/>
      <c r="S29" s="2420" t="s">
        <v>433</v>
      </c>
      <c r="T29" s="2420"/>
      <c r="U29" s="1542"/>
      <c r="V29" s="2421" t="str">
        <f>IF(TITLE_NUMBER_PR_CHANGE="",IF(TITLE_NUMBER_PR="","",TITLE_NUMBER_PR),TITLE_NUMBER_PR_CHANGE)</f>
        <v>329-Р</v>
      </c>
      <c r="W29" s="2421"/>
      <c r="X29" s="2421"/>
      <c r="Y29" s="2421"/>
      <c r="Z29" s="2421"/>
      <c r="AA29" s="2421"/>
      <c r="AB29" s="496"/>
      <c r="AC29" s="2421" t="str">
        <f>IF(TITLE_NUMBER_PR_CHANGE="",IF(TITLE_NUMBER_PR="","",TITLE_NUMBER_PR),TITLE_NUMBER_PR_CHANGE)</f>
        <v>329-Р</v>
      </c>
      <c r="AD29" s="2421"/>
      <c r="AE29" s="2421"/>
      <c r="AF29" s="2421"/>
      <c r="AG29" s="2421"/>
      <c r="AH29" s="2421"/>
      <c r="AI29" s="496"/>
      <c r="AJ29" s="496"/>
      <c r="AK29" s="450"/>
      <c r="AL29" s="538"/>
      <c r="AM29" s="538"/>
      <c r="AN29" s="538"/>
      <c r="AO29" s="538"/>
      <c r="AP29" s="538"/>
      <c r="AQ29" s="588">
        <v>0</v>
      </c>
    </row>
    <row s="12119" customFormat="1" customHeight="1" ht="18.75">
      <c r="A30" s="1538"/>
      <c r="B30" s="1538"/>
      <c r="C30" s="1538"/>
      <c r="D30" s="1538"/>
      <c r="E30" s="1538"/>
      <c r="F30" s="1538"/>
      <c r="G30" s="1538"/>
      <c r="H30" s="1538"/>
      <c r="I30" s="1538"/>
      <c r="J30" s="1538"/>
      <c r="K30" s="1538"/>
      <c r="L30" s="1539"/>
      <c r="M30" s="1538"/>
      <c r="N30" s="1538"/>
      <c r="O30" s="1538"/>
      <c r="S30" s="2420" t="s">
        <v>44</v>
      </c>
      <c r="T30" s="2420"/>
      <c r="U30" s="1542"/>
      <c r="V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421"/>
      <c r="X30" s="2421"/>
      <c r="Y30" s="2421"/>
      <c r="Z30" s="2421"/>
      <c r="AA30" s="2421"/>
      <c r="AB30" s="496"/>
      <c r="AC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421"/>
      <c r="AE30" s="2421"/>
      <c r="AF30" s="2421"/>
      <c r="AG30" s="2421"/>
      <c r="AH30" s="2421"/>
      <c r="AI30" s="496"/>
      <c r="AJ30" s="496"/>
      <c r="AK30" s="450"/>
      <c r="AL30" s="538"/>
      <c r="AM30" s="538"/>
      <c r="AN30" s="538"/>
      <c r="AO30" s="538"/>
      <c r="AP30" s="538"/>
      <c r="AQ30" s="588">
        <v>0</v>
      </c>
    </row>
    <row customHeight="1" ht="14.25" hidden="1">
      <c r="Q31" s="546"/>
      <c r="R31" s="546"/>
      <c r="S31" s="1445"/>
      <c r="T31" s="533"/>
      <c r="U31" s="533"/>
      <c r="V31" s="492"/>
      <c r="W31" s="492"/>
      <c r="X31" s="492"/>
      <c r="Y31" s="492"/>
      <c r="Z31" s="492"/>
      <c r="AA31" s="492"/>
      <c r="AB31" s="492"/>
      <c r="AC31" s="492"/>
      <c r="AD31" s="492"/>
      <c r="AE31" s="492"/>
      <c r="AF31" s="492"/>
      <c r="AG31" s="492"/>
      <c r="AH31" s="492"/>
      <c r="AI31" s="492"/>
      <c r="AJ31" s="679"/>
      <c r="AQ31" s="1325">
        <v>0</v>
      </c>
    </row>
    <row s="12119" customFormat="1" customHeight="1" ht="18.75" hidden="1">
      <c r="A32" s="1538"/>
      <c r="B32" s="1538"/>
      <c r="C32" s="1538"/>
      <c r="D32" s="1538"/>
      <c r="E32" s="1538"/>
      <c r="F32" s="1538"/>
      <c r="G32" s="1538"/>
      <c r="H32" s="1538"/>
      <c r="I32" s="1538"/>
      <c r="J32" s="1538"/>
      <c r="K32" s="1538"/>
      <c r="L32" s="1539"/>
      <c r="M32" s="1538"/>
      <c r="N32" s="1538"/>
      <c r="O32" s="1538"/>
      <c r="S32" s="2420" t="s">
        <v>434</v>
      </c>
      <c r="T32" s="2420"/>
      <c r="U32" s="1542"/>
      <c r="V32" s="2434" t="str">
        <f>IF(TITLE_DATE_PR_CHANGE="",IF(TITLE_DATE_PR="","",TITLE_DATE_PR),TITLE_DATE_PR_CHANGE)</f>
        <v>45646.459814814814</v>
      </c>
      <c r="W32" s="2434"/>
      <c r="X32" s="2434"/>
      <c r="Y32" s="2434"/>
      <c r="Z32" s="2434"/>
      <c r="AA32" s="2434"/>
      <c r="AB32" s="496"/>
      <c r="AC32" s="2434" t="str">
        <f>IF(TITLE_DATE_PR_CHANGE="",IF(TITLE_DATE_PR="","",TITLE_DATE_PR),TITLE_DATE_PR_CHANGE)</f>
        <v>45646.459814814814</v>
      </c>
      <c r="AD32" s="2434"/>
      <c r="AE32" s="2434"/>
      <c r="AF32" s="2434"/>
      <c r="AG32" s="2434"/>
      <c r="AH32" s="2434"/>
      <c r="AI32" s="496"/>
      <c r="AJ32" s="496"/>
      <c r="AK32" s="450"/>
      <c r="AL32" s="538"/>
      <c r="AM32" s="538"/>
      <c r="AN32" s="538"/>
      <c r="AO32" s="538"/>
      <c r="AP32" s="538"/>
      <c r="AQ32" s="588">
        <v>0</v>
      </c>
    </row>
    <row s="12119" customFormat="1" customHeight="1" ht="18.75" hidden="1">
      <c r="A33" s="1538"/>
      <c r="B33" s="1538"/>
      <c r="C33" s="1538"/>
      <c r="D33" s="1538"/>
      <c r="E33" s="1538"/>
      <c r="F33" s="1538"/>
      <c r="G33" s="1538"/>
      <c r="H33" s="1538"/>
      <c r="I33" s="1538"/>
      <c r="J33" s="1538"/>
      <c r="K33" s="1538"/>
      <c r="L33" s="1539"/>
      <c r="M33" s="1538"/>
      <c r="N33" s="1538"/>
      <c r="O33" s="1538"/>
      <c r="S33" s="2420" t="s">
        <v>435</v>
      </c>
      <c r="T33" s="2420"/>
      <c r="U33" s="1542"/>
      <c r="V33" s="2421" t="str">
        <f>IF(TITLE_NUMBER_PR_CHANGE="",IF(TITLE_NUMBER_PR="","",TITLE_NUMBER_PR),TITLE_NUMBER_PR_CHANGE)</f>
        <v>329-Р</v>
      </c>
      <c r="W33" s="2421"/>
      <c r="X33" s="2421"/>
      <c r="Y33" s="2421"/>
      <c r="Z33" s="2421"/>
      <c r="AA33" s="2421"/>
      <c r="AB33" s="496"/>
      <c r="AC33" s="2421" t="str">
        <f>IF(TITLE_NUMBER_PR_CHANGE="",IF(TITLE_NUMBER_PR="","",TITLE_NUMBER_PR),TITLE_NUMBER_PR_CHANGE)</f>
        <v>329-Р</v>
      </c>
      <c r="AD33" s="2421"/>
      <c r="AE33" s="2421"/>
      <c r="AF33" s="2421"/>
      <c r="AG33" s="2421"/>
      <c r="AH33" s="2421"/>
      <c r="AI33" s="496"/>
      <c r="AJ33" s="496"/>
      <c r="AK33" s="450"/>
      <c r="AL33" s="538"/>
      <c r="AM33" s="538"/>
      <c r="AN33" s="538"/>
      <c r="AO33" s="538"/>
      <c r="AP33" s="538"/>
      <c r="AQ33" s="588">
        <v>0</v>
      </c>
    </row>
    <row s="12119" customFormat="1" customHeight="1" ht="1.05">
      <c r="A34" s="1538"/>
      <c r="B34" s="1538"/>
      <c r="C34" s="1538"/>
      <c r="D34" s="1538"/>
      <c r="E34" s="1538"/>
      <c r="F34" s="1538"/>
      <c r="G34" s="1538"/>
      <c r="H34" s="1538"/>
      <c r="I34" s="1538"/>
      <c r="J34" s="1538"/>
      <c r="K34" s="1538"/>
      <c r="L34" s="1539"/>
      <c r="M34" s="1538"/>
      <c r="N34" s="1538"/>
      <c r="O34" s="1538"/>
      <c r="S34" s="493"/>
      <c r="T34" s="493"/>
      <c r="U34" s="1624"/>
      <c r="V34" s="496"/>
      <c r="W34" s="496"/>
      <c r="X34" s="496"/>
      <c r="Y34" s="496"/>
      <c r="Z34" s="496"/>
      <c r="AA34" s="496"/>
      <c r="AB34" s="448" t="s">
        <v>436</v>
      </c>
      <c r="AC34" s="496"/>
      <c r="AD34" s="496"/>
      <c r="AE34" s="496"/>
      <c r="AF34" s="496"/>
      <c r="AG34" s="496"/>
      <c r="AH34" s="496"/>
      <c r="AI34" s="448" t="s">
        <v>436</v>
      </c>
      <c r="AL34" s="538"/>
      <c r="AM34" s="538"/>
      <c r="AN34" s="538"/>
      <c r="AO34" s="538"/>
      <c r="AP34" s="538"/>
      <c r="AQ34" s="588">
        <v>1</v>
      </c>
    </row>
    <row customHeight="1" ht="14.699999999999998">
      <c r="Q35" s="546"/>
      <c r="R35" s="546"/>
      <c r="S35" s="1445"/>
      <c r="T35" s="533"/>
      <c r="U35" s="1414"/>
      <c r="V35" s="2422"/>
      <c r="W35" s="2422"/>
      <c r="X35" s="2422"/>
      <c r="Y35" s="2422"/>
      <c r="Z35" s="2422"/>
      <c r="AA35" s="2422"/>
      <c r="AB35" s="2422"/>
      <c r="AC35" s="2422"/>
      <c r="AD35" s="2422"/>
      <c r="AE35" s="2422"/>
      <c r="AF35" s="2422"/>
      <c r="AG35" s="2422"/>
      <c r="AH35" s="2422"/>
      <c r="AI35" s="2422"/>
      <c r="AQ35" s="1325">
        <v>14</v>
      </c>
    </row>
    <row customHeight="1" ht="14.699999999999998">
      <c r="Q36" s="546"/>
      <c r="R36" s="546"/>
      <c r="S36" s="2297" t="s">
        <v>312</v>
      </c>
      <c r="T36" s="2297"/>
      <c r="U36" s="2297"/>
      <c r="V36" s="2297"/>
      <c r="W36" s="2297"/>
      <c r="X36" s="2297"/>
      <c r="Y36" s="2297"/>
      <c r="Z36" s="2297"/>
      <c r="AA36" s="2297"/>
      <c r="AB36" s="2297"/>
      <c r="AC36" s="2297"/>
      <c r="AD36" s="2297"/>
      <c r="AE36" s="2297"/>
      <c r="AF36" s="2297"/>
      <c r="AG36" s="2297"/>
      <c r="AH36" s="2297"/>
      <c r="AI36" s="2297"/>
      <c r="AJ36" s="2297"/>
      <c r="AK36" s="2297" t="s">
        <v>313</v>
      </c>
      <c r="AQ36" s="1325">
        <v>14</v>
      </c>
    </row>
    <row customHeight="1" ht="14.699999999999998">
      <c r="Q37" s="546"/>
      <c r="R37" s="546"/>
      <c r="S37" s="2443" t="s">
        <v>91</v>
      </c>
      <c r="T37" s="2379" t="s">
        <v>438</v>
      </c>
      <c r="U37" s="471"/>
      <c r="V37" s="2444" t="s">
        <v>439</v>
      </c>
      <c r="W37" s="2445"/>
      <c r="X37" s="2445"/>
      <c r="Y37" s="2445"/>
      <c r="Z37" s="2445"/>
      <c r="AA37" s="2446"/>
      <c r="AB37" s="2447" t="s">
        <v>440</v>
      </c>
      <c r="AC37" s="2444" t="s">
        <v>439</v>
      </c>
      <c r="AD37" s="2445"/>
      <c r="AE37" s="2445"/>
      <c r="AF37" s="2445"/>
      <c r="AG37" s="2445"/>
      <c r="AH37" s="2446"/>
      <c r="AI37" s="2447" t="s">
        <v>441</v>
      </c>
      <c r="AJ37" s="2450" t="s">
        <v>442</v>
      </c>
      <c r="AK37" s="2297"/>
      <c r="AQ37" s="1325">
        <v>14</v>
      </c>
    </row>
    <row customHeight="1" ht="35.699999999999996">
      <c r="Q38" s="546"/>
      <c r="R38" s="546"/>
      <c r="S38" s="2443"/>
      <c r="T38" s="2379"/>
      <c r="U38" s="1201"/>
      <c r="V38" s="1622" t="s">
        <v>504</v>
      </c>
      <c r="W38" s="2432" t="s">
        <v>445</v>
      </c>
      <c r="X38" s="2433"/>
      <c r="Y38" s="2432" t="s">
        <v>446</v>
      </c>
      <c r="Z38" s="2439"/>
      <c r="AA38" s="2433"/>
      <c r="AB38" s="2448"/>
      <c r="AC38" s="1622" t="s">
        <v>504</v>
      </c>
      <c r="AD38" s="2432" t="s">
        <v>445</v>
      </c>
      <c r="AE38" s="2433"/>
      <c r="AF38" s="2432" t="s">
        <v>446</v>
      </c>
      <c r="AG38" s="2439"/>
      <c r="AH38" s="2433"/>
      <c r="AI38" s="2448"/>
      <c r="AJ38" s="2451"/>
      <c r="AK38" s="2297"/>
      <c r="AQ38" s="1325">
        <v>34</v>
      </c>
    </row>
    <row customHeight="1" ht="35.699999999999996">
      <c r="A39" s="1540"/>
      <c r="B39" s="1540" t="s">
        <v>138</v>
      </c>
      <c r="C39" s="1540" t="s">
        <v>139</v>
      </c>
      <c r="D39" s="1540" t="s">
        <v>140</v>
      </c>
      <c r="E39" s="1534" t="s">
        <v>447</v>
      </c>
      <c r="F39" s="1534" t="s">
        <v>448</v>
      </c>
      <c r="G39" s="1534" t="s">
        <v>449</v>
      </c>
      <c r="H39" s="1534"/>
      <c r="I39" s="1534" t="s">
        <v>505</v>
      </c>
      <c r="J39" s="1534" t="s">
        <v>452</v>
      </c>
      <c r="K39" s="1534" t="s">
        <v>506</v>
      </c>
      <c r="L39" s="1534" t="s">
        <v>427</v>
      </c>
      <c r="Q39" s="546"/>
      <c r="R39" s="546"/>
      <c r="S39" s="2443"/>
      <c r="T39" s="2379"/>
      <c r="U39" s="472"/>
      <c r="V39" s="1622" t="s">
        <v>507</v>
      </c>
      <c r="W39" s="1392" t="s">
        <v>508</v>
      </c>
      <c r="X39" s="1392" t="s">
        <v>509</v>
      </c>
      <c r="Y39" s="1625" t="s">
        <v>456</v>
      </c>
      <c r="Z39" s="2440" t="s">
        <v>457</v>
      </c>
      <c r="AA39" s="2441"/>
      <c r="AB39" s="2449"/>
      <c r="AC39" s="1622" t="s">
        <v>507</v>
      </c>
      <c r="AD39" s="1392" t="s">
        <v>508</v>
      </c>
      <c r="AE39" s="1392" t="s">
        <v>509</v>
      </c>
      <c r="AF39" s="1625" t="s">
        <v>456</v>
      </c>
      <c r="AG39" s="2440" t="s">
        <v>457</v>
      </c>
      <c r="AH39" s="2441"/>
      <c r="AI39" s="2449"/>
      <c r="AJ39" s="2452"/>
      <c r="AK39" s="2297"/>
      <c r="AQ39" s="1325">
        <v>34</v>
      </c>
    </row>
    <row s="12668" customFormat="1" customHeight="1" ht="0">
      <c r="A40" s="1540"/>
      <c r="B40" s="1540"/>
      <c r="C40" s="1540"/>
      <c r="D40" s="1540"/>
      <c r="E40" s="1540"/>
      <c r="F40" s="1540"/>
      <c r="G40" s="1540"/>
      <c r="H40" s="1540"/>
      <c r="I40" s="1540"/>
      <c r="J40" s="1540"/>
      <c r="K40" s="1540"/>
      <c r="L40" s="1534"/>
      <c r="M40" s="1532"/>
      <c r="N40" s="1532"/>
      <c r="O40" s="1532"/>
      <c r="P40" s="1416"/>
      <c r="Q40" s="1417"/>
      <c r="R40" s="1424">
        <v>1</v>
      </c>
      <c r="S40" s="1447" t="s">
        <v>112</v>
      </c>
      <c r="T40" s="1425" t="s">
        <v>113</v>
      </c>
      <c r="U40" s="1415" t="str">
        <f>OFFSET(U40,0,-1)</f>
        <v>2</v>
      </c>
      <c r="V40" s="1621">
        <f>OFFSET(V40,0,-1)+1</f>
        <v>3</v>
      </c>
      <c r="W40" s="1621">
        <f>OFFSET(W40,0,-1)+1</f>
        <v>4</v>
      </c>
      <c r="X40" s="1621">
        <f>OFFSET(X40,0,-1)+1</f>
        <v>5</v>
      </c>
      <c r="Y40" s="1621">
        <f>OFFSET(Y40,0,-1)+1</f>
        <v>6</v>
      </c>
      <c r="Z40" s="2442">
        <f>OFFSET(Z40,0,-1)+1</f>
        <v>7</v>
      </c>
      <c r="AA40" s="2442"/>
      <c r="AB40" s="1621">
        <f>OFFSET(AB40,0,-2)+1</f>
        <v>8</v>
      </c>
      <c r="AC40" s="1621">
        <f>OFFSET(AC40,0,-1)+1</f>
        <v>9</v>
      </c>
      <c r="AD40" s="1621">
        <f>OFFSET(AD40,0,-1)+1</f>
        <v>10</v>
      </c>
      <c r="AE40" s="1621">
        <f>OFFSET(AE40,0,-1)+1</f>
        <v>11</v>
      </c>
      <c r="AF40" s="1621">
        <f>OFFSET(AF40,0,-1)+1</f>
        <v>12</v>
      </c>
      <c r="AG40" s="2442">
        <f>OFFSET(AG40,0,-1)+1</f>
        <v>13</v>
      </c>
      <c r="AH40" s="2442"/>
      <c r="AI40" s="1621">
        <f>OFFSET(AI40,0,-2)+1</f>
        <v>14</v>
      </c>
      <c r="AJ40" s="1415">
        <f>OFFSET(AJ40,0,-1)</f>
        <v>14</v>
      </c>
      <c r="AK40" s="1621">
        <f>OFFSET(AK40,0,-1)+1</f>
        <v>15</v>
      </c>
      <c r="AL40" s="681"/>
      <c r="AM40" s="681"/>
      <c r="AN40" s="681"/>
      <c r="AO40" s="681"/>
      <c r="AP40" s="681"/>
      <c r="AQ40" s="666">
        <v>0</v>
      </c>
    </row>
    <row customHeight="1" ht="24">
      <c r="A41" s="1533" t="s">
        <v>248</v>
      </c>
      <c r="B41" s="1533"/>
      <c r="C41" s="1533"/>
      <c r="D41" s="1533"/>
      <c r="E41" s="2428">
        <v>1</v>
      </c>
      <c r="F41" s="1533"/>
      <c r="G41" s="1533"/>
      <c r="H41" s="1533"/>
      <c r="I41" s="1533"/>
      <c r="J41" s="1533"/>
      <c r="K41" s="1533"/>
      <c r="L41" s="1534"/>
      <c r="M41" s="1535"/>
      <c r="N41" s="1535"/>
      <c r="O41" s="1535"/>
      <c r="P41" s="531"/>
      <c r="Q41" s="530"/>
      <c r="R41" s="525"/>
      <c r="S41" s="1627">
        <f>INDEX(PT_DIFFERENTIATION_NUM_NTAR,MATCH(A41,PT_DIFFERENTIATION_NTAR_ID,0))</f>
        <v>0</v>
      </c>
      <c r="T41" s="468" t="s">
        <v>126</v>
      </c>
      <c r="U41" s="470"/>
      <c r="V41" s="2412"/>
      <c r="W41" s="2413"/>
      <c r="X41" s="2413"/>
      <c r="Y41" s="2413"/>
      <c r="Z41" s="2413"/>
      <c r="AA41" s="2413"/>
      <c r="AB41" s="2414"/>
      <c r="AC41" s="2412" t="str">
        <f>INDEX(PT_DIFFERENTIATION_NTAR,MATCH(A41,PT_DIFFERENTIATION_NTAR_ID,0))</f>
        <v/>
      </c>
      <c r="AD41" s="2413"/>
      <c r="AE41" s="2413"/>
      <c r="AF41" s="2413"/>
      <c r="AG41" s="2413"/>
      <c r="AH41" s="2413"/>
      <c r="AI41" s="2413"/>
      <c r="AJ41" s="2414"/>
      <c r="AK41"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70"/>
      <c r="AN41" s="670" t="str">
        <f>IF(T41="","",T41)</f>
        <v>Наименование тарифа</v>
      </c>
      <c r="AO41" s="670"/>
      <c r="AP41" s="670"/>
      <c r="AQ41" s="1325">
        <v>23</v>
      </c>
    </row>
    <row customHeight="1" ht="24">
      <c r="A42" s="1533" t="s">
        <v>248</v>
      </c>
      <c r="B42" s="1533" t="s">
        <v>249</v>
      </c>
      <c r="C42" s="1533"/>
      <c r="D42" s="1533"/>
      <c r="E42" s="2429"/>
      <c r="F42" s="2428">
        <v>1</v>
      </c>
      <c r="G42" s="1533"/>
      <c r="H42" s="1533"/>
      <c r="I42" s="1533"/>
      <c r="J42" s="1533"/>
      <c r="K42" s="1533"/>
      <c r="L42" s="1534"/>
      <c r="M42" s="1535"/>
      <c r="N42" s="1535"/>
      <c r="O42" s="1535"/>
      <c r="P42" s="1623"/>
      <c r="Q42" s="522"/>
      <c r="R42" s="523"/>
      <c r="S42" s="1627" t="str">
        <f>INDEX(PT_DIFFERENTIATION_NUM_TER,MATCH(B42,PT_DIFFERENTIATION_TER_ID,0))</f>
        <v>.</v>
      </c>
      <c r="T42" s="478" t="s">
        <v>409</v>
      </c>
      <c r="U42" s="470"/>
      <c r="V42" s="2412"/>
      <c r="W42" s="2413"/>
      <c r="X42" s="2413"/>
      <c r="Y42" s="2413"/>
      <c r="Z42" s="2413"/>
      <c r="AA42" s="2413"/>
      <c r="AB42" s="2414"/>
      <c r="AC42" s="2412" t="str">
        <f>INDEX(PT_DIFFERENTIATION_TER,MATCH(B42,PT_DIFFERENTIATION_TER_ID,0))</f>
        <v/>
      </c>
      <c r="AD42" s="2413"/>
      <c r="AE42" s="2413"/>
      <c r="AF42" s="2413"/>
      <c r="AG42" s="2413"/>
      <c r="AH42" s="2413"/>
      <c r="AI42" s="2413"/>
      <c r="AJ42" s="2414"/>
      <c r="AK42" s="1428" t="s">
        <v>410</v>
      </c>
      <c r="AM42" s="670"/>
      <c r="AN42" s="670" t="str">
        <f>IF(T42="","",T42)</f>
        <v>Территория действия тарифа</v>
      </c>
      <c r="AO42" s="670"/>
      <c r="AP42" s="670"/>
      <c r="AQ42" s="1325">
        <v>23</v>
      </c>
    </row>
    <row customHeight="1" ht="24">
      <c r="A43" s="1533" t="s">
        <v>248</v>
      </c>
      <c r="B43" s="1533" t="s">
        <v>249</v>
      </c>
      <c r="C43" s="1533" t="s">
        <v>250</v>
      </c>
      <c r="D43" s="1533"/>
      <c r="E43" s="2429"/>
      <c r="F43" s="2429"/>
      <c r="G43" s="2428">
        <v>1</v>
      </c>
      <c r="H43" s="1533"/>
      <c r="I43" s="1533"/>
      <c r="J43" s="1533"/>
      <c r="K43" s="1533"/>
      <c r="L43" s="1534"/>
      <c r="M43" s="1535"/>
      <c r="N43" s="1535"/>
      <c r="O43" s="1535"/>
      <c r="P43" s="524"/>
      <c r="Q43" s="522"/>
      <c r="R43" s="523"/>
      <c r="S43" s="1627" t="str">
        <f>INDEX(PT_DIFFERENTIATION_NUM_CS,MATCH(C43,PT_DIFFERENTIATION_CS_ID,0))</f>
        <v>..</v>
      </c>
      <c r="T43" s="479" t="s">
        <v>496</v>
      </c>
      <c r="U43" s="470"/>
      <c r="V43" s="2412"/>
      <c r="W43" s="2413"/>
      <c r="X43" s="2413"/>
      <c r="Y43" s="2413"/>
      <c r="Z43" s="2413"/>
      <c r="AA43" s="2413"/>
      <c r="AB43" s="2414"/>
      <c r="AC43" s="2412" t="str">
        <f>INDEX(PT_DIFFERENTIATION_CS,MATCH(C43,PT_DIFFERENTIATION_CS_ID,0))</f>
        <v/>
      </c>
      <c r="AD43" s="2413"/>
      <c r="AE43" s="2413"/>
      <c r="AF43" s="2413"/>
      <c r="AG43" s="2413"/>
      <c r="AH43" s="2413"/>
      <c r="AI43" s="2413"/>
      <c r="AJ43" s="2414"/>
      <c r="AK43" s="1428" t="s">
        <v>497</v>
      </c>
      <c r="AM43" s="670"/>
      <c r="AN43" s="670" t="str">
        <f>IF(T43="","",T43)</f>
        <v>Наименование централизованной системы холодного водоснабжения</v>
      </c>
      <c r="AO43" s="670"/>
      <c r="AP43" s="670"/>
      <c r="AQ43" s="1325">
        <v>23</v>
      </c>
    </row>
    <row customHeight="1" ht="24">
      <c r="A44" s="1533" t="s">
        <v>248</v>
      </c>
      <c r="B44" s="1533" t="s">
        <v>249</v>
      </c>
      <c r="C44" s="1533" t="s">
        <v>250</v>
      </c>
      <c r="D44" s="1533" t="s">
        <v>512</v>
      </c>
      <c r="E44" s="2429"/>
      <c r="F44" s="2429"/>
      <c r="G44" s="2429"/>
      <c r="H44" s="2429"/>
      <c r="I44" s="2426" t="str">
        <f>S43&amp;".1"</f>
        <v>...1</v>
      </c>
      <c r="J44" s="1533"/>
      <c r="K44" s="1533"/>
      <c r="L44" s="1534"/>
      <c r="P44" s="2427">
        <v>1</v>
      </c>
      <c r="Q44" s="1620"/>
      <c r="R44" s="526"/>
      <c r="S44" s="1627" t="str">
        <f>$I44</f>
        <v>...1</v>
      </c>
      <c r="T44" s="455" t="s">
        <v>498</v>
      </c>
      <c r="U44" s="470"/>
      <c r="V44" s="2520"/>
      <c r="W44" s="2521"/>
      <c r="X44" s="2521"/>
      <c r="Y44" s="2521"/>
      <c r="Z44" s="2521"/>
      <c r="AA44" s="2521"/>
      <c r="AB44" s="2522"/>
      <c r="AC44" s="2523"/>
      <c r="AD44" s="2524"/>
      <c r="AE44" s="2524"/>
      <c r="AF44" s="2524"/>
      <c r="AG44" s="2524"/>
      <c r="AH44" s="2524"/>
      <c r="AI44" s="2524"/>
      <c r="AJ44" s="2525"/>
      <c r="AK44" s="1428" t="s">
        <v>499</v>
      </c>
      <c r="AM44" s="670"/>
      <c r="AN44" s="670" t="str">
        <f>IF(T44="","",T44)</f>
        <v>Наименование признака дифференциации</v>
      </c>
      <c r="AO44" s="670"/>
      <c r="AP44" s="670"/>
      <c r="AQ44" s="1325">
        <v>23</v>
      </c>
    </row>
    <row customHeight="1" ht="24">
      <c r="A45" s="1533" t="s">
        <v>248</v>
      </c>
      <c r="B45" s="1533" t="s">
        <v>249</v>
      </c>
      <c r="C45" s="1533" t="s">
        <v>250</v>
      </c>
      <c r="D45" s="1533" t="s">
        <v>512</v>
      </c>
      <c r="E45" s="2429"/>
      <c r="F45" s="2429"/>
      <c r="G45" s="2429"/>
      <c r="H45" s="2429"/>
      <c r="I45" s="2456"/>
      <c r="J45" s="2426" t="str">
        <f>I44&amp;".1"</f>
        <v>...1.1</v>
      </c>
      <c r="K45" s="1533"/>
      <c r="L45" s="1534" t="s">
        <v>418</v>
      </c>
      <c r="P45" s="2427"/>
      <c r="Q45" s="2427">
        <v>1</v>
      </c>
      <c r="R45" s="527"/>
      <c r="S45" s="1627" t="str">
        <f>$J45</f>
        <v>...1.1</v>
      </c>
      <c r="T45" s="456" t="s">
        <v>419</v>
      </c>
      <c r="U45" s="470"/>
      <c r="V45" s="2415"/>
      <c r="W45" s="2416"/>
      <c r="X45" s="2416"/>
      <c r="Y45" s="2416"/>
      <c r="Z45" s="2416"/>
      <c r="AA45" s="2416"/>
      <c r="AB45" s="2417"/>
      <c r="AC45" s="2415"/>
      <c r="AD45" s="2416"/>
      <c r="AE45" s="2416"/>
      <c r="AF45" s="2416"/>
      <c r="AG45" s="2416"/>
      <c r="AH45" s="2416"/>
      <c r="AI45" s="2416"/>
      <c r="AJ45" s="2417"/>
      <c r="AK45" s="1477" t="s">
        <v>500</v>
      </c>
      <c r="AM45" s="670"/>
      <c r="AN45" s="670" t="str">
        <f>IF(T45="","",T45)</f>
        <v>Группа потребителей</v>
      </c>
      <c r="AO45" s="670"/>
      <c r="AP45" s="670"/>
      <c r="AQ45" s="1325">
        <v>23</v>
      </c>
    </row>
    <row customHeight="1" ht="24">
      <c r="A46" s="1533" t="s">
        <v>248</v>
      </c>
      <c r="B46" s="1533" t="s">
        <v>249</v>
      </c>
      <c r="C46" s="1533" t="s">
        <v>250</v>
      </c>
      <c r="D46" s="1533" t="s">
        <v>512</v>
      </c>
      <c r="E46" s="2429"/>
      <c r="F46" s="2429"/>
      <c r="G46" s="2429"/>
      <c r="H46" s="2429"/>
      <c r="I46" s="2456"/>
      <c r="J46" s="2456"/>
      <c r="K46" s="2426" t="str">
        <f>J45&amp;".1"</f>
        <v>...1.1.1</v>
      </c>
      <c r="L46" s="1534"/>
      <c r="P46" s="2427"/>
      <c r="Q46" s="2427"/>
      <c r="R46" s="527">
        <v>1</v>
      </c>
      <c r="S46" s="1627" t="str">
        <f>$K46</f>
        <v>...1.1.1</v>
      </c>
      <c r="T46" s="1607"/>
      <c r="U46" s="470"/>
      <c r="V46" s="921"/>
      <c r="W46" s="921"/>
      <c r="X46" s="1427"/>
      <c r="Y46" s="2435"/>
      <c r="Z46" s="2277" t="s">
        <v>64</v>
      </c>
      <c r="AA46" s="2435"/>
      <c r="AB46" s="2277" t="s">
        <v>64</v>
      </c>
      <c r="AC46" s="921"/>
      <c r="AD46" s="921"/>
      <c r="AE46" s="1427"/>
      <c r="AF46" s="2435"/>
      <c r="AG46" s="2277" t="s">
        <v>64</v>
      </c>
      <c r="AH46" s="2457"/>
      <c r="AI46" s="2277" t="s">
        <v>64</v>
      </c>
      <c r="AJ46" s="1608"/>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1">
        <f>STRCHECKDATE(V47:AJ47)</f>
      </c>
      <c r="AM46" s="670"/>
      <c r="AN46" s="670" t="str">
        <f>IF(T46="","",T46)</f>
        <v/>
      </c>
      <c r="AO46" s="670"/>
      <c r="AP46" s="670"/>
      <c r="AQ46" s="1325">
        <v>23</v>
      </c>
    </row>
    <row customHeight="1" ht="0">
      <c r="A47" s="1533" t="s">
        <v>248</v>
      </c>
      <c r="B47" s="1533" t="s">
        <v>249</v>
      </c>
      <c r="C47" s="1533" t="s">
        <v>250</v>
      </c>
      <c r="D47" s="1533" t="s">
        <v>512</v>
      </c>
      <c r="E47" s="2429"/>
      <c r="F47" s="2429"/>
      <c r="G47" s="2429"/>
      <c r="H47" s="2429"/>
      <c r="I47" s="2456"/>
      <c r="J47" s="2456"/>
      <c r="K47" s="2426"/>
      <c r="L47" s="1534"/>
      <c r="P47" s="2427"/>
      <c r="Q47" s="2427"/>
      <c r="R47" s="527"/>
      <c r="S47" s="1626"/>
      <c r="T47" s="470"/>
      <c r="U47" s="470"/>
      <c r="V47" s="495"/>
      <c r="W47" s="495"/>
      <c r="X47" s="498" t="str">
        <f>Y46&amp;"-"&amp;AA46</f>
        <v>-</v>
      </c>
      <c r="Y47" s="2436"/>
      <c r="Z47" s="2277"/>
      <c r="AA47" s="2436"/>
      <c r="AB47" s="2277"/>
      <c r="AC47" s="495"/>
      <c r="AD47" s="495"/>
      <c r="AE47" s="498" t="str">
        <f>AF46&amp;"-"&amp;AH46</f>
        <v>-</v>
      </c>
      <c r="AF47" s="2436"/>
      <c r="AG47" s="2277"/>
      <c r="AH47" s="2458"/>
      <c r="AI47" s="2277"/>
      <c r="AJ47" s="1609"/>
      <c r="AK47" s="2519"/>
      <c r="AM47" s="670"/>
      <c r="AN47" s="670" t="str">
        <f>IF(T47="","",T47)</f>
        <v/>
      </c>
      <c r="AO47" s="670"/>
      <c r="AP47" s="670"/>
      <c r="AQ47" s="1325">
        <v>0</v>
      </c>
    </row>
    <row customHeight="1" ht="21">
      <c r="A48" s="1533" t="s">
        <v>248</v>
      </c>
      <c r="B48" s="1533" t="s">
        <v>249</v>
      </c>
      <c r="C48" s="1533" t="s">
        <v>250</v>
      </c>
      <c r="D48" s="1533" t="s">
        <v>512</v>
      </c>
      <c r="E48" s="2429"/>
      <c r="F48" s="2429"/>
      <c r="G48" s="2429"/>
      <c r="H48" s="2429"/>
      <c r="I48" s="2456"/>
      <c r="J48" s="2426"/>
      <c r="K48" s="1533"/>
      <c r="L48" s="1534"/>
      <c r="P48" s="2427"/>
      <c r="Q48" s="2427"/>
      <c r="R48" s="526"/>
      <c r="S48" s="1448"/>
      <c r="T48" s="457" t="s">
        <v>501</v>
      </c>
      <c r="U48" s="537"/>
      <c r="V48" s="537"/>
      <c r="W48" s="537"/>
      <c r="X48" s="537"/>
      <c r="Y48" s="537"/>
      <c r="Z48" s="537"/>
      <c r="AA48" s="537"/>
      <c r="AB48" s="537"/>
      <c r="AC48" s="537"/>
      <c r="AD48" s="537"/>
      <c r="AE48" s="537"/>
      <c r="AF48" s="537"/>
      <c r="AG48" s="537"/>
      <c r="AH48" s="537"/>
      <c r="AI48" s="537"/>
      <c r="AJ48" s="537"/>
      <c r="AK48" s="1428" t="s">
        <v>502</v>
      </c>
      <c r="AM48" s="670"/>
      <c r="AN48" s="670" t="str">
        <f>IF(T48="","",T48)</f>
        <v>Добавить значение признака дифференциации</v>
      </c>
      <c r="AO48" s="670"/>
      <c r="AP48" s="670"/>
      <c r="AQ48" s="1325">
        <v>20</v>
      </c>
    </row>
    <row customHeight="1" ht="22.049999999999997">
      <c r="A49" s="1533" t="s">
        <v>248</v>
      </c>
      <c r="B49" s="1533" t="s">
        <v>249</v>
      </c>
      <c r="C49" s="1533" t="s">
        <v>250</v>
      </c>
      <c r="D49" s="1533" t="s">
        <v>512</v>
      </c>
      <c r="E49" s="2429"/>
      <c r="F49" s="2429"/>
      <c r="G49" s="2429"/>
      <c r="H49" s="2429"/>
      <c r="I49" s="2426"/>
      <c r="J49" s="1533"/>
      <c r="K49" s="1533"/>
      <c r="L49" s="1534"/>
      <c r="P49" s="2427"/>
      <c r="Q49" s="1620"/>
      <c r="R49" s="526"/>
      <c r="S49" s="1448"/>
      <c r="T49" s="535" t="s">
        <v>424</v>
      </c>
      <c r="U49" s="537"/>
      <c r="V49" s="537"/>
      <c r="W49" s="537"/>
      <c r="X49" s="537"/>
      <c r="Y49" s="537"/>
      <c r="Z49" s="537"/>
      <c r="AA49" s="537"/>
      <c r="AB49" s="536"/>
      <c r="AC49" s="537"/>
      <c r="AD49" s="537"/>
      <c r="AE49" s="537"/>
      <c r="AF49" s="537"/>
      <c r="AG49" s="537"/>
      <c r="AH49" s="537"/>
      <c r="AI49" s="536"/>
      <c r="AJ49" s="537"/>
      <c r="AK49" s="1610"/>
      <c r="AM49" s="670"/>
      <c r="AN49" s="670" t="str">
        <f>IF(T49="","",T49)</f>
        <v>Добавить группу потребителей</v>
      </c>
      <c r="AO49" s="670"/>
      <c r="AP49" s="670"/>
      <c r="AQ49" s="1325">
        <v>21</v>
      </c>
    </row>
    <row customHeight="1" ht="22.049999999999997">
      <c r="A50" s="1533" t="s">
        <v>248</v>
      </c>
      <c r="B50" s="1533" t="s">
        <v>249</v>
      </c>
      <c r="C50" s="1533" t="s">
        <v>250</v>
      </c>
      <c r="D50" s="1533" t="s">
        <v>512</v>
      </c>
      <c r="E50" s="2429"/>
      <c r="F50" s="2429"/>
      <c r="G50" s="2429"/>
      <c r="H50" s="2428"/>
      <c r="I50" s="1533"/>
      <c r="J50" s="1533"/>
      <c r="K50" s="1533"/>
      <c r="L50" s="1534"/>
      <c r="M50" s="1535"/>
      <c r="N50" s="1535"/>
      <c r="O50" s="707"/>
      <c r="P50" s="530"/>
      <c r="Q50" s="545"/>
      <c r="R50" s="525"/>
      <c r="S50" s="1448"/>
      <c r="T50" s="542" t="s">
        <v>503</v>
      </c>
      <c r="U50" s="537"/>
      <c r="V50" s="537"/>
      <c r="W50" s="537"/>
      <c r="X50" s="537"/>
      <c r="Y50" s="537"/>
      <c r="Z50" s="537"/>
      <c r="AA50" s="537"/>
      <c r="AB50" s="536"/>
      <c r="AC50" s="537"/>
      <c r="AD50" s="537"/>
      <c r="AE50" s="537"/>
      <c r="AF50" s="537"/>
      <c r="AG50" s="537"/>
      <c r="AH50" s="537"/>
      <c r="AI50" s="536"/>
      <c r="AJ50" s="537"/>
      <c r="AK50" s="473"/>
      <c r="AM50" s="670"/>
      <c r="AN50" s="670" t="str">
        <f>IF(T50="","",T50)</f>
        <v>Добавить наименование признака дифференциации</v>
      </c>
      <c r="AO50" s="670"/>
      <c r="AP50" s="670"/>
      <c r="AQ50" s="1325">
        <v>21</v>
      </c>
    </row>
    <row s="11993" customFormat="1" customHeight="1" ht="0">
      <c r="A51" s="1513" t="s">
        <v>248</v>
      </c>
      <c r="B51" s="1513" t="s">
        <v>249</v>
      </c>
      <c r="C51" s="1484"/>
      <c r="D51" s="1484"/>
      <c r="E51" s="2429"/>
      <c r="F51" s="2428"/>
      <c r="G51" s="1484"/>
      <c r="H51" s="1484"/>
      <c r="I51" s="1484"/>
      <c r="J51" s="1484"/>
      <c r="K51" s="1484"/>
      <c r="L51" s="1628"/>
      <c r="M51" s="1491"/>
      <c r="N51" s="1491"/>
      <c r="P51" s="1486"/>
      <c r="Q51" s="1487"/>
      <c r="R51" s="1486"/>
      <c r="S51" s="1492"/>
      <c r="T51" s="1495" t="s">
        <v>166</v>
      </c>
      <c r="U51" s="1494"/>
      <c r="V51" s="1494"/>
      <c r="W51" s="1494"/>
      <c r="X51" s="1494"/>
      <c r="Y51" s="1494"/>
      <c r="Z51" s="1494"/>
      <c r="AA51" s="1494"/>
      <c r="AB51" s="1494"/>
      <c r="AC51" s="1494"/>
      <c r="AD51" s="1494"/>
      <c r="AE51" s="1494"/>
      <c r="AF51" s="1494"/>
      <c r="AG51" s="1494"/>
      <c r="AH51" s="1494"/>
      <c r="AI51" s="1494"/>
      <c r="AJ51" s="1494"/>
      <c r="AK51" s="1494"/>
      <c r="AM51" s="959"/>
      <c r="AN51" s="959" t="str">
        <f>IF(T51="","",T51)</f>
        <v>Добавить централизованную систему для дифференциации</v>
      </c>
      <c r="AO51" s="959"/>
      <c r="AP51" s="959"/>
      <c r="AQ51" s="688">
        <v>0</v>
      </c>
    </row>
    <row s="11993" customFormat="1" customHeight="1" ht="0">
      <c r="A52" s="1513" t="s">
        <v>248</v>
      </c>
      <c r="B52" s="1513"/>
      <c r="C52" s="1513"/>
      <c r="D52" s="1513"/>
      <c r="E52" s="2428"/>
      <c r="F52" s="1513"/>
      <c r="G52" s="1513"/>
      <c r="H52" s="1513"/>
      <c r="I52" s="1513"/>
      <c r="J52" s="1513"/>
      <c r="K52" s="1513"/>
      <c r="L52" s="1516"/>
      <c r="M52" s="1491"/>
      <c r="N52" s="1491"/>
      <c r="O52" s="688"/>
      <c r="P52" s="550"/>
      <c r="Q52" s="1514"/>
      <c r="R52" s="550"/>
      <c r="S52" s="1492"/>
      <c r="T52" s="1495" t="s">
        <v>167</v>
      </c>
      <c r="U52" s="1494"/>
      <c r="V52" s="1494"/>
      <c r="W52" s="1494"/>
      <c r="X52" s="1494"/>
      <c r="Y52" s="1494"/>
      <c r="Z52" s="1494"/>
      <c r="AA52" s="1494"/>
      <c r="AB52" s="1494"/>
      <c r="AC52" s="1494"/>
      <c r="AD52" s="1494"/>
      <c r="AE52" s="1494"/>
      <c r="AF52" s="1494"/>
      <c r="AG52" s="1494"/>
      <c r="AH52" s="1494"/>
      <c r="AI52" s="1494"/>
      <c r="AJ52" s="1494"/>
      <c r="AK52" s="1494"/>
      <c r="AM52" s="670"/>
      <c r="AN52" s="670" t="str">
        <f>IF(T52="","",T52)</f>
        <v>Добавить территорию для дифференциации</v>
      </c>
      <c r="AO52" s="670"/>
      <c r="AP52" s="670"/>
      <c r="AQ52" s="681">
        <v>0</v>
      </c>
    </row>
    <row s="11993" customFormat="1" customHeight="1" ht="0">
      <c r="A53" s="1484"/>
      <c r="B53" s="1484"/>
      <c r="C53" s="1484"/>
      <c r="D53" s="1484"/>
      <c r="E53" s="1513"/>
      <c r="F53" s="1484"/>
      <c r="G53" s="1484"/>
      <c r="H53" s="1484"/>
      <c r="I53" s="1484"/>
      <c r="J53" s="1484"/>
      <c r="K53" s="1484"/>
      <c r="L53" s="1628"/>
      <c r="M53" s="1491"/>
      <c r="N53" s="1491"/>
      <c r="P53" s="1486"/>
      <c r="Q53" s="1487"/>
      <c r="R53" s="1486"/>
      <c r="S53" s="1492"/>
      <c r="T53" s="1495" t="s">
        <v>168</v>
      </c>
      <c r="U53" s="1494"/>
      <c r="V53" s="1494"/>
      <c r="W53" s="1494"/>
      <c r="X53" s="1494"/>
      <c r="Y53" s="1494"/>
      <c r="Z53" s="1494"/>
      <c r="AA53" s="1494"/>
      <c r="AB53" s="1494"/>
      <c r="AC53" s="1494"/>
      <c r="AD53" s="1494"/>
      <c r="AE53" s="1494"/>
      <c r="AF53" s="1494"/>
      <c r="AG53" s="1494"/>
      <c r="AH53" s="1494"/>
      <c r="AI53" s="1494"/>
      <c r="AJ53" s="1494"/>
      <c r="AK53" s="1494"/>
      <c r="AM53" s="959"/>
      <c r="AN53" s="959" t="str">
        <f>IF(T53="","",T53)</f>
        <v>Добавить наименование тарифа</v>
      </c>
      <c r="AO53" s="959"/>
      <c r="AP53" s="959"/>
      <c r="AQ53" s="688">
        <v>0</v>
      </c>
    </row>
    <row customHeight="1" ht="11.549999999999999">
      <c r="M54" s="1330"/>
      <c r="N54" s="1330"/>
      <c r="O54" s="707"/>
      <c r="P54" s="1325"/>
      <c r="Q54" s="1325"/>
      <c r="R54" s="1325"/>
      <c r="S54" s="1325"/>
      <c r="AL54" s="1325"/>
      <c r="AM54" s="1325"/>
      <c r="AN54" s="1325"/>
      <c r="AO54" s="1325"/>
      <c r="AP54" s="1325"/>
      <c r="AQ54" s="1325">
        <v>11</v>
      </c>
    </row>
    <row customHeight="1" ht="14.699999999999998">
      <c r="O55" s="707"/>
      <c r="S55" s="1423"/>
      <c r="T55" s="2455"/>
      <c r="U55" s="2455"/>
      <c r="V55" s="2455"/>
      <c r="W55" s="2455"/>
      <c r="X55" s="2455"/>
      <c r="Y55" s="2455"/>
      <c r="Z55" s="2455"/>
      <c r="AA55" s="2455"/>
      <c r="AB55" s="2455"/>
      <c r="AC55" s="2455"/>
      <c r="AD55" s="2455"/>
      <c r="AE55" s="2455"/>
      <c r="AF55" s="2455"/>
      <c r="AG55" s="2455"/>
      <c r="AH55" s="2455"/>
      <c r="AI55" s="2455"/>
      <c r="AJ55" s="2455"/>
      <c r="AK55" s="2455"/>
      <c r="AQ55" s="1325">
        <v>14</v>
      </c>
    </row>
    <row customHeight="1" ht="14.699999999999998">
      <c r="O56" s="707"/>
      <c r="AQ56" s="1325">
        <v>14</v>
      </c>
    </row>
    <row customHeight="1" ht="14.699999999999998">
      <c r="O57" s="707"/>
      <c r="S57" s="1423"/>
      <c r="T57" s="2455"/>
      <c r="U57" s="2455"/>
      <c r="V57" s="2455"/>
      <c r="W57" s="2455"/>
      <c r="X57" s="2455"/>
      <c r="Y57" s="2455"/>
      <c r="Z57" s="2455"/>
      <c r="AA57" s="2455"/>
      <c r="AB57" s="2455"/>
      <c r="AC57" s="2455"/>
      <c r="AD57" s="2455"/>
      <c r="AE57" s="2455"/>
      <c r="AF57" s="2455"/>
      <c r="AG57" s="2455"/>
      <c r="AH57" s="2455"/>
      <c r="AI57" s="2455"/>
      <c r="AJ57" s="2455"/>
      <c r="AK57" s="2455"/>
      <c r="AQ57" s="1325">
        <v>14</v>
      </c>
    </row>
    <row customHeight="1" ht="22.5" hidden="1">
      <c r="A58" s="1330" t="s">
        <v>85</v>
      </c>
      <c r="B58" s="1330">
        <v>0</v>
      </c>
      <c r="C58" s="1330">
        <v>0</v>
      </c>
      <c r="D58" s="1330">
        <v>0</v>
      </c>
      <c r="E58" s="1330">
        <v>0</v>
      </c>
      <c r="F58" s="1330">
        <v>0</v>
      </c>
      <c r="G58" s="1330">
        <v>0</v>
      </c>
      <c r="H58" s="1330">
        <v>0</v>
      </c>
      <c r="I58" s="1330">
        <v>0</v>
      </c>
      <c r="J58" s="1330">
        <v>0</v>
      </c>
      <c r="K58" s="1330">
        <v>0</v>
      </c>
      <c r="L58" s="1617">
        <v>0</v>
      </c>
      <c r="M58" s="1532">
        <v>0</v>
      </c>
      <c r="N58" s="1532">
        <v>0</v>
      </c>
      <c r="O58" s="1532">
        <v>0</v>
      </c>
      <c r="P58" s="1616">
        <v>3</v>
      </c>
      <c r="Q58" s="514">
        <v>3</v>
      </c>
      <c r="R58" s="514">
        <v>3</v>
      </c>
      <c r="S58" s="751">
        <v>12</v>
      </c>
      <c r="T58" s="1325">
        <v>35</v>
      </c>
      <c r="U58" s="1325">
        <v>0</v>
      </c>
      <c r="V58" s="1325">
        <v>0</v>
      </c>
      <c r="W58" s="1325">
        <v>0</v>
      </c>
      <c r="X58" s="1325">
        <v>0</v>
      </c>
      <c r="Y58" s="1325">
        <v>0</v>
      </c>
      <c r="Z58" s="1325">
        <v>0</v>
      </c>
      <c r="AA58" s="1325">
        <v>0</v>
      </c>
      <c r="AB58" s="1325">
        <v>0</v>
      </c>
      <c r="AC58" s="1325">
        <v>24</v>
      </c>
      <c r="AD58" s="1325">
        <v>24</v>
      </c>
      <c r="AE58" s="1325">
        <v>24</v>
      </c>
      <c r="AF58" s="1325">
        <v>11</v>
      </c>
      <c r="AG58" s="1325">
        <v>3</v>
      </c>
      <c r="AH58" s="1325">
        <v>11</v>
      </c>
      <c r="AI58" s="1325">
        <v>0</v>
      </c>
      <c r="AJ58" s="1325">
        <v>4</v>
      </c>
      <c r="AK58" s="1325">
        <v>115</v>
      </c>
      <c r="AL58" s="681">
        <v>10</v>
      </c>
      <c r="AM58" s="681">
        <v>10</v>
      </c>
      <c r="AN58" s="681">
        <v>10</v>
      </c>
      <c r="AO58" s="681">
        <v>10</v>
      </c>
      <c r="AP58" s="681">
        <v>10</v>
      </c>
      <c r="AQ58" s="132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5BC73C-B657-5039-47C7-F58B28D666A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992" width="10.57421875" hidden="1"/>
    <col min="2" max="2" style="11992" width="11.00390625" hidden="1" customWidth="1"/>
    <col min="3" max="3" style="11992" width="10.57421875" hidden="1"/>
    <col min="4" max="4" style="11992" width="11.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4.140625" hidden="1" customWidth="1"/>
    <col min="10" max="10" style="11992" width="9.8515625" hidden="1" customWidth="1"/>
    <col min="11" max="11" style="11992" width="14.7109375" hidden="1" customWidth="1"/>
    <col min="12" max="12" style="13388" width="19.140625" hidden="1" customWidth="1"/>
    <col min="13" max="14" style="13389" width="12.28125" hidden="1" customWidth="1"/>
    <col min="15" max="15" style="13389" width="23.421875" hidden="1" customWidth="1"/>
    <col min="16" max="16" style="13390" width="3.00390625" customWidth="1"/>
    <col min="17" max="18" style="13391" width="3.00390625" customWidth="1"/>
    <col min="19" max="19" style="13392" width="12.00390625" customWidth="1"/>
    <col min="20" max="20" style="11913" width="35.00390625" customWidth="1"/>
    <col min="21" max="21" style="11913" width="0.140625" customWidth="1"/>
    <col min="22" max="24" style="11913" width="24.7109375" hidden="1" customWidth="1"/>
    <col min="25" max="25" style="11913" width="11.7109375" hidden="1" customWidth="1"/>
    <col min="26" max="26" style="11913" width="3.7109375" hidden="1" customWidth="1"/>
    <col min="27" max="27" style="11913" width="11.7109375" hidden="1" customWidth="1"/>
    <col min="28" max="28" style="11913" width="8.57421875" hidden="1" customWidth="1"/>
    <col min="29" max="29" style="11913" width="24.7109375" customWidth="1"/>
    <col min="30" max="31" style="11913" width="24.00390625" customWidth="1"/>
    <col min="32" max="32" style="11913" width="11.00390625" customWidth="1"/>
    <col min="33" max="33" style="11913" width="3.7109375" customWidth="1"/>
    <col min="34" max="34" style="11913" width="11.00390625" customWidth="1"/>
    <col min="35" max="35" style="11913" width="8.57421875" hidden="1" customWidth="1"/>
    <col min="36" max="36" style="11913" width="4.00390625" customWidth="1"/>
    <col min="37" max="37" style="11913" width="115.00390625" customWidth="1"/>
    <col min="38" max="42" style="11993" width="10.00390625" customWidth="1"/>
    <col min="43" max="43" style="11913" width="10.57421875" hidden="1"/>
  </cols>
  <sheetData>
    <row customHeight="1" ht="22.5" hidden="1">
      <c r="X1" s="497"/>
      <c r="Y1" s="497"/>
      <c r="AE1" s="497"/>
      <c r="AF1" s="497"/>
      <c r="AQ1" s="1325" t="s">
        <v>14</v>
      </c>
    </row>
    <row customHeight="1" ht="23.25" hidden="1">
      <c r="A2" s="1533"/>
      <c r="B2" s="1533"/>
      <c r="C2" s="1533"/>
      <c r="D2" s="1533"/>
      <c r="E2" s="2428">
        <v>1</v>
      </c>
      <c r="F2" s="1533"/>
      <c r="G2" s="1533"/>
      <c r="H2" s="1533"/>
      <c r="I2" s="1533"/>
      <c r="J2" s="1533"/>
      <c r="K2" s="1533"/>
      <c r="L2" s="1534"/>
      <c r="M2" s="1535"/>
      <c r="N2" s="1535"/>
      <c r="O2" s="1535"/>
      <c r="P2" s="531"/>
      <c r="Q2" s="530"/>
      <c r="R2" s="525"/>
      <c r="S2" s="1627">
        <f>INDEX(PT_DIFFERENTIATION_NUM_NTAR,MATCH(A2,PT_DIFFERENTIATION_NTAR_ID,0))</f>
      </c>
      <c r="T2" s="468" t="s">
        <v>126</v>
      </c>
      <c r="U2" s="470"/>
      <c r="V2" s="2412"/>
      <c r="W2" s="2413"/>
      <c r="X2" s="2413"/>
      <c r="Y2" s="2413"/>
      <c r="Z2" s="2413"/>
      <c r="AA2" s="2413"/>
      <c r="AB2" s="2414"/>
      <c r="AC2" s="2412">
        <f>INDEX(PT_DIFFERENTIATION_NTAR,MATCH(A2,PT_DIFFERENTIATION_NTAR_ID,0))</f>
      </c>
      <c r="AD2" s="2413"/>
      <c r="AE2" s="2413"/>
      <c r="AF2" s="2413"/>
      <c r="AG2" s="2413"/>
      <c r="AH2" s="2413"/>
      <c r="AI2" s="2413"/>
      <c r="AJ2" s="2414"/>
      <c r="AK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70"/>
      <c r="AN2" s="670" t="str">
        <f>IF(T2="","",T2)</f>
        <v>Наименование тарифа</v>
      </c>
      <c r="AO2" s="670"/>
      <c r="AP2" s="670"/>
      <c r="AQ2" s="1325">
        <v>0</v>
      </c>
    </row>
    <row customHeight="1" ht="23.25" hidden="1">
      <c r="A3" s="1533"/>
      <c r="B3" s="1533"/>
      <c r="C3" s="1533"/>
      <c r="D3" s="1533"/>
      <c r="E3" s="2429"/>
      <c r="F3" s="2428">
        <v>1</v>
      </c>
      <c r="G3" s="1533"/>
      <c r="H3" s="1533"/>
      <c r="I3" s="1533"/>
      <c r="J3" s="1533"/>
      <c r="K3" s="1533"/>
      <c r="L3" s="1534"/>
      <c r="M3" s="1535"/>
      <c r="N3" s="1535"/>
      <c r="O3" s="1535"/>
      <c r="P3" s="1623"/>
      <c r="Q3" s="522"/>
      <c r="R3" s="523"/>
      <c r="S3" s="1627">
        <f>INDEX(PT_DIFFERENTIATION_NUM_TER,MATCH(B3,PT_DIFFERENTIATION_TER_ID,0))</f>
      </c>
      <c r="T3" s="478" t="s">
        <v>409</v>
      </c>
      <c r="U3" s="470"/>
      <c r="V3" s="2412"/>
      <c r="W3" s="2413"/>
      <c r="X3" s="2413"/>
      <c r="Y3" s="2413"/>
      <c r="Z3" s="2413"/>
      <c r="AA3" s="2413"/>
      <c r="AB3" s="2414"/>
      <c r="AC3" s="2412">
        <f>INDEX(PT_DIFFERENTIATION_TER,MATCH(B3,PT_DIFFERENTIATION_TER_ID,0))</f>
      </c>
      <c r="AD3" s="2413"/>
      <c r="AE3" s="2413"/>
      <c r="AF3" s="2413"/>
      <c r="AG3" s="2413"/>
      <c r="AH3" s="2413"/>
      <c r="AI3" s="2413"/>
      <c r="AJ3" s="2414"/>
      <c r="AK3" s="1428" t="s">
        <v>410</v>
      </c>
      <c r="AM3" s="670"/>
      <c r="AN3" s="670" t="str">
        <f>IF(T3="","",T3)</f>
        <v>Территория действия тарифа</v>
      </c>
      <c r="AO3" s="670"/>
      <c r="AP3" s="670"/>
      <c r="AQ3" s="1325">
        <v>0</v>
      </c>
    </row>
    <row customHeight="1" ht="23.25" hidden="1">
      <c r="A4" s="1533"/>
      <c r="B4" s="1533"/>
      <c r="C4" s="1533"/>
      <c r="D4" s="1533"/>
      <c r="E4" s="2429"/>
      <c r="F4" s="2429"/>
      <c r="G4" s="2428">
        <v>1</v>
      </c>
      <c r="H4" s="1533"/>
      <c r="I4" s="1533"/>
      <c r="J4" s="1533"/>
      <c r="K4" s="1533"/>
      <c r="L4" s="1534"/>
      <c r="M4" s="1535"/>
      <c r="N4" s="1535"/>
      <c r="O4" s="1535"/>
      <c r="P4" s="524"/>
      <c r="Q4" s="522"/>
      <c r="R4" s="523"/>
      <c r="S4" s="1627">
        <f>INDEX(PT_DIFFERENTIATION_NUM_CS,MATCH(C4,PT_DIFFERENTIATION_CS_ID,0))</f>
      </c>
      <c r="T4" s="479" t="s">
        <v>496</v>
      </c>
      <c r="U4" s="470"/>
      <c r="V4" s="2412"/>
      <c r="W4" s="2413"/>
      <c r="X4" s="2413"/>
      <c r="Y4" s="2413"/>
      <c r="Z4" s="2413"/>
      <c r="AA4" s="2413"/>
      <c r="AB4" s="2414"/>
      <c r="AC4" s="2412">
        <f>INDEX(PT_DIFFERENTIATION_CS,MATCH(C4,PT_DIFFERENTIATION_CS_ID,0))</f>
      </c>
      <c r="AD4" s="2413"/>
      <c r="AE4" s="2413"/>
      <c r="AF4" s="2413"/>
      <c r="AG4" s="2413"/>
      <c r="AH4" s="2413"/>
      <c r="AI4" s="2413"/>
      <c r="AJ4" s="2414"/>
      <c r="AK4" s="1428" t="s">
        <v>497</v>
      </c>
      <c r="AM4" s="670"/>
      <c r="AN4" s="670" t="str">
        <f>IF(T4="","",T4)</f>
        <v>Наименование централизованной системы холодного водоснабжения</v>
      </c>
      <c r="AO4" s="670"/>
      <c r="AP4" s="670"/>
      <c r="AQ4" s="1325">
        <v>0</v>
      </c>
    </row>
    <row customHeight="1" ht="23.25" hidden="1">
      <c r="A5" s="1533"/>
      <c r="B5" s="1533"/>
      <c r="C5" s="1533"/>
      <c r="D5" s="1533"/>
      <c r="E5" s="2429"/>
      <c r="F5" s="2429"/>
      <c r="G5" s="2429"/>
      <c r="H5" s="2429"/>
      <c r="I5" s="2426">
        <f>S4&amp;".1"</f>
      </c>
      <c r="J5" s="1533"/>
      <c r="K5" s="1533"/>
      <c r="L5" s="1534"/>
      <c r="P5" s="2427">
        <v>1</v>
      </c>
      <c r="Q5" s="1620"/>
      <c r="R5" s="526"/>
      <c r="S5" s="1627">
        <f>$I5</f>
      </c>
      <c r="T5" s="455" t="s">
        <v>498</v>
      </c>
      <c r="U5" s="470"/>
      <c r="V5" s="2520"/>
      <c r="W5" s="2521"/>
      <c r="X5" s="2521"/>
      <c r="Y5" s="2521"/>
      <c r="Z5" s="2521"/>
      <c r="AA5" s="2521"/>
      <c r="AB5" s="2522"/>
      <c r="AC5" s="2523"/>
      <c r="AD5" s="2524"/>
      <c r="AE5" s="2524"/>
      <c r="AF5" s="2524"/>
      <c r="AG5" s="2524"/>
      <c r="AH5" s="2524"/>
      <c r="AI5" s="2524"/>
      <c r="AJ5" s="2525"/>
      <c r="AK5" s="1428" t="s">
        <v>499</v>
      </c>
      <c r="AM5" s="670"/>
      <c r="AN5" s="670" t="str">
        <f>IF(T5="","",T5)</f>
        <v>Наименование признака дифференциации</v>
      </c>
      <c r="AO5" s="670"/>
      <c r="AP5" s="670"/>
      <c r="AQ5" s="1325">
        <v>0</v>
      </c>
    </row>
    <row customHeight="1" ht="23.25" hidden="1">
      <c r="A6" s="1533"/>
      <c r="B6" s="1533"/>
      <c r="C6" s="1533"/>
      <c r="D6" s="1533"/>
      <c r="E6" s="2429"/>
      <c r="F6" s="2429"/>
      <c r="G6" s="2429"/>
      <c r="H6" s="2429"/>
      <c r="I6" s="2456"/>
      <c r="J6" s="2426">
        <f>I5&amp;".1"</f>
      </c>
      <c r="K6" s="1533"/>
      <c r="L6" s="1534" t="s">
        <v>418</v>
      </c>
      <c r="P6" s="2427"/>
      <c r="Q6" s="2427">
        <v>1</v>
      </c>
      <c r="R6" s="527"/>
      <c r="S6" s="1627">
        <f>$J6</f>
      </c>
      <c r="T6" s="456" t="s">
        <v>419</v>
      </c>
      <c r="U6" s="470"/>
      <c r="V6" s="2415"/>
      <c r="W6" s="2416"/>
      <c r="X6" s="2416"/>
      <c r="Y6" s="2416"/>
      <c r="Z6" s="2416"/>
      <c r="AA6" s="2416"/>
      <c r="AB6" s="2417"/>
      <c r="AC6" s="2415"/>
      <c r="AD6" s="2416"/>
      <c r="AE6" s="2416"/>
      <c r="AF6" s="2416"/>
      <c r="AG6" s="2416"/>
      <c r="AH6" s="2416"/>
      <c r="AI6" s="2416"/>
      <c r="AJ6" s="2417"/>
      <c r="AK6" s="1477" t="s">
        <v>500</v>
      </c>
      <c r="AM6" s="670"/>
      <c r="AN6" s="670" t="str">
        <f>IF(T6="","",T6)</f>
        <v>Группа потребителей</v>
      </c>
      <c r="AO6" s="670"/>
      <c r="AP6" s="670"/>
      <c r="AQ6" s="1325">
        <v>0</v>
      </c>
    </row>
    <row customHeight="1" ht="23.25" hidden="1">
      <c r="A7" s="1533"/>
      <c r="B7" s="1533"/>
      <c r="C7" s="1533"/>
      <c r="D7" s="1533"/>
      <c r="E7" s="2429"/>
      <c r="F7" s="2429"/>
      <c r="G7" s="2429"/>
      <c r="H7" s="2429"/>
      <c r="I7" s="2456"/>
      <c r="J7" s="2456"/>
      <c r="K7" s="2426">
        <f>J6&amp;".1"</f>
      </c>
      <c r="L7" s="1534"/>
      <c r="P7" s="2427"/>
      <c r="Q7" s="2427"/>
      <c r="R7" s="527">
        <v>1</v>
      </c>
      <c r="S7" s="1627">
        <f>$K7</f>
      </c>
      <c r="T7" s="1607"/>
      <c r="U7" s="470"/>
      <c r="V7" s="921"/>
      <c r="W7" s="921"/>
      <c r="X7" s="1427"/>
      <c r="Y7" s="2435"/>
      <c r="Z7" s="2277" t="s">
        <v>64</v>
      </c>
      <c r="AA7" s="2435"/>
      <c r="AB7" s="2277" t="s">
        <v>64</v>
      </c>
      <c r="AC7" s="921"/>
      <c r="AD7" s="921"/>
      <c r="AE7" s="1427"/>
      <c r="AF7" s="2435"/>
      <c r="AG7" s="2277" t="s">
        <v>64</v>
      </c>
      <c r="AH7" s="2457"/>
      <c r="AI7" s="2277" t="s">
        <v>64</v>
      </c>
      <c r="AJ7" s="1608"/>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1">
        <f>STRCHECKDATE(V8:AJ8)</f>
      </c>
      <c r="AM7" s="670"/>
      <c r="AN7" s="670" t="str">
        <f>IF(T7="","",T7)</f>
        <v/>
      </c>
      <c r="AO7" s="670"/>
      <c r="AP7" s="670"/>
      <c r="AQ7" s="1325">
        <v>0</v>
      </c>
    </row>
    <row customHeight="1" ht="14.25" hidden="1">
      <c r="A8" s="1533"/>
      <c r="B8" s="1533"/>
      <c r="C8" s="1533"/>
      <c r="D8" s="1533"/>
      <c r="E8" s="2429"/>
      <c r="F8" s="2429"/>
      <c r="G8" s="2429"/>
      <c r="H8" s="2429"/>
      <c r="I8" s="2456"/>
      <c r="J8" s="2456"/>
      <c r="K8" s="2426"/>
      <c r="L8" s="1534"/>
      <c r="P8" s="2427"/>
      <c r="Q8" s="2427"/>
      <c r="R8" s="527"/>
      <c r="S8" s="1626"/>
      <c r="T8" s="470"/>
      <c r="U8" s="470"/>
      <c r="V8" s="495"/>
      <c r="W8" s="495"/>
      <c r="X8" s="498" t="str">
        <f>Y7&amp;"-"&amp;AA7</f>
        <v>-</v>
      </c>
      <c r="Y8" s="2436"/>
      <c r="Z8" s="2277"/>
      <c r="AA8" s="2436"/>
      <c r="AB8" s="2277"/>
      <c r="AC8" s="495"/>
      <c r="AD8" s="495"/>
      <c r="AE8" s="498" t="str">
        <f>AF7&amp;"-"&amp;AH7</f>
        <v>-</v>
      </c>
      <c r="AF8" s="2436"/>
      <c r="AG8" s="2277"/>
      <c r="AH8" s="2458"/>
      <c r="AI8" s="2277"/>
      <c r="AJ8" s="1609"/>
      <c r="AK8" s="2519"/>
      <c r="AM8" s="670"/>
      <c r="AN8" s="670" t="str">
        <f>IF(T8="","",T8)</f>
        <v/>
      </c>
      <c r="AO8" s="670"/>
      <c r="AP8" s="670"/>
      <c r="AQ8" s="1325">
        <v>0</v>
      </c>
    </row>
    <row customHeight="1" ht="21" hidden="1">
      <c r="A9" s="1533"/>
      <c r="B9" s="1533"/>
      <c r="C9" s="1533"/>
      <c r="D9" s="1533"/>
      <c r="E9" s="2429"/>
      <c r="F9" s="2429"/>
      <c r="G9" s="2429"/>
      <c r="H9" s="2429"/>
      <c r="I9" s="2456"/>
      <c r="J9" s="2426"/>
      <c r="K9" s="1533"/>
      <c r="L9" s="1534"/>
      <c r="P9" s="2427"/>
      <c r="Q9" s="2427"/>
      <c r="R9" s="526"/>
      <c r="S9" s="1448"/>
      <c r="T9" s="457" t="s">
        <v>501</v>
      </c>
      <c r="U9" s="537"/>
      <c r="V9" s="537"/>
      <c r="W9" s="537"/>
      <c r="X9" s="537"/>
      <c r="Y9" s="537"/>
      <c r="Z9" s="537"/>
      <c r="AA9" s="537"/>
      <c r="AB9" s="537"/>
      <c r="AC9" s="537"/>
      <c r="AD9" s="537"/>
      <c r="AE9" s="537"/>
      <c r="AF9" s="537"/>
      <c r="AG9" s="537"/>
      <c r="AH9" s="537"/>
      <c r="AI9" s="537"/>
      <c r="AJ9" s="537"/>
      <c r="AK9" s="1428" t="s">
        <v>502</v>
      </c>
      <c r="AM9" s="670"/>
      <c r="AN9" s="670" t="str">
        <f>IF(T9="","",T9)</f>
        <v>Добавить значение признака дифференциации</v>
      </c>
      <c r="AO9" s="670"/>
      <c r="AP9" s="670"/>
      <c r="AQ9" s="1325">
        <v>0</v>
      </c>
    </row>
    <row customHeight="1" ht="21" hidden="1">
      <c r="A10" s="1533"/>
      <c r="B10" s="1533"/>
      <c r="C10" s="1533"/>
      <c r="D10" s="1533"/>
      <c r="E10" s="2429"/>
      <c r="F10" s="2429"/>
      <c r="G10" s="2429"/>
      <c r="H10" s="2429"/>
      <c r="I10" s="2426"/>
      <c r="J10" s="1533"/>
      <c r="K10" s="1533"/>
      <c r="L10" s="1534"/>
      <c r="P10" s="2427"/>
      <c r="Q10" s="1620"/>
      <c r="R10" s="526"/>
      <c r="S10" s="1448"/>
      <c r="T10" s="535" t="s">
        <v>424</v>
      </c>
      <c r="U10" s="537"/>
      <c r="V10" s="537"/>
      <c r="W10" s="537"/>
      <c r="X10" s="537"/>
      <c r="Y10" s="537"/>
      <c r="Z10" s="537"/>
      <c r="AA10" s="537"/>
      <c r="AB10" s="536"/>
      <c r="AC10" s="537"/>
      <c r="AD10" s="537"/>
      <c r="AE10" s="537"/>
      <c r="AF10" s="537"/>
      <c r="AG10" s="537"/>
      <c r="AH10" s="537"/>
      <c r="AI10" s="536"/>
      <c r="AJ10" s="537"/>
      <c r="AK10" s="1610"/>
      <c r="AM10" s="670"/>
      <c r="AN10" s="670" t="str">
        <f>IF(T10="","",T10)</f>
        <v>Добавить группу потребителей</v>
      </c>
      <c r="AO10" s="670"/>
      <c r="AP10" s="670"/>
      <c r="AQ10" s="1325">
        <v>0</v>
      </c>
    </row>
    <row customHeight="1" ht="21" hidden="1">
      <c r="A11" s="1533"/>
      <c r="B11" s="1533"/>
      <c r="C11" s="1533"/>
      <c r="D11" s="1533"/>
      <c r="E11" s="2429"/>
      <c r="F11" s="2429"/>
      <c r="G11" s="2429"/>
      <c r="H11" s="2428"/>
      <c r="I11" s="1533"/>
      <c r="J11" s="1533"/>
      <c r="K11" s="1533"/>
      <c r="L11" s="1534"/>
      <c r="M11" s="1535"/>
      <c r="N11" s="1535"/>
      <c r="O11" s="707"/>
      <c r="P11" s="530"/>
      <c r="Q11" s="545"/>
      <c r="R11" s="525"/>
      <c r="S11" s="1448"/>
      <c r="T11" s="542" t="s">
        <v>503</v>
      </c>
      <c r="U11" s="537"/>
      <c r="V11" s="537"/>
      <c r="W11" s="537"/>
      <c r="X11" s="537"/>
      <c r="Y11" s="537"/>
      <c r="Z11" s="537"/>
      <c r="AA11" s="537"/>
      <c r="AB11" s="536"/>
      <c r="AC11" s="537"/>
      <c r="AD11" s="537"/>
      <c r="AE11" s="537"/>
      <c r="AF11" s="537"/>
      <c r="AG11" s="537"/>
      <c r="AH11" s="537"/>
      <c r="AI11" s="536"/>
      <c r="AJ11" s="537"/>
      <c r="AK11" s="473"/>
      <c r="AM11" s="670"/>
      <c r="AN11" s="670" t="str">
        <f>IF(T11="","",T11)</f>
        <v>Добавить наименование признака дифференциации</v>
      </c>
      <c r="AO11" s="670"/>
      <c r="AP11" s="670"/>
      <c r="AQ11" s="1325">
        <v>0</v>
      </c>
    </row>
    <row s="11993" customFormat="1" customHeight="1" ht="14.25" hidden="1">
      <c r="A12" s="1513"/>
      <c r="B12" s="1513"/>
      <c r="C12" s="1484"/>
      <c r="D12" s="1484"/>
      <c r="E12" s="2429"/>
      <c r="F12" s="2428"/>
      <c r="G12" s="1484"/>
      <c r="H12" s="1484"/>
      <c r="I12" s="1484"/>
      <c r="J12" s="1484"/>
      <c r="K12" s="1484"/>
      <c r="L12" s="1628"/>
      <c r="M12" s="1491"/>
      <c r="N12" s="1491"/>
      <c r="P12" s="1486"/>
      <c r="Q12" s="1487"/>
      <c r="R12" s="1486"/>
      <c r="S12" s="1492"/>
      <c r="T12" s="1495" t="s">
        <v>166</v>
      </c>
      <c r="U12" s="1494"/>
      <c r="V12" s="1494"/>
      <c r="W12" s="1494"/>
      <c r="X12" s="1494"/>
      <c r="Y12" s="1494"/>
      <c r="Z12" s="1494"/>
      <c r="AA12" s="1494"/>
      <c r="AB12" s="1494"/>
      <c r="AC12" s="1494"/>
      <c r="AD12" s="1494"/>
      <c r="AE12" s="1494"/>
      <c r="AF12" s="1494"/>
      <c r="AG12" s="1494"/>
      <c r="AH12" s="1494"/>
      <c r="AI12" s="1494"/>
      <c r="AJ12" s="1494"/>
      <c r="AK12" s="1494"/>
      <c r="AM12" s="959"/>
      <c r="AN12" s="959" t="str">
        <f>IF(T12="","",T12)</f>
        <v>Добавить централизованную систему для дифференциации</v>
      </c>
      <c r="AO12" s="959"/>
      <c r="AP12" s="959"/>
      <c r="AQ12" s="688">
        <v>0</v>
      </c>
    </row>
    <row s="11993" customFormat="1" customHeight="1" ht="14.25" hidden="1">
      <c r="A13" s="1513"/>
      <c r="B13" s="1513"/>
      <c r="C13" s="1513"/>
      <c r="D13" s="1513"/>
      <c r="E13" s="2428"/>
      <c r="F13" s="1513"/>
      <c r="G13" s="1513"/>
      <c r="H13" s="1513"/>
      <c r="I13" s="1513"/>
      <c r="J13" s="1513"/>
      <c r="K13" s="1513"/>
      <c r="L13" s="1516"/>
      <c r="M13" s="1491"/>
      <c r="N13" s="1491"/>
      <c r="O13" s="688"/>
      <c r="P13" s="550"/>
      <c r="Q13" s="1514"/>
      <c r="R13" s="550"/>
      <c r="S13" s="1492"/>
      <c r="T13" s="1495" t="s">
        <v>167</v>
      </c>
      <c r="U13" s="1494"/>
      <c r="V13" s="1494"/>
      <c r="W13" s="1494"/>
      <c r="X13" s="1494"/>
      <c r="Y13" s="1494"/>
      <c r="Z13" s="1494"/>
      <c r="AA13" s="1494"/>
      <c r="AB13" s="1494"/>
      <c r="AC13" s="1494"/>
      <c r="AD13" s="1494"/>
      <c r="AE13" s="1494"/>
      <c r="AF13" s="1494"/>
      <c r="AG13" s="1494"/>
      <c r="AH13" s="1494"/>
      <c r="AI13" s="1494"/>
      <c r="AJ13" s="1494"/>
      <c r="AK13" s="1494"/>
      <c r="AM13" s="670"/>
      <c r="AN13" s="670" t="str">
        <f>IF(T13="","",T13)</f>
        <v>Добавить территорию для дифференциации</v>
      </c>
      <c r="AO13" s="670"/>
      <c r="AP13" s="670"/>
      <c r="AQ13" s="681">
        <v>0</v>
      </c>
    </row>
    <row customHeight="1" ht="14.25" hidden="1">
      <c r="AB14" s="497"/>
      <c r="AI14" s="497"/>
      <c r="AQ14" s="1325">
        <v>0</v>
      </c>
    </row>
    <row customHeight="1" ht="14.25" hidden="1">
      <c r="AC15" s="1530"/>
      <c r="AD15" s="1530"/>
      <c r="AE15" s="1531"/>
      <c r="AF15" s="2437"/>
      <c r="AG15" s="2438" t="s">
        <v>64</v>
      </c>
      <c r="AH15" s="2437"/>
      <c r="AI15" s="2438" t="s">
        <v>64</v>
      </c>
      <c r="AQ15" s="1325">
        <v>0</v>
      </c>
    </row>
    <row customHeight="1" ht="14.25" hidden="1">
      <c r="AC16" s="1530"/>
      <c r="AD16" s="1530"/>
      <c r="AE16" s="498" t="str">
        <f>AF15&amp;"-"&amp;AH15</f>
        <v>-</v>
      </c>
      <c r="AF16" s="2438"/>
      <c r="AG16" s="2438"/>
      <c r="AH16" s="2438"/>
      <c r="AI16" s="2438"/>
      <c r="AQ16" s="1325">
        <v>0</v>
      </c>
    </row>
    <row customHeight="1" ht="14.25" hidden="1">
      <c r="AI17" s="497"/>
      <c r="AQ17" s="1325">
        <v>0</v>
      </c>
    </row>
    <row s="11992" customFormat="1" customHeight="1" ht="22.5" hidden="1">
      <c r="L18" s="1617"/>
      <c r="M18" s="1532"/>
      <c r="N18" s="1532"/>
      <c r="O18" s="1537" t="s">
        <v>426</v>
      </c>
      <c r="P18" s="1532"/>
      <c r="Q18" s="1541"/>
      <c r="R18" s="1541"/>
      <c r="S18" s="899"/>
      <c r="Y18" s="1537"/>
      <c r="AA18" s="1537"/>
      <c r="AB18" s="1536"/>
      <c r="AF18" s="1537"/>
      <c r="AH18" s="1537"/>
      <c r="AI18" s="1536"/>
      <c r="AL18" s="681"/>
      <c r="AM18" s="681"/>
      <c r="AN18" s="681"/>
      <c r="AO18" s="681"/>
      <c r="AP18" s="681"/>
      <c r="AQ18" s="1330">
        <v>0</v>
      </c>
    </row>
    <row s="11992" customFormat="1" customHeight="1" ht="14.25" hidden="1">
      <c r="L19" s="1617"/>
      <c r="M19" s="1532"/>
      <c r="N19" s="1532"/>
      <c r="O19" s="1532"/>
      <c r="P19" s="1532"/>
      <c r="Q19" s="1541"/>
      <c r="R19" s="1541"/>
      <c r="S19" s="899"/>
      <c r="AB19" s="1536"/>
      <c r="AI19" s="1536"/>
      <c r="AL19" s="681"/>
      <c r="AM19" s="681"/>
      <c r="AN19" s="681"/>
      <c r="AO19" s="681"/>
      <c r="AP19" s="681"/>
      <c r="AQ19" s="1330">
        <v>0</v>
      </c>
    </row>
    <row s="11992" customFormat="1" customHeight="1" ht="12" hidden="1">
      <c r="L20" s="1617"/>
      <c r="M20" s="1532"/>
      <c r="N20" s="1532"/>
      <c r="O20" s="1534" t="s">
        <v>427</v>
      </c>
      <c r="P20" s="1532"/>
      <c r="Q20" s="1612"/>
      <c r="R20" s="1612"/>
      <c r="S20" s="899"/>
      <c r="T20" s="1330" t="s">
        <v>428</v>
      </c>
      <c r="Z20" s="356" t="s">
        <v>429</v>
      </c>
      <c r="AB20" s="356" t="s">
        <v>430</v>
      </c>
      <c r="AC20" s="1330" t="s">
        <v>428</v>
      </c>
      <c r="AG20" s="356" t="s">
        <v>431</v>
      </c>
      <c r="AI20" s="356" t="s">
        <v>430</v>
      </c>
      <c r="AQ20" s="1330">
        <v>0</v>
      </c>
    </row>
    <row customHeight="1" ht="14.25" hidden="1">
      <c r="O21" s="1534"/>
      <c r="AQ21" s="1325">
        <v>0</v>
      </c>
    </row>
    <row customHeight="1" ht="14.25" hidden="1">
      <c r="O22" s="1534"/>
      <c r="AQ22" s="1325">
        <v>0</v>
      </c>
    </row>
    <row customHeight="1" ht="14.699999999999998">
      <c r="Q23" s="546"/>
      <c r="R23" s="546"/>
      <c r="S23" s="1445"/>
      <c r="T23" s="533"/>
      <c r="U23" s="533"/>
      <c r="V23" s="679"/>
      <c r="W23" s="679"/>
      <c r="X23" s="679"/>
      <c r="Y23" s="679"/>
      <c r="Z23" s="679"/>
      <c r="AA23" s="679"/>
      <c r="AB23" s="679"/>
      <c r="AC23" s="679"/>
      <c r="AD23" s="679"/>
      <c r="AE23" s="679"/>
      <c r="AF23" s="679"/>
      <c r="AG23" s="679"/>
      <c r="AH23" s="679"/>
      <c r="AI23" s="679"/>
      <c r="AQ23" s="1325">
        <v>14</v>
      </c>
    </row>
    <row customHeight="1" ht="14.699999999999998">
      <c r="Q24" s="546"/>
      <c r="R24" s="546"/>
      <c r="S24" s="2418"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418"/>
      <c r="U24" s="2418"/>
      <c r="V24" s="2418"/>
      <c r="W24" s="2418"/>
      <c r="X24" s="2418"/>
      <c r="Y24" s="2418"/>
      <c r="Z24" s="2418"/>
      <c r="AA24" s="2418"/>
      <c r="AB24" s="2418"/>
      <c r="AC24" s="2418"/>
      <c r="AD24" s="2418"/>
      <c r="AE24" s="2418"/>
      <c r="AF24" s="2418"/>
      <c r="AG24" s="2418"/>
      <c r="AH24" s="2418"/>
      <c r="AI24" s="1413"/>
      <c r="AQ24" s="1325">
        <v>14</v>
      </c>
    </row>
    <row customHeight="1" ht="14.699999999999998">
      <c r="Q25" s="546"/>
      <c r="R25" s="546"/>
      <c r="S25" s="2419" t="str">
        <f>IF(org=0,"Не определено",org)</f>
        <v>Филиал "Шатурская ГРЭС" ПАО "Юнипро"</v>
      </c>
      <c r="T25" s="2419"/>
      <c r="U25" s="2419"/>
      <c r="V25" s="2419"/>
      <c r="W25" s="2419"/>
      <c r="X25" s="2419"/>
      <c r="Y25" s="2419"/>
      <c r="Z25" s="2419"/>
      <c r="AA25" s="2419"/>
      <c r="AB25" s="2419"/>
      <c r="AC25" s="2419"/>
      <c r="AD25" s="2419"/>
      <c r="AE25" s="2419"/>
      <c r="AF25" s="2419"/>
      <c r="AG25" s="2419"/>
      <c r="AH25" s="2419"/>
      <c r="AI25" s="1413"/>
      <c r="AQ25" s="1325">
        <v>14</v>
      </c>
    </row>
    <row customHeight="1" ht="14.25">
      <c r="Q26" s="546"/>
      <c r="R26" s="546"/>
      <c r="S26" s="1445"/>
      <c r="T26" s="533"/>
      <c r="U26" s="533"/>
      <c r="V26" s="492"/>
      <c r="W26" s="492"/>
      <c r="X26" s="492"/>
      <c r="Y26" s="492"/>
      <c r="Z26" s="492"/>
      <c r="AA26" s="492"/>
      <c r="AB26" s="492"/>
      <c r="AC26" s="492"/>
      <c r="AD26" s="492"/>
      <c r="AE26" s="492"/>
      <c r="AF26" s="492"/>
      <c r="AG26" s="492"/>
      <c r="AH26" s="492"/>
      <c r="AI26" s="492"/>
      <c r="AJ26" s="679"/>
      <c r="AQ26" s="1325">
        <v>0</v>
      </c>
    </row>
    <row s="12119" customFormat="1" customHeight="1" ht="25.5">
      <c r="A27" s="1538"/>
      <c r="B27" s="1538"/>
      <c r="C27" s="1538"/>
      <c r="D27" s="1538"/>
      <c r="E27" s="1538"/>
      <c r="F27" s="1538"/>
      <c r="G27" s="1538"/>
      <c r="H27" s="1538"/>
      <c r="I27" s="1538"/>
      <c r="J27" s="1538"/>
      <c r="K27" s="1538"/>
      <c r="L27" s="1539"/>
      <c r="M27" s="1538"/>
      <c r="N27" s="1538"/>
      <c r="O27" s="1538"/>
      <c r="S27" s="2420" t="s">
        <v>42</v>
      </c>
      <c r="T27" s="2420"/>
      <c r="U27" s="1542"/>
      <c r="V27" s="2421" t="str">
        <f>IF(TITLE_NAME_OR_PR_CHANGE="",IF(TITLE_NAME_OR_PR="","",TITLE_NAME_OR_PR),TITLE_NAME_OR_PR_CHANGE)</f>
        <v>Комитет по ценам и тарифам Московской области</v>
      </c>
      <c r="W27" s="2421"/>
      <c r="X27" s="2421"/>
      <c r="Y27" s="2421"/>
      <c r="Z27" s="2421"/>
      <c r="AA27" s="2421"/>
      <c r="AB27" s="496"/>
      <c r="AC27" s="2421" t="str">
        <f>IF(TITLE_NAME_OR_PR_CHANGE="",IF(TITLE_NAME_OR_PR="","",TITLE_NAME_OR_PR),TITLE_NAME_OR_PR_CHANGE)</f>
        <v>Комитет по ценам и тарифам Московской области</v>
      </c>
      <c r="AD27" s="2421"/>
      <c r="AE27" s="2421"/>
      <c r="AF27" s="2421"/>
      <c r="AG27" s="2421"/>
      <c r="AH27" s="2421"/>
      <c r="AI27" s="496"/>
      <c r="AJ27" s="496"/>
      <c r="AK27" s="450"/>
      <c r="AL27" s="538"/>
      <c r="AM27" s="538"/>
      <c r="AN27" s="538"/>
      <c r="AO27" s="538"/>
      <c r="AP27" s="538"/>
      <c r="AQ27" s="588">
        <v>0</v>
      </c>
    </row>
    <row s="12119" customFormat="1" customHeight="1" ht="18.75">
      <c r="A28" s="1538"/>
      <c r="B28" s="1538"/>
      <c r="C28" s="1538"/>
      <c r="D28" s="1538"/>
      <c r="E28" s="1538"/>
      <c r="F28" s="1538"/>
      <c r="G28" s="1538"/>
      <c r="H28" s="1538"/>
      <c r="I28" s="1538"/>
      <c r="J28" s="1538"/>
      <c r="K28" s="1538"/>
      <c r="L28" s="1539"/>
      <c r="M28" s="1538"/>
      <c r="N28" s="1538"/>
      <c r="O28" s="1538"/>
      <c r="S28" s="2420" t="s">
        <v>432</v>
      </c>
      <c r="T28" s="2420"/>
      <c r="U28" s="1542"/>
      <c r="V28" s="2434" t="str">
        <f>IF(TITLE_DATE_PR_CHANGE="",IF(TITLE_DATE_PR="","",TITLE_DATE_PR),TITLE_DATE_PR_CHANGE)</f>
        <v>45646.459814814814</v>
      </c>
      <c r="W28" s="2434"/>
      <c r="X28" s="2434"/>
      <c r="Y28" s="2434"/>
      <c r="Z28" s="2434"/>
      <c r="AA28" s="2434"/>
      <c r="AB28" s="496"/>
      <c r="AC28" s="2434" t="str">
        <f>IF(TITLE_DATE_PR_CHANGE="",IF(TITLE_DATE_PR="","",TITLE_DATE_PR),TITLE_DATE_PR_CHANGE)</f>
        <v>45646.459814814814</v>
      </c>
      <c r="AD28" s="2434"/>
      <c r="AE28" s="2434"/>
      <c r="AF28" s="2434"/>
      <c r="AG28" s="2434"/>
      <c r="AH28" s="2434"/>
      <c r="AI28" s="496"/>
      <c r="AJ28" s="496"/>
      <c r="AK28" s="450"/>
      <c r="AL28" s="538"/>
      <c r="AM28" s="538"/>
      <c r="AN28" s="538"/>
      <c r="AO28" s="538"/>
      <c r="AP28" s="538"/>
      <c r="AQ28" s="588">
        <v>0</v>
      </c>
    </row>
    <row s="12119" customFormat="1" customHeight="1" ht="18.75">
      <c r="A29" s="1538"/>
      <c r="B29" s="1538"/>
      <c r="C29" s="1538"/>
      <c r="D29" s="1538"/>
      <c r="E29" s="1538"/>
      <c r="F29" s="1538"/>
      <c r="G29" s="1538"/>
      <c r="H29" s="1538"/>
      <c r="I29" s="1538"/>
      <c r="J29" s="1538"/>
      <c r="K29" s="1538"/>
      <c r="L29" s="1539"/>
      <c r="M29" s="1538"/>
      <c r="N29" s="1538"/>
      <c r="O29" s="1538"/>
      <c r="S29" s="2420" t="s">
        <v>433</v>
      </c>
      <c r="T29" s="2420"/>
      <c r="U29" s="1542"/>
      <c r="V29" s="2421" t="str">
        <f>IF(TITLE_NUMBER_PR_CHANGE="",IF(TITLE_NUMBER_PR="","",TITLE_NUMBER_PR),TITLE_NUMBER_PR_CHANGE)</f>
        <v>329-Р</v>
      </c>
      <c r="W29" s="2421"/>
      <c r="X29" s="2421"/>
      <c r="Y29" s="2421"/>
      <c r="Z29" s="2421"/>
      <c r="AA29" s="2421"/>
      <c r="AB29" s="496"/>
      <c r="AC29" s="2421" t="str">
        <f>IF(TITLE_NUMBER_PR_CHANGE="",IF(TITLE_NUMBER_PR="","",TITLE_NUMBER_PR),TITLE_NUMBER_PR_CHANGE)</f>
        <v>329-Р</v>
      </c>
      <c r="AD29" s="2421"/>
      <c r="AE29" s="2421"/>
      <c r="AF29" s="2421"/>
      <c r="AG29" s="2421"/>
      <c r="AH29" s="2421"/>
      <c r="AI29" s="496"/>
      <c r="AJ29" s="496"/>
      <c r="AK29" s="450"/>
      <c r="AL29" s="538"/>
      <c r="AM29" s="538"/>
      <c r="AN29" s="538"/>
      <c r="AO29" s="538"/>
      <c r="AP29" s="538"/>
      <c r="AQ29" s="588">
        <v>0</v>
      </c>
    </row>
    <row s="12119" customFormat="1" customHeight="1" ht="18.75">
      <c r="A30" s="1538"/>
      <c r="B30" s="1538"/>
      <c r="C30" s="1538"/>
      <c r="D30" s="1538"/>
      <c r="E30" s="1538"/>
      <c r="F30" s="1538"/>
      <c r="G30" s="1538"/>
      <c r="H30" s="1538"/>
      <c r="I30" s="1538"/>
      <c r="J30" s="1538"/>
      <c r="K30" s="1538"/>
      <c r="L30" s="1539"/>
      <c r="M30" s="1538"/>
      <c r="N30" s="1538"/>
      <c r="O30" s="1538"/>
      <c r="S30" s="2420" t="s">
        <v>44</v>
      </c>
      <c r="T30" s="2420"/>
      <c r="U30" s="1542"/>
      <c r="V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421"/>
      <c r="X30" s="2421"/>
      <c r="Y30" s="2421"/>
      <c r="Z30" s="2421"/>
      <c r="AA30" s="2421"/>
      <c r="AB30" s="496"/>
      <c r="AC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421"/>
      <c r="AE30" s="2421"/>
      <c r="AF30" s="2421"/>
      <c r="AG30" s="2421"/>
      <c r="AH30" s="2421"/>
      <c r="AI30" s="496"/>
      <c r="AJ30" s="496"/>
      <c r="AK30" s="450"/>
      <c r="AL30" s="538"/>
      <c r="AM30" s="538"/>
      <c r="AN30" s="538"/>
      <c r="AO30" s="538"/>
      <c r="AP30" s="538"/>
      <c r="AQ30" s="588">
        <v>0</v>
      </c>
    </row>
    <row customHeight="1" ht="14.25" hidden="1">
      <c r="Q31" s="546"/>
      <c r="R31" s="546"/>
      <c r="S31" s="1445"/>
      <c r="T31" s="533"/>
      <c r="U31" s="533"/>
      <c r="V31" s="492"/>
      <c r="W31" s="492"/>
      <c r="X31" s="492"/>
      <c r="Y31" s="492"/>
      <c r="Z31" s="492"/>
      <c r="AA31" s="492"/>
      <c r="AB31" s="492"/>
      <c r="AC31" s="492"/>
      <c r="AD31" s="492"/>
      <c r="AE31" s="492"/>
      <c r="AF31" s="492"/>
      <c r="AG31" s="492"/>
      <c r="AH31" s="492"/>
      <c r="AI31" s="492"/>
      <c r="AJ31" s="679"/>
      <c r="AQ31" s="1325">
        <v>0</v>
      </c>
    </row>
    <row s="12119" customFormat="1" customHeight="1" ht="18.75" hidden="1">
      <c r="A32" s="1538"/>
      <c r="B32" s="1538"/>
      <c r="C32" s="1538"/>
      <c r="D32" s="1538"/>
      <c r="E32" s="1538"/>
      <c r="F32" s="1538"/>
      <c r="G32" s="1538"/>
      <c r="H32" s="1538"/>
      <c r="I32" s="1538"/>
      <c r="J32" s="1538"/>
      <c r="K32" s="1538"/>
      <c r="L32" s="1539"/>
      <c r="M32" s="1538"/>
      <c r="N32" s="1538"/>
      <c r="O32" s="1538"/>
      <c r="S32" s="2420" t="s">
        <v>434</v>
      </c>
      <c r="T32" s="2420"/>
      <c r="U32" s="1542"/>
      <c r="V32" s="2434" t="str">
        <f>IF(TITLE_DATE_PR_CHANGE="",IF(TITLE_DATE_PR="","",TITLE_DATE_PR),TITLE_DATE_PR_CHANGE)</f>
        <v>45646.459814814814</v>
      </c>
      <c r="W32" s="2434"/>
      <c r="X32" s="2434"/>
      <c r="Y32" s="2434"/>
      <c r="Z32" s="2434"/>
      <c r="AA32" s="2434"/>
      <c r="AB32" s="496"/>
      <c r="AC32" s="2434" t="str">
        <f>IF(TITLE_DATE_PR_CHANGE="",IF(TITLE_DATE_PR="","",TITLE_DATE_PR),TITLE_DATE_PR_CHANGE)</f>
        <v>45646.459814814814</v>
      </c>
      <c r="AD32" s="2434"/>
      <c r="AE32" s="2434"/>
      <c r="AF32" s="2434"/>
      <c r="AG32" s="2434"/>
      <c r="AH32" s="2434"/>
      <c r="AI32" s="496"/>
      <c r="AJ32" s="496"/>
      <c r="AK32" s="450"/>
      <c r="AL32" s="538"/>
      <c r="AM32" s="538"/>
      <c r="AN32" s="538"/>
      <c r="AO32" s="538"/>
      <c r="AP32" s="538"/>
      <c r="AQ32" s="588">
        <v>0</v>
      </c>
    </row>
    <row s="12119" customFormat="1" customHeight="1" ht="18.75" hidden="1">
      <c r="A33" s="1538"/>
      <c r="B33" s="1538"/>
      <c r="C33" s="1538"/>
      <c r="D33" s="1538"/>
      <c r="E33" s="1538"/>
      <c r="F33" s="1538"/>
      <c r="G33" s="1538"/>
      <c r="H33" s="1538"/>
      <c r="I33" s="1538"/>
      <c r="J33" s="1538"/>
      <c r="K33" s="1538"/>
      <c r="L33" s="1539"/>
      <c r="M33" s="1538"/>
      <c r="N33" s="1538"/>
      <c r="O33" s="1538"/>
      <c r="S33" s="2420" t="s">
        <v>435</v>
      </c>
      <c r="T33" s="2420"/>
      <c r="U33" s="1542"/>
      <c r="V33" s="2421" t="str">
        <f>IF(TITLE_NUMBER_PR_CHANGE="",IF(TITLE_NUMBER_PR="","",TITLE_NUMBER_PR),TITLE_NUMBER_PR_CHANGE)</f>
        <v>329-Р</v>
      </c>
      <c r="W33" s="2421"/>
      <c r="X33" s="2421"/>
      <c r="Y33" s="2421"/>
      <c r="Z33" s="2421"/>
      <c r="AA33" s="2421"/>
      <c r="AB33" s="496"/>
      <c r="AC33" s="2421" t="str">
        <f>IF(TITLE_NUMBER_PR_CHANGE="",IF(TITLE_NUMBER_PR="","",TITLE_NUMBER_PR),TITLE_NUMBER_PR_CHANGE)</f>
        <v>329-Р</v>
      </c>
      <c r="AD33" s="2421"/>
      <c r="AE33" s="2421"/>
      <c r="AF33" s="2421"/>
      <c r="AG33" s="2421"/>
      <c r="AH33" s="2421"/>
      <c r="AI33" s="496"/>
      <c r="AJ33" s="496"/>
      <c r="AK33" s="450"/>
      <c r="AL33" s="538"/>
      <c r="AM33" s="538"/>
      <c r="AN33" s="538"/>
      <c r="AO33" s="538"/>
      <c r="AP33" s="538"/>
      <c r="AQ33" s="588">
        <v>0</v>
      </c>
    </row>
    <row s="12119" customFormat="1" customHeight="1" ht="1.05">
      <c r="A34" s="1538"/>
      <c r="B34" s="1538"/>
      <c r="C34" s="1538"/>
      <c r="D34" s="1538"/>
      <c r="E34" s="1538"/>
      <c r="F34" s="1538"/>
      <c r="G34" s="1538"/>
      <c r="H34" s="1538"/>
      <c r="I34" s="1538"/>
      <c r="J34" s="1538"/>
      <c r="K34" s="1538"/>
      <c r="L34" s="1539"/>
      <c r="M34" s="1538"/>
      <c r="N34" s="1538"/>
      <c r="O34" s="1538"/>
      <c r="S34" s="493"/>
      <c r="T34" s="493"/>
      <c r="U34" s="1624"/>
      <c r="V34" s="496"/>
      <c r="W34" s="496"/>
      <c r="X34" s="496"/>
      <c r="Y34" s="496"/>
      <c r="Z34" s="496"/>
      <c r="AA34" s="496"/>
      <c r="AB34" s="448" t="s">
        <v>436</v>
      </c>
      <c r="AC34" s="496"/>
      <c r="AD34" s="496"/>
      <c r="AE34" s="496"/>
      <c r="AF34" s="496"/>
      <c r="AG34" s="496"/>
      <c r="AH34" s="496"/>
      <c r="AI34" s="448" t="s">
        <v>436</v>
      </c>
      <c r="AL34" s="538"/>
      <c r="AM34" s="538"/>
      <c r="AN34" s="538"/>
      <c r="AO34" s="538"/>
      <c r="AP34" s="538"/>
      <c r="AQ34" s="588">
        <v>1</v>
      </c>
    </row>
    <row customHeight="1" ht="14.699999999999998">
      <c r="Q35" s="546"/>
      <c r="R35" s="546"/>
      <c r="S35" s="1445"/>
      <c r="T35" s="533"/>
      <c r="U35" s="1414"/>
      <c r="V35" s="2422"/>
      <c r="W35" s="2422"/>
      <c r="X35" s="2422"/>
      <c r="Y35" s="2422"/>
      <c r="Z35" s="2422"/>
      <c r="AA35" s="2422"/>
      <c r="AB35" s="2422"/>
      <c r="AC35" s="2422"/>
      <c r="AD35" s="2422"/>
      <c r="AE35" s="2422"/>
      <c r="AF35" s="2422"/>
      <c r="AG35" s="2422"/>
      <c r="AH35" s="2422"/>
      <c r="AI35" s="2422"/>
      <c r="AQ35" s="1325">
        <v>14</v>
      </c>
    </row>
    <row customHeight="1" ht="14.699999999999998">
      <c r="Q36" s="546"/>
      <c r="R36" s="546"/>
      <c r="S36" s="2297" t="s">
        <v>312</v>
      </c>
      <c r="T36" s="2297"/>
      <c r="U36" s="2297"/>
      <c r="V36" s="2297"/>
      <c r="W36" s="2297"/>
      <c r="X36" s="2297"/>
      <c r="Y36" s="2297"/>
      <c r="Z36" s="2297"/>
      <c r="AA36" s="2297"/>
      <c r="AB36" s="2297"/>
      <c r="AC36" s="2297"/>
      <c r="AD36" s="2297"/>
      <c r="AE36" s="2297"/>
      <c r="AF36" s="2297"/>
      <c r="AG36" s="2297"/>
      <c r="AH36" s="2297"/>
      <c r="AI36" s="2297"/>
      <c r="AJ36" s="2297"/>
      <c r="AK36" s="2297" t="s">
        <v>313</v>
      </c>
      <c r="AQ36" s="1325">
        <v>14</v>
      </c>
    </row>
    <row customHeight="1" ht="14.699999999999998">
      <c r="Q37" s="546"/>
      <c r="R37" s="546"/>
      <c r="S37" s="2443" t="s">
        <v>91</v>
      </c>
      <c r="T37" s="2379" t="s">
        <v>438</v>
      </c>
      <c r="U37" s="471"/>
      <c r="V37" s="2444" t="s">
        <v>439</v>
      </c>
      <c r="W37" s="2445"/>
      <c r="X37" s="2445"/>
      <c r="Y37" s="2445"/>
      <c r="Z37" s="2445"/>
      <c r="AA37" s="2446"/>
      <c r="AB37" s="2447" t="s">
        <v>440</v>
      </c>
      <c r="AC37" s="2444" t="s">
        <v>439</v>
      </c>
      <c r="AD37" s="2445"/>
      <c r="AE37" s="2445"/>
      <c r="AF37" s="2445"/>
      <c r="AG37" s="2445"/>
      <c r="AH37" s="2446"/>
      <c r="AI37" s="2447" t="s">
        <v>441</v>
      </c>
      <c r="AJ37" s="2450" t="s">
        <v>442</v>
      </c>
      <c r="AK37" s="2297"/>
      <c r="AQ37" s="1325">
        <v>14</v>
      </c>
    </row>
    <row customHeight="1" ht="35.699999999999996">
      <c r="Q38" s="546"/>
      <c r="R38" s="546"/>
      <c r="S38" s="2443"/>
      <c r="T38" s="2379"/>
      <c r="U38" s="1201"/>
      <c r="V38" s="1622" t="s">
        <v>504</v>
      </c>
      <c r="W38" s="2432" t="s">
        <v>445</v>
      </c>
      <c r="X38" s="2433"/>
      <c r="Y38" s="2432" t="s">
        <v>446</v>
      </c>
      <c r="Z38" s="2439"/>
      <c r="AA38" s="2433"/>
      <c r="AB38" s="2448"/>
      <c r="AC38" s="1622" t="s">
        <v>504</v>
      </c>
      <c r="AD38" s="2432" t="s">
        <v>445</v>
      </c>
      <c r="AE38" s="2433"/>
      <c r="AF38" s="2432" t="s">
        <v>446</v>
      </c>
      <c r="AG38" s="2439"/>
      <c r="AH38" s="2433"/>
      <c r="AI38" s="2448"/>
      <c r="AJ38" s="2451"/>
      <c r="AK38" s="2297"/>
      <c r="AQ38" s="1325">
        <v>34</v>
      </c>
    </row>
    <row customHeight="1" ht="35.699999999999996">
      <c r="A39" s="1540"/>
      <c r="B39" s="1540" t="s">
        <v>138</v>
      </c>
      <c r="C39" s="1540" t="s">
        <v>139</v>
      </c>
      <c r="D39" s="1540" t="s">
        <v>140</v>
      </c>
      <c r="E39" s="1534" t="s">
        <v>447</v>
      </c>
      <c r="F39" s="1534" t="s">
        <v>448</v>
      </c>
      <c r="G39" s="1534" t="s">
        <v>449</v>
      </c>
      <c r="H39" s="1534"/>
      <c r="I39" s="1534" t="s">
        <v>505</v>
      </c>
      <c r="J39" s="1534" t="s">
        <v>452</v>
      </c>
      <c r="K39" s="1534" t="s">
        <v>506</v>
      </c>
      <c r="L39" s="1534" t="s">
        <v>427</v>
      </c>
      <c r="Q39" s="546"/>
      <c r="R39" s="546"/>
      <c r="S39" s="2443"/>
      <c r="T39" s="2379"/>
      <c r="U39" s="472"/>
      <c r="V39" s="1622" t="s">
        <v>507</v>
      </c>
      <c r="W39" s="1392" t="s">
        <v>508</v>
      </c>
      <c r="X39" s="1392" t="s">
        <v>509</v>
      </c>
      <c r="Y39" s="1625" t="s">
        <v>456</v>
      </c>
      <c r="Z39" s="2440" t="s">
        <v>457</v>
      </c>
      <c r="AA39" s="2441"/>
      <c r="AB39" s="2449"/>
      <c r="AC39" s="1622" t="s">
        <v>507</v>
      </c>
      <c r="AD39" s="1392" t="s">
        <v>508</v>
      </c>
      <c r="AE39" s="1392" t="s">
        <v>509</v>
      </c>
      <c r="AF39" s="1625" t="s">
        <v>456</v>
      </c>
      <c r="AG39" s="2440" t="s">
        <v>457</v>
      </c>
      <c r="AH39" s="2441"/>
      <c r="AI39" s="2449"/>
      <c r="AJ39" s="2452"/>
      <c r="AK39" s="2297"/>
      <c r="AQ39" s="1325">
        <v>34</v>
      </c>
    </row>
    <row s="12668" customFormat="1" customHeight="1" ht="0">
      <c r="A40" s="1540"/>
      <c r="B40" s="1540"/>
      <c r="C40" s="1540"/>
      <c r="D40" s="1540"/>
      <c r="E40" s="1540"/>
      <c r="F40" s="1540"/>
      <c r="G40" s="1540"/>
      <c r="H40" s="1540"/>
      <c r="I40" s="1540"/>
      <c r="J40" s="1540"/>
      <c r="K40" s="1540"/>
      <c r="L40" s="1534"/>
      <c r="M40" s="1532"/>
      <c r="N40" s="1532"/>
      <c r="O40" s="1532"/>
      <c r="P40" s="1416"/>
      <c r="Q40" s="1417"/>
      <c r="R40" s="1424">
        <v>1</v>
      </c>
      <c r="S40" s="1447" t="s">
        <v>112</v>
      </c>
      <c r="T40" s="1425" t="s">
        <v>113</v>
      </c>
      <c r="U40" s="1415" t="str">
        <f>OFFSET(U40,0,-1)</f>
        <v>2</v>
      </c>
      <c r="V40" s="1621">
        <f>OFFSET(V40,0,-1)+1</f>
        <v>3</v>
      </c>
      <c r="W40" s="1621">
        <f>OFFSET(W40,0,-1)+1</f>
        <v>4</v>
      </c>
      <c r="X40" s="1621">
        <f>OFFSET(X40,0,-1)+1</f>
        <v>5</v>
      </c>
      <c r="Y40" s="1621">
        <f>OFFSET(Y40,0,-1)+1</f>
        <v>6</v>
      </c>
      <c r="Z40" s="2442">
        <f>OFFSET(Z40,0,-1)+1</f>
        <v>7</v>
      </c>
      <c r="AA40" s="2442"/>
      <c r="AB40" s="1621">
        <f>OFFSET(AB40,0,-2)+1</f>
        <v>8</v>
      </c>
      <c r="AC40" s="1621">
        <f>OFFSET(AC40,0,-1)+1</f>
        <v>9</v>
      </c>
      <c r="AD40" s="1621">
        <f>OFFSET(AD40,0,-1)+1</f>
        <v>10</v>
      </c>
      <c r="AE40" s="1621">
        <f>OFFSET(AE40,0,-1)+1</f>
        <v>11</v>
      </c>
      <c r="AF40" s="1621">
        <f>OFFSET(AF40,0,-1)+1</f>
        <v>12</v>
      </c>
      <c r="AG40" s="2442">
        <f>OFFSET(AG40,0,-1)+1</f>
        <v>13</v>
      </c>
      <c r="AH40" s="2442"/>
      <c r="AI40" s="1621">
        <f>OFFSET(AI40,0,-2)+1</f>
        <v>14</v>
      </c>
      <c r="AJ40" s="1415">
        <f>OFFSET(AJ40,0,-1)</f>
        <v>14</v>
      </c>
      <c r="AK40" s="1621">
        <f>OFFSET(AK40,0,-1)+1</f>
        <v>15</v>
      </c>
      <c r="AL40" s="681"/>
      <c r="AM40" s="681"/>
      <c r="AN40" s="681"/>
      <c r="AO40" s="681"/>
      <c r="AP40" s="681"/>
      <c r="AQ40" s="666">
        <v>0</v>
      </c>
    </row>
    <row customHeight="1" ht="24">
      <c r="A41" s="1533" t="s">
        <v>253</v>
      </c>
      <c r="B41" s="1533"/>
      <c r="C41" s="1533"/>
      <c r="D41" s="1533"/>
      <c r="E41" s="2428">
        <v>1</v>
      </c>
      <c r="F41" s="1533"/>
      <c r="G41" s="1533"/>
      <c r="H41" s="1533"/>
      <c r="I41" s="1533"/>
      <c r="J41" s="1533"/>
      <c r="K41" s="1533"/>
      <c r="L41" s="1534"/>
      <c r="M41" s="1535"/>
      <c r="N41" s="1535"/>
      <c r="O41" s="1535"/>
      <c r="P41" s="531"/>
      <c r="Q41" s="530"/>
      <c r="R41" s="525"/>
      <c r="S41" s="1627">
        <f>INDEX(PT_DIFFERENTIATION_NUM_NTAR,MATCH(A41,PT_DIFFERENTIATION_NTAR_ID,0))</f>
        <v>0</v>
      </c>
      <c r="T41" s="468" t="s">
        <v>126</v>
      </c>
      <c r="U41" s="470"/>
      <c r="V41" s="2412"/>
      <c r="W41" s="2413"/>
      <c r="X41" s="2413"/>
      <c r="Y41" s="2413"/>
      <c r="Z41" s="2413"/>
      <c r="AA41" s="2413"/>
      <c r="AB41" s="2414"/>
      <c r="AC41" s="2412" t="str">
        <f>INDEX(PT_DIFFERENTIATION_NTAR,MATCH(A41,PT_DIFFERENTIATION_NTAR_ID,0))</f>
        <v/>
      </c>
      <c r="AD41" s="2413"/>
      <c r="AE41" s="2413"/>
      <c r="AF41" s="2413"/>
      <c r="AG41" s="2413"/>
      <c r="AH41" s="2413"/>
      <c r="AI41" s="2413"/>
      <c r="AJ41" s="2414"/>
      <c r="AK41"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70"/>
      <c r="AN41" s="670" t="str">
        <f>IF(T41="","",T41)</f>
        <v>Наименование тарифа</v>
      </c>
      <c r="AO41" s="670"/>
      <c r="AP41" s="670"/>
      <c r="AQ41" s="1325">
        <v>23</v>
      </c>
    </row>
    <row customHeight="1" ht="24">
      <c r="A42" s="1533" t="s">
        <v>253</v>
      </c>
      <c r="B42" s="1533" t="s">
        <v>254</v>
      </c>
      <c r="C42" s="1533"/>
      <c r="D42" s="1533"/>
      <c r="E42" s="2429"/>
      <c r="F42" s="2428">
        <v>1</v>
      </c>
      <c r="G42" s="1533"/>
      <c r="H42" s="1533"/>
      <c r="I42" s="1533"/>
      <c r="J42" s="1533"/>
      <c r="K42" s="1533"/>
      <c r="L42" s="1534"/>
      <c r="M42" s="1535"/>
      <c r="N42" s="1535"/>
      <c r="O42" s="1535"/>
      <c r="P42" s="1623"/>
      <c r="Q42" s="522"/>
      <c r="R42" s="523"/>
      <c r="S42" s="1627" t="str">
        <f>INDEX(PT_DIFFERENTIATION_NUM_TER,MATCH(B42,PT_DIFFERENTIATION_TER_ID,0))</f>
        <v>.</v>
      </c>
      <c r="T42" s="478" t="s">
        <v>409</v>
      </c>
      <c r="U42" s="470"/>
      <c r="V42" s="2412"/>
      <c r="W42" s="2413"/>
      <c r="X42" s="2413"/>
      <c r="Y42" s="2413"/>
      <c r="Z42" s="2413"/>
      <c r="AA42" s="2413"/>
      <c r="AB42" s="2414"/>
      <c r="AC42" s="2412" t="str">
        <f>INDEX(PT_DIFFERENTIATION_TER,MATCH(B42,PT_DIFFERENTIATION_TER_ID,0))</f>
        <v/>
      </c>
      <c r="AD42" s="2413"/>
      <c r="AE42" s="2413"/>
      <c r="AF42" s="2413"/>
      <c r="AG42" s="2413"/>
      <c r="AH42" s="2413"/>
      <c r="AI42" s="2413"/>
      <c r="AJ42" s="2414"/>
      <c r="AK42" s="1428" t="s">
        <v>410</v>
      </c>
      <c r="AM42" s="670"/>
      <c r="AN42" s="670" t="str">
        <f>IF(T42="","",T42)</f>
        <v>Территория действия тарифа</v>
      </c>
      <c r="AO42" s="670"/>
      <c r="AP42" s="670"/>
      <c r="AQ42" s="1325">
        <v>23</v>
      </c>
    </row>
    <row customHeight="1" ht="24">
      <c r="A43" s="1533" t="s">
        <v>253</v>
      </c>
      <c r="B43" s="1533" t="s">
        <v>254</v>
      </c>
      <c r="C43" s="1533" t="s">
        <v>255</v>
      </c>
      <c r="D43" s="1533"/>
      <c r="E43" s="2429"/>
      <c r="F43" s="2429"/>
      <c r="G43" s="2428">
        <v>1</v>
      </c>
      <c r="H43" s="1533"/>
      <c r="I43" s="1533"/>
      <c r="J43" s="1533"/>
      <c r="K43" s="1533"/>
      <c r="L43" s="1534"/>
      <c r="M43" s="1535"/>
      <c r="N43" s="1535"/>
      <c r="O43" s="1535"/>
      <c r="P43" s="524"/>
      <c r="Q43" s="522"/>
      <c r="R43" s="523"/>
      <c r="S43" s="1627" t="str">
        <f>INDEX(PT_DIFFERENTIATION_NUM_CS,MATCH(C43,PT_DIFFERENTIATION_CS_ID,0))</f>
        <v>..</v>
      </c>
      <c r="T43" s="479" t="s">
        <v>496</v>
      </c>
      <c r="U43" s="470"/>
      <c r="V43" s="2412"/>
      <c r="W43" s="2413"/>
      <c r="X43" s="2413"/>
      <c r="Y43" s="2413"/>
      <c r="Z43" s="2413"/>
      <c r="AA43" s="2413"/>
      <c r="AB43" s="2414"/>
      <c r="AC43" s="2412" t="str">
        <f>INDEX(PT_DIFFERENTIATION_CS,MATCH(C43,PT_DIFFERENTIATION_CS_ID,0))</f>
        <v/>
      </c>
      <c r="AD43" s="2413"/>
      <c r="AE43" s="2413"/>
      <c r="AF43" s="2413"/>
      <c r="AG43" s="2413"/>
      <c r="AH43" s="2413"/>
      <c r="AI43" s="2413"/>
      <c r="AJ43" s="2414"/>
      <c r="AK43" s="1428" t="s">
        <v>497</v>
      </c>
      <c r="AM43" s="670"/>
      <c r="AN43" s="670" t="str">
        <f>IF(T43="","",T43)</f>
        <v>Наименование централизованной системы холодного водоснабжения</v>
      </c>
      <c r="AO43" s="670"/>
      <c r="AP43" s="670"/>
      <c r="AQ43" s="1325">
        <v>23</v>
      </c>
    </row>
    <row customHeight="1" ht="24">
      <c r="A44" s="1533" t="s">
        <v>253</v>
      </c>
      <c r="B44" s="1533" t="s">
        <v>254</v>
      </c>
      <c r="C44" s="1533" t="s">
        <v>255</v>
      </c>
      <c r="D44" s="1533" t="s">
        <v>513</v>
      </c>
      <c r="E44" s="2429"/>
      <c r="F44" s="2429"/>
      <c r="G44" s="2429"/>
      <c r="H44" s="2429"/>
      <c r="I44" s="2426" t="str">
        <f>S43&amp;".1"</f>
        <v>...1</v>
      </c>
      <c r="J44" s="1533"/>
      <c r="K44" s="1533"/>
      <c r="L44" s="1534"/>
      <c r="P44" s="2427">
        <v>1</v>
      </c>
      <c r="Q44" s="1620"/>
      <c r="R44" s="526"/>
      <c r="S44" s="1627" t="str">
        <f>$I44</f>
        <v>...1</v>
      </c>
      <c r="T44" s="455" t="s">
        <v>498</v>
      </c>
      <c r="U44" s="470"/>
      <c r="V44" s="2520"/>
      <c r="W44" s="2521"/>
      <c r="X44" s="2521"/>
      <c r="Y44" s="2521"/>
      <c r="Z44" s="2521"/>
      <c r="AA44" s="2521"/>
      <c r="AB44" s="2522"/>
      <c r="AC44" s="2523"/>
      <c r="AD44" s="2524"/>
      <c r="AE44" s="2524"/>
      <c r="AF44" s="2524"/>
      <c r="AG44" s="2524"/>
      <c r="AH44" s="2524"/>
      <c r="AI44" s="2524"/>
      <c r="AJ44" s="2525"/>
      <c r="AK44" s="1428" t="s">
        <v>499</v>
      </c>
      <c r="AM44" s="670"/>
      <c r="AN44" s="670" t="str">
        <f>IF(T44="","",T44)</f>
        <v>Наименование признака дифференциации</v>
      </c>
      <c r="AO44" s="670"/>
      <c r="AP44" s="670"/>
      <c r="AQ44" s="1325">
        <v>23</v>
      </c>
    </row>
    <row customHeight="1" ht="24">
      <c r="A45" s="1533" t="s">
        <v>253</v>
      </c>
      <c r="B45" s="1533" t="s">
        <v>254</v>
      </c>
      <c r="C45" s="1533" t="s">
        <v>255</v>
      </c>
      <c r="D45" s="1533" t="s">
        <v>513</v>
      </c>
      <c r="E45" s="2429"/>
      <c r="F45" s="2429"/>
      <c r="G45" s="2429"/>
      <c r="H45" s="2429"/>
      <c r="I45" s="2456"/>
      <c r="J45" s="2426" t="str">
        <f>I44&amp;".1"</f>
        <v>...1.1</v>
      </c>
      <c r="K45" s="1533"/>
      <c r="L45" s="1534" t="s">
        <v>418</v>
      </c>
      <c r="P45" s="2427"/>
      <c r="Q45" s="2427">
        <v>1</v>
      </c>
      <c r="R45" s="527"/>
      <c r="S45" s="1627" t="str">
        <f>$J45</f>
        <v>...1.1</v>
      </c>
      <c r="T45" s="456" t="s">
        <v>419</v>
      </c>
      <c r="U45" s="470"/>
      <c r="V45" s="2415"/>
      <c r="W45" s="2416"/>
      <c r="X45" s="2416"/>
      <c r="Y45" s="2416"/>
      <c r="Z45" s="2416"/>
      <c r="AA45" s="2416"/>
      <c r="AB45" s="2417"/>
      <c r="AC45" s="2415"/>
      <c r="AD45" s="2416"/>
      <c r="AE45" s="2416"/>
      <c r="AF45" s="2416"/>
      <c r="AG45" s="2416"/>
      <c r="AH45" s="2416"/>
      <c r="AI45" s="2416"/>
      <c r="AJ45" s="2417"/>
      <c r="AK45" s="1477" t="s">
        <v>500</v>
      </c>
      <c r="AM45" s="670"/>
      <c r="AN45" s="670" t="str">
        <f>IF(T45="","",T45)</f>
        <v>Группа потребителей</v>
      </c>
      <c r="AO45" s="670"/>
      <c r="AP45" s="670"/>
      <c r="AQ45" s="1325">
        <v>23</v>
      </c>
    </row>
    <row customHeight="1" ht="24">
      <c r="A46" s="1533" t="s">
        <v>253</v>
      </c>
      <c r="B46" s="1533" t="s">
        <v>254</v>
      </c>
      <c r="C46" s="1533" t="s">
        <v>255</v>
      </c>
      <c r="D46" s="1533" t="s">
        <v>513</v>
      </c>
      <c r="E46" s="2429"/>
      <c r="F46" s="2429"/>
      <c r="G46" s="2429"/>
      <c r="H46" s="2429"/>
      <c r="I46" s="2456"/>
      <c r="J46" s="2456"/>
      <c r="K46" s="2426" t="str">
        <f>J45&amp;".1"</f>
        <v>...1.1.1</v>
      </c>
      <c r="L46" s="1534"/>
      <c r="P46" s="2427"/>
      <c r="Q46" s="2427"/>
      <c r="R46" s="527">
        <v>1</v>
      </c>
      <c r="S46" s="1627" t="str">
        <f>$K46</f>
        <v>...1.1.1</v>
      </c>
      <c r="T46" s="1607"/>
      <c r="U46" s="470"/>
      <c r="V46" s="921"/>
      <c r="W46" s="921"/>
      <c r="X46" s="1427"/>
      <c r="Y46" s="2435"/>
      <c r="Z46" s="2277" t="s">
        <v>64</v>
      </c>
      <c r="AA46" s="2435"/>
      <c r="AB46" s="2277" t="s">
        <v>64</v>
      </c>
      <c r="AC46" s="921"/>
      <c r="AD46" s="921"/>
      <c r="AE46" s="1427"/>
      <c r="AF46" s="2435"/>
      <c r="AG46" s="2277" t="s">
        <v>64</v>
      </c>
      <c r="AH46" s="2457"/>
      <c r="AI46" s="2277" t="s">
        <v>64</v>
      </c>
      <c r="AJ46" s="1608"/>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1">
        <f>STRCHECKDATE(V47:AJ47)</f>
      </c>
      <c r="AM46" s="670"/>
      <c r="AN46" s="670" t="str">
        <f>IF(T46="","",T46)</f>
        <v/>
      </c>
      <c r="AO46" s="670"/>
      <c r="AP46" s="670"/>
      <c r="AQ46" s="1325">
        <v>23</v>
      </c>
    </row>
    <row customHeight="1" ht="0">
      <c r="A47" s="1533" t="s">
        <v>253</v>
      </c>
      <c r="B47" s="1533" t="s">
        <v>254</v>
      </c>
      <c r="C47" s="1533" t="s">
        <v>255</v>
      </c>
      <c r="D47" s="1533" t="s">
        <v>513</v>
      </c>
      <c r="E47" s="2429"/>
      <c r="F47" s="2429"/>
      <c r="G47" s="2429"/>
      <c r="H47" s="2429"/>
      <c r="I47" s="2456"/>
      <c r="J47" s="2456"/>
      <c r="K47" s="2426"/>
      <c r="L47" s="1534"/>
      <c r="P47" s="2427"/>
      <c r="Q47" s="2427"/>
      <c r="R47" s="527"/>
      <c r="S47" s="1626"/>
      <c r="T47" s="470"/>
      <c r="U47" s="470"/>
      <c r="V47" s="495"/>
      <c r="W47" s="495"/>
      <c r="X47" s="498" t="str">
        <f>Y46&amp;"-"&amp;AA46</f>
        <v>-</v>
      </c>
      <c r="Y47" s="2436"/>
      <c r="Z47" s="2277"/>
      <c r="AA47" s="2436"/>
      <c r="AB47" s="2277"/>
      <c r="AC47" s="495"/>
      <c r="AD47" s="495"/>
      <c r="AE47" s="498" t="str">
        <f>AF46&amp;"-"&amp;AH46</f>
        <v>-</v>
      </c>
      <c r="AF47" s="2436"/>
      <c r="AG47" s="2277"/>
      <c r="AH47" s="2458"/>
      <c r="AI47" s="2277"/>
      <c r="AJ47" s="1609"/>
      <c r="AK47" s="2519"/>
      <c r="AM47" s="670"/>
      <c r="AN47" s="670" t="str">
        <f>IF(T47="","",T47)</f>
        <v/>
      </c>
      <c r="AO47" s="670"/>
      <c r="AP47" s="670"/>
      <c r="AQ47" s="1325">
        <v>0</v>
      </c>
    </row>
    <row customHeight="1" ht="21">
      <c r="A48" s="1533" t="s">
        <v>253</v>
      </c>
      <c r="B48" s="1533" t="s">
        <v>254</v>
      </c>
      <c r="C48" s="1533" t="s">
        <v>255</v>
      </c>
      <c r="D48" s="1533" t="s">
        <v>513</v>
      </c>
      <c r="E48" s="2429"/>
      <c r="F48" s="2429"/>
      <c r="G48" s="2429"/>
      <c r="H48" s="2429"/>
      <c r="I48" s="2456"/>
      <c r="J48" s="2426"/>
      <c r="K48" s="1533"/>
      <c r="L48" s="1534"/>
      <c r="P48" s="2427"/>
      <c r="Q48" s="2427"/>
      <c r="R48" s="526"/>
      <c r="S48" s="1448"/>
      <c r="T48" s="457" t="s">
        <v>501</v>
      </c>
      <c r="U48" s="537"/>
      <c r="V48" s="537"/>
      <c r="W48" s="537"/>
      <c r="X48" s="537"/>
      <c r="Y48" s="537"/>
      <c r="Z48" s="537"/>
      <c r="AA48" s="537"/>
      <c r="AB48" s="537"/>
      <c r="AC48" s="537"/>
      <c r="AD48" s="537"/>
      <c r="AE48" s="537"/>
      <c r="AF48" s="537"/>
      <c r="AG48" s="537"/>
      <c r="AH48" s="537"/>
      <c r="AI48" s="537"/>
      <c r="AJ48" s="537"/>
      <c r="AK48" s="1428" t="s">
        <v>502</v>
      </c>
      <c r="AM48" s="670"/>
      <c r="AN48" s="670" t="str">
        <f>IF(T48="","",T48)</f>
        <v>Добавить значение признака дифференциации</v>
      </c>
      <c r="AO48" s="670"/>
      <c r="AP48" s="670"/>
      <c r="AQ48" s="1325">
        <v>20</v>
      </c>
    </row>
    <row customHeight="1" ht="22.049999999999997">
      <c r="A49" s="1533" t="s">
        <v>253</v>
      </c>
      <c r="B49" s="1533" t="s">
        <v>254</v>
      </c>
      <c r="C49" s="1533" t="s">
        <v>255</v>
      </c>
      <c r="D49" s="1533" t="s">
        <v>513</v>
      </c>
      <c r="E49" s="2429"/>
      <c r="F49" s="2429"/>
      <c r="G49" s="2429"/>
      <c r="H49" s="2429"/>
      <c r="I49" s="2426"/>
      <c r="J49" s="1533"/>
      <c r="K49" s="1533"/>
      <c r="L49" s="1534"/>
      <c r="P49" s="2427"/>
      <c r="Q49" s="1620"/>
      <c r="R49" s="526"/>
      <c r="S49" s="1448"/>
      <c r="T49" s="535" t="s">
        <v>424</v>
      </c>
      <c r="U49" s="537"/>
      <c r="V49" s="537"/>
      <c r="W49" s="537"/>
      <c r="X49" s="537"/>
      <c r="Y49" s="537"/>
      <c r="Z49" s="537"/>
      <c r="AA49" s="537"/>
      <c r="AB49" s="536"/>
      <c r="AC49" s="537"/>
      <c r="AD49" s="537"/>
      <c r="AE49" s="537"/>
      <c r="AF49" s="537"/>
      <c r="AG49" s="537"/>
      <c r="AH49" s="537"/>
      <c r="AI49" s="536"/>
      <c r="AJ49" s="537"/>
      <c r="AK49" s="1610"/>
      <c r="AM49" s="670"/>
      <c r="AN49" s="670" t="str">
        <f>IF(T49="","",T49)</f>
        <v>Добавить группу потребителей</v>
      </c>
      <c r="AO49" s="670"/>
      <c r="AP49" s="670"/>
      <c r="AQ49" s="1325">
        <v>21</v>
      </c>
    </row>
    <row customHeight="1" ht="22.049999999999997">
      <c r="A50" s="1533" t="s">
        <v>253</v>
      </c>
      <c r="B50" s="1533" t="s">
        <v>254</v>
      </c>
      <c r="C50" s="1533" t="s">
        <v>255</v>
      </c>
      <c r="D50" s="1533" t="s">
        <v>513</v>
      </c>
      <c r="E50" s="2429"/>
      <c r="F50" s="2429"/>
      <c r="G50" s="2429"/>
      <c r="H50" s="2428"/>
      <c r="I50" s="1533"/>
      <c r="J50" s="1533"/>
      <c r="K50" s="1533"/>
      <c r="L50" s="1534"/>
      <c r="M50" s="1535"/>
      <c r="N50" s="1535"/>
      <c r="O50" s="707"/>
      <c r="P50" s="530"/>
      <c r="Q50" s="545"/>
      <c r="R50" s="525"/>
      <c r="S50" s="1448"/>
      <c r="T50" s="542" t="s">
        <v>503</v>
      </c>
      <c r="U50" s="537"/>
      <c r="V50" s="537"/>
      <c r="W50" s="537"/>
      <c r="X50" s="537"/>
      <c r="Y50" s="537"/>
      <c r="Z50" s="537"/>
      <c r="AA50" s="537"/>
      <c r="AB50" s="536"/>
      <c r="AC50" s="537"/>
      <c r="AD50" s="537"/>
      <c r="AE50" s="537"/>
      <c r="AF50" s="537"/>
      <c r="AG50" s="537"/>
      <c r="AH50" s="537"/>
      <c r="AI50" s="536"/>
      <c r="AJ50" s="537"/>
      <c r="AK50" s="473"/>
      <c r="AM50" s="670"/>
      <c r="AN50" s="670" t="str">
        <f>IF(T50="","",T50)</f>
        <v>Добавить наименование признака дифференциации</v>
      </c>
      <c r="AO50" s="670"/>
      <c r="AP50" s="670"/>
      <c r="AQ50" s="1325">
        <v>21</v>
      </c>
    </row>
    <row s="11993" customFormat="1" customHeight="1" ht="0">
      <c r="A51" s="1513" t="s">
        <v>253</v>
      </c>
      <c r="B51" s="1513" t="s">
        <v>254</v>
      </c>
      <c r="C51" s="1484"/>
      <c r="D51" s="1484"/>
      <c r="E51" s="2429"/>
      <c r="F51" s="2428"/>
      <c r="G51" s="1484"/>
      <c r="H51" s="1484"/>
      <c r="I51" s="1484"/>
      <c r="J51" s="1484"/>
      <c r="K51" s="1484"/>
      <c r="L51" s="1628"/>
      <c r="M51" s="1491"/>
      <c r="N51" s="1491"/>
      <c r="P51" s="1486"/>
      <c r="Q51" s="1487"/>
      <c r="R51" s="1486"/>
      <c r="S51" s="1492"/>
      <c r="T51" s="1495" t="s">
        <v>166</v>
      </c>
      <c r="U51" s="1494"/>
      <c r="V51" s="1494"/>
      <c r="W51" s="1494"/>
      <c r="X51" s="1494"/>
      <c r="Y51" s="1494"/>
      <c r="Z51" s="1494"/>
      <c r="AA51" s="1494"/>
      <c r="AB51" s="1494"/>
      <c r="AC51" s="1494"/>
      <c r="AD51" s="1494"/>
      <c r="AE51" s="1494"/>
      <c r="AF51" s="1494"/>
      <c r="AG51" s="1494"/>
      <c r="AH51" s="1494"/>
      <c r="AI51" s="1494"/>
      <c r="AJ51" s="1494"/>
      <c r="AK51" s="1494"/>
      <c r="AM51" s="959"/>
      <c r="AN51" s="959" t="str">
        <f>IF(T51="","",T51)</f>
        <v>Добавить централизованную систему для дифференциации</v>
      </c>
      <c r="AO51" s="959"/>
      <c r="AP51" s="959"/>
      <c r="AQ51" s="688">
        <v>0</v>
      </c>
    </row>
    <row s="11993" customFormat="1" customHeight="1" ht="0">
      <c r="A52" s="1513" t="s">
        <v>253</v>
      </c>
      <c r="B52" s="1513"/>
      <c r="C52" s="1513"/>
      <c r="D52" s="1513"/>
      <c r="E52" s="2428"/>
      <c r="F52" s="1513"/>
      <c r="G52" s="1513"/>
      <c r="H52" s="1513"/>
      <c r="I52" s="1513"/>
      <c r="J52" s="1513"/>
      <c r="K52" s="1513"/>
      <c r="L52" s="1516"/>
      <c r="M52" s="1491"/>
      <c r="N52" s="1491"/>
      <c r="O52" s="688"/>
      <c r="P52" s="550"/>
      <c r="Q52" s="1514"/>
      <c r="R52" s="550"/>
      <c r="S52" s="1492"/>
      <c r="T52" s="1495" t="s">
        <v>167</v>
      </c>
      <c r="U52" s="1494"/>
      <c r="V52" s="1494"/>
      <c r="W52" s="1494"/>
      <c r="X52" s="1494"/>
      <c r="Y52" s="1494"/>
      <c r="Z52" s="1494"/>
      <c r="AA52" s="1494"/>
      <c r="AB52" s="1494"/>
      <c r="AC52" s="1494"/>
      <c r="AD52" s="1494"/>
      <c r="AE52" s="1494"/>
      <c r="AF52" s="1494"/>
      <c r="AG52" s="1494"/>
      <c r="AH52" s="1494"/>
      <c r="AI52" s="1494"/>
      <c r="AJ52" s="1494"/>
      <c r="AK52" s="1494"/>
      <c r="AM52" s="670"/>
      <c r="AN52" s="670" t="str">
        <f>IF(T52="","",T52)</f>
        <v>Добавить территорию для дифференциации</v>
      </c>
      <c r="AO52" s="670"/>
      <c r="AP52" s="670"/>
      <c r="AQ52" s="681">
        <v>0</v>
      </c>
    </row>
    <row s="11993" customFormat="1" customHeight="1" ht="0">
      <c r="A53" s="1484"/>
      <c r="B53" s="1484"/>
      <c r="C53" s="1484"/>
      <c r="D53" s="1484"/>
      <c r="E53" s="1513"/>
      <c r="F53" s="1484"/>
      <c r="G53" s="1484"/>
      <c r="H53" s="1484"/>
      <c r="I53" s="1484"/>
      <c r="J53" s="1484"/>
      <c r="K53" s="1484"/>
      <c r="L53" s="1628"/>
      <c r="M53" s="1491"/>
      <c r="N53" s="1491"/>
      <c r="P53" s="1486"/>
      <c r="Q53" s="1487"/>
      <c r="R53" s="1486"/>
      <c r="S53" s="1492"/>
      <c r="T53" s="1495" t="s">
        <v>168</v>
      </c>
      <c r="U53" s="1494"/>
      <c r="V53" s="1494"/>
      <c r="W53" s="1494"/>
      <c r="X53" s="1494"/>
      <c r="Y53" s="1494"/>
      <c r="Z53" s="1494"/>
      <c r="AA53" s="1494"/>
      <c r="AB53" s="1494"/>
      <c r="AC53" s="1494"/>
      <c r="AD53" s="1494"/>
      <c r="AE53" s="1494"/>
      <c r="AF53" s="1494"/>
      <c r="AG53" s="1494"/>
      <c r="AH53" s="1494"/>
      <c r="AI53" s="1494"/>
      <c r="AJ53" s="1494"/>
      <c r="AK53" s="1494"/>
      <c r="AM53" s="959"/>
      <c r="AN53" s="959" t="str">
        <f>IF(T53="","",T53)</f>
        <v>Добавить наименование тарифа</v>
      </c>
      <c r="AO53" s="959"/>
      <c r="AP53" s="959"/>
      <c r="AQ53" s="688">
        <v>0</v>
      </c>
    </row>
    <row customHeight="1" ht="11.549999999999999">
      <c r="M54" s="1330"/>
      <c r="N54" s="1330"/>
      <c r="O54" s="707"/>
      <c r="P54" s="1325"/>
      <c r="Q54" s="1325"/>
      <c r="R54" s="1325"/>
      <c r="S54" s="1325"/>
      <c r="AL54" s="1325"/>
      <c r="AM54" s="1325"/>
      <c r="AN54" s="1325"/>
      <c r="AO54" s="1325"/>
      <c r="AP54" s="1325"/>
      <c r="AQ54" s="1325">
        <v>11</v>
      </c>
    </row>
    <row customHeight="1" ht="14.699999999999998">
      <c r="O55" s="707"/>
      <c r="S55" s="1423"/>
      <c r="T55" s="2455"/>
      <c r="U55" s="2455"/>
      <c r="V55" s="2455"/>
      <c r="W55" s="2455"/>
      <c r="X55" s="2455"/>
      <c r="Y55" s="2455"/>
      <c r="Z55" s="2455"/>
      <c r="AA55" s="2455"/>
      <c r="AB55" s="2455"/>
      <c r="AC55" s="2455"/>
      <c r="AD55" s="2455"/>
      <c r="AE55" s="2455"/>
      <c r="AF55" s="2455"/>
      <c r="AG55" s="2455"/>
      <c r="AH55" s="2455"/>
      <c r="AI55" s="2455"/>
      <c r="AJ55" s="2455"/>
      <c r="AK55" s="2455"/>
      <c r="AQ55" s="1325">
        <v>14</v>
      </c>
    </row>
    <row customHeight="1" ht="14.699999999999998">
      <c r="O56" s="707"/>
      <c r="AQ56" s="1325">
        <v>14</v>
      </c>
    </row>
    <row customHeight="1" ht="14.699999999999998">
      <c r="O57" s="707"/>
      <c r="S57" s="1423"/>
      <c r="T57" s="2455"/>
      <c r="U57" s="2455"/>
      <c r="V57" s="2455"/>
      <c r="W57" s="2455"/>
      <c r="X57" s="2455"/>
      <c r="Y57" s="2455"/>
      <c r="Z57" s="2455"/>
      <c r="AA57" s="2455"/>
      <c r="AB57" s="2455"/>
      <c r="AC57" s="2455"/>
      <c r="AD57" s="2455"/>
      <c r="AE57" s="2455"/>
      <c r="AF57" s="2455"/>
      <c r="AG57" s="2455"/>
      <c r="AH57" s="2455"/>
      <c r="AI57" s="2455"/>
      <c r="AJ57" s="2455"/>
      <c r="AK57" s="2455"/>
      <c r="AQ57" s="1325">
        <v>14</v>
      </c>
    </row>
    <row customHeight="1" ht="22.5" hidden="1">
      <c r="A58" s="1330" t="s">
        <v>85</v>
      </c>
      <c r="B58" s="1330">
        <v>0</v>
      </c>
      <c r="C58" s="1330">
        <v>0</v>
      </c>
      <c r="D58" s="1330">
        <v>0</v>
      </c>
      <c r="E58" s="1330">
        <v>0</v>
      </c>
      <c r="F58" s="1330">
        <v>0</v>
      </c>
      <c r="G58" s="1330">
        <v>0</v>
      </c>
      <c r="H58" s="1330">
        <v>0</v>
      </c>
      <c r="I58" s="1330">
        <v>0</v>
      </c>
      <c r="J58" s="1330">
        <v>0</v>
      </c>
      <c r="K58" s="1330">
        <v>0</v>
      </c>
      <c r="L58" s="1617">
        <v>0</v>
      </c>
      <c r="M58" s="1532">
        <v>0</v>
      </c>
      <c r="N58" s="1532">
        <v>0</v>
      </c>
      <c r="O58" s="1532">
        <v>0</v>
      </c>
      <c r="P58" s="1616">
        <v>3</v>
      </c>
      <c r="Q58" s="514">
        <v>3</v>
      </c>
      <c r="R58" s="514">
        <v>3</v>
      </c>
      <c r="S58" s="751">
        <v>12</v>
      </c>
      <c r="T58" s="1325">
        <v>35</v>
      </c>
      <c r="U58" s="1325">
        <v>0</v>
      </c>
      <c r="V58" s="1325">
        <v>0</v>
      </c>
      <c r="W58" s="1325">
        <v>0</v>
      </c>
      <c r="X58" s="1325">
        <v>0</v>
      </c>
      <c r="Y58" s="1325">
        <v>0</v>
      </c>
      <c r="Z58" s="1325">
        <v>0</v>
      </c>
      <c r="AA58" s="1325">
        <v>0</v>
      </c>
      <c r="AB58" s="1325">
        <v>0</v>
      </c>
      <c r="AC58" s="1325">
        <v>24</v>
      </c>
      <c r="AD58" s="1325">
        <v>24</v>
      </c>
      <c r="AE58" s="1325">
        <v>24</v>
      </c>
      <c r="AF58" s="1325">
        <v>11</v>
      </c>
      <c r="AG58" s="1325">
        <v>3</v>
      </c>
      <c r="AH58" s="1325">
        <v>11</v>
      </c>
      <c r="AI58" s="1325">
        <v>0</v>
      </c>
      <c r="AJ58" s="1325">
        <v>4</v>
      </c>
      <c r="AK58" s="1325">
        <v>115</v>
      </c>
      <c r="AL58" s="681">
        <v>10</v>
      </c>
      <c r="AM58" s="681">
        <v>10</v>
      </c>
      <c r="AN58" s="681">
        <v>10</v>
      </c>
      <c r="AO58" s="681">
        <v>10</v>
      </c>
      <c r="AP58" s="681">
        <v>10</v>
      </c>
      <c r="AQ58" s="132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DF78BD-BD46-74B9-E99C-88EA5387521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1913" width="10.140625" hidden="1" customWidth="1"/>
    <col min="4" max="4" style="11913" width="11.8515625" hidden="1" customWidth="1"/>
    <col min="5" max="11" style="11913" width="10.140625" hidden="1" customWidth="1"/>
    <col min="12" max="12" style="11990" width="10.140625" hidden="1" customWidth="1"/>
    <col min="13" max="15" style="13390" width="10.140625" hidden="1" customWidth="1"/>
    <col min="16" max="16" style="13389" width="3.00390625" customWidth="1"/>
    <col min="17" max="17" style="14302" width="3.00390625" customWidth="1"/>
    <col min="18" max="18" style="13391" width="3.00390625" customWidth="1"/>
    <col min="19" max="19" style="13392" width="12.00390625" customWidth="1"/>
    <col min="20" max="20" style="11913" width="31.00390625" customWidth="1"/>
    <col min="21" max="21" style="11913" width="0.140625" customWidth="1"/>
    <col min="22" max="23" style="11913" width="21.7109375" hidden="1" customWidth="1"/>
    <col min="24" max="24" style="11913" width="11.7109375" hidden="1" customWidth="1"/>
    <col min="25" max="25" style="11913" width="3.7109375" hidden="1" customWidth="1"/>
    <col min="26" max="26" style="11913" width="11.7109375" hidden="1" customWidth="1"/>
    <col min="27" max="27" style="11913" width="8.57421875" hidden="1" customWidth="1"/>
    <col min="28" max="28" style="11913" width="27.00390625" customWidth="1"/>
    <col min="29" max="29" style="11913" width="24.57421875" customWidth="1"/>
    <col min="30" max="31" style="11913" width="21.00390625" customWidth="1"/>
    <col min="32" max="32" style="11913" width="11.00390625" customWidth="1"/>
    <col min="33" max="33" style="11913" width="3.7109375" customWidth="1"/>
    <col min="34" max="34" style="11913" width="11.00390625" customWidth="1"/>
    <col min="35" max="35" style="11913" width="8.57421875" hidden="1" customWidth="1"/>
    <col min="36" max="36" style="11913" width="4.00390625" customWidth="1"/>
    <col min="37" max="37" style="11913" width="115.00390625" customWidth="1"/>
    <col min="38" max="42" style="11993" width="10.00390625" customWidth="1"/>
    <col min="43" max="43" style="11913" width="10.57421875" hidden="1"/>
  </cols>
  <sheetData>
    <row customHeight="1" ht="0.75" hidden="1">
      <c r="AQ1" s="1801" t="s">
        <v>14</v>
      </c>
    </row>
    <row customHeight="1" ht="21" hidden="1">
      <c r="A2" s="1437"/>
      <c r="B2" s="1437"/>
      <c r="C2" s="1437"/>
      <c r="D2" s="1437"/>
      <c r="E2" s="2459">
        <v>1</v>
      </c>
      <c r="F2" s="1437"/>
      <c r="G2" s="1437"/>
      <c r="H2" s="1437"/>
      <c r="I2" s="1437"/>
      <c r="J2" s="1437"/>
      <c r="K2" s="1437"/>
      <c r="L2" s="1480"/>
      <c r="M2" s="1780"/>
      <c r="N2" s="1780"/>
      <c r="O2" s="1780"/>
      <c r="P2" s="1579"/>
      <c r="Q2" s="1043"/>
      <c r="R2" s="525"/>
      <c r="S2" s="2128">
        <f>INDEX(PT_DIFFERENTIATION_NUM_NTAR,MATCH(A2,PT_DIFFERENTIATION_NTAR_ID,0))</f>
      </c>
      <c r="T2" s="1695" t="s">
        <v>126</v>
      </c>
      <c r="U2" s="470"/>
      <c r="V2" s="2413"/>
      <c r="W2" s="2413"/>
      <c r="X2" s="2413"/>
      <c r="Y2" s="2413"/>
      <c r="Z2" s="2413"/>
      <c r="AA2" s="2414"/>
      <c r="AB2" s="2122"/>
      <c r="AC2" s="2413">
        <f>INDEX(PT_DIFFERENTIATION_NTAR,MATCH(A2,PT_DIFFERENTIATION_NTAR_ID,0))</f>
      </c>
      <c r="AD2" s="2413"/>
      <c r="AE2" s="2413"/>
      <c r="AF2" s="2413"/>
      <c r="AG2" s="2413"/>
      <c r="AH2" s="2413"/>
      <c r="AI2" s="2413"/>
      <c r="AJ2" s="2414"/>
      <c r="AK2" s="1428" t="s">
        <v>408</v>
      </c>
      <c r="AM2" s="1794"/>
      <c r="AN2" s="1794" t="str">
        <f>IF(T2="","",T2)</f>
        <v>Наименование тарифа</v>
      </c>
      <c r="AO2" s="1794"/>
      <c r="AP2" s="1794"/>
      <c r="AQ2" s="1801">
        <v>0</v>
      </c>
    </row>
    <row customHeight="1" ht="21" hidden="1">
      <c r="A3" s="1437"/>
      <c r="B3" s="1437"/>
      <c r="C3" s="1437"/>
      <c r="D3" s="1437"/>
      <c r="E3" s="2460"/>
      <c r="F3" s="2459">
        <v>1</v>
      </c>
      <c r="G3" s="1437"/>
      <c r="H3" s="1437"/>
      <c r="I3" s="1437"/>
      <c r="J3" s="1437"/>
      <c r="K3" s="1437"/>
      <c r="L3" s="1480"/>
      <c r="M3" s="1780"/>
      <c r="N3" s="1780"/>
      <c r="O3" s="1780"/>
      <c r="P3" s="2139"/>
      <c r="Q3" s="1581"/>
      <c r="R3" s="523"/>
      <c r="S3" s="2128">
        <f>INDEX(PT_DIFFERENTIATION_NUM_TER,MATCH(B3,PT_DIFFERENTIATION_TER_ID,0))</f>
      </c>
      <c r="T3" s="1692" t="s">
        <v>409</v>
      </c>
      <c r="U3" s="470"/>
      <c r="V3" s="2413"/>
      <c r="W3" s="2413"/>
      <c r="X3" s="2413"/>
      <c r="Y3" s="2413"/>
      <c r="Z3" s="2413"/>
      <c r="AA3" s="2414"/>
      <c r="AB3" s="2122"/>
      <c r="AC3" s="2413">
        <f>INDEX(PT_DIFFERENTIATION_TER,MATCH(B3,PT_DIFFERENTIATION_TER_ID,0))</f>
      </c>
      <c r="AD3" s="2413"/>
      <c r="AE3" s="2413"/>
      <c r="AF3" s="2413"/>
      <c r="AG3" s="2413"/>
      <c r="AH3" s="2413"/>
      <c r="AI3" s="2413"/>
      <c r="AJ3" s="2414"/>
      <c r="AK3" s="1428" t="s">
        <v>410</v>
      </c>
      <c r="AM3" s="1794"/>
      <c r="AN3" s="1794" t="str">
        <f>IF(T3="","",T3)</f>
        <v>Территория действия тарифа</v>
      </c>
      <c r="AO3" s="1794"/>
      <c r="AP3" s="1794"/>
      <c r="AQ3" s="1801">
        <v>0</v>
      </c>
    </row>
    <row customHeight="1" ht="22.5" hidden="1">
      <c r="A4" s="1437"/>
      <c r="B4" s="1437"/>
      <c r="C4" s="1437"/>
      <c r="D4" s="1437"/>
      <c r="E4" s="2460"/>
      <c r="F4" s="2460"/>
      <c r="G4" s="2459">
        <v>1</v>
      </c>
      <c r="H4" s="1437"/>
      <c r="I4" s="1437"/>
      <c r="J4" s="1437"/>
      <c r="K4" s="1437"/>
      <c r="L4" s="1480"/>
      <c r="M4" s="1780"/>
      <c r="N4" s="1780"/>
      <c r="O4" s="1780"/>
      <c r="P4" s="1582"/>
      <c r="Q4" s="1581"/>
      <c r="R4" s="523"/>
      <c r="S4" s="2128">
        <f>INDEX(PT_DIFFERENTIATION_NUM_CS,MATCH(C4,PT_DIFFERENTIATION_CS_ID,0))</f>
      </c>
      <c r="T4" s="479" t="s">
        <v>411</v>
      </c>
      <c r="U4" s="470"/>
      <c r="V4" s="2413"/>
      <c r="W4" s="2413"/>
      <c r="X4" s="2413"/>
      <c r="Y4" s="2413"/>
      <c r="Z4" s="2413"/>
      <c r="AA4" s="2414"/>
      <c r="AB4" s="2122"/>
      <c r="AC4" s="2413">
        <f>INDEX(PT_DIFFERENTIATION_CS,MATCH(C4,PT_DIFFERENTIATION_CS_ID,0))</f>
      </c>
      <c r="AD4" s="2413"/>
      <c r="AE4" s="2413"/>
      <c r="AF4" s="2413"/>
      <c r="AG4" s="2413"/>
      <c r="AH4" s="2413"/>
      <c r="AI4" s="2413"/>
      <c r="AJ4" s="2414"/>
      <c r="AK4" s="1428" t="s">
        <v>412</v>
      </c>
      <c r="AM4" s="1794"/>
      <c r="AN4" s="1794" t="str">
        <f>IF(T4="","",T4)</f>
        <v>Наименование системы теплоснабжения </v>
      </c>
      <c r="AO4" s="1794"/>
      <c r="AP4" s="1794"/>
      <c r="AQ4" s="1801">
        <v>0</v>
      </c>
    </row>
    <row customHeight="1" ht="21" hidden="1">
      <c r="A5" s="1437"/>
      <c r="B5" s="1437"/>
      <c r="C5" s="1437"/>
      <c r="D5" s="1437"/>
      <c r="E5" s="2460"/>
      <c r="F5" s="2460"/>
      <c r="G5" s="2460"/>
      <c r="H5" s="2459">
        <v>1</v>
      </c>
      <c r="I5" s="1437"/>
      <c r="J5" s="1437"/>
      <c r="K5" s="1437"/>
      <c r="L5" s="1480"/>
      <c r="M5" s="1780"/>
      <c r="N5" s="1780"/>
      <c r="O5" s="1780"/>
      <c r="P5" s="1582"/>
      <c r="Q5" s="1581"/>
      <c r="R5" s="523"/>
      <c r="S5" s="2128">
        <f>INDEX(PT_DIFFERENTIATION_NUM_IST_TE,MATCH(D5,PT_DIFFERENTIATION_IST_TE_ID,0))</f>
      </c>
      <c r="T5" s="480" t="s">
        <v>413</v>
      </c>
      <c r="U5" s="470"/>
      <c r="V5" s="2413"/>
      <c r="W5" s="2413"/>
      <c r="X5" s="2413"/>
      <c r="Y5" s="2413"/>
      <c r="Z5" s="2413"/>
      <c r="AA5" s="2414"/>
      <c r="AB5" s="2122"/>
      <c r="AC5" s="2413">
        <f>INDEX(PT_DIFFERENTIATION_IST_TE,MATCH(D5,PT_DIFFERENTIATION_IST_TE_ID,0))</f>
      </c>
      <c r="AD5" s="2413"/>
      <c r="AE5" s="2413"/>
      <c r="AF5" s="2413"/>
      <c r="AG5" s="2413"/>
      <c r="AH5" s="2413"/>
      <c r="AI5" s="2413"/>
      <c r="AJ5" s="2414"/>
      <c r="AK5" s="1428" t="s">
        <v>414</v>
      </c>
      <c r="AM5" s="1794"/>
      <c r="AN5" s="1794" t="str">
        <f>IF(T5="","",T5)</f>
        <v>Источник тепловой энергии  </v>
      </c>
      <c r="AO5" s="1794"/>
      <c r="AP5" s="1794"/>
      <c r="AQ5" s="1801">
        <v>0</v>
      </c>
    </row>
    <row s="11993" customFormat="1" customHeight="1" ht="0.75" hidden="1">
      <c r="A6" s="1545"/>
      <c r="B6" s="1545"/>
      <c r="C6" s="1545"/>
      <c r="D6" s="1545"/>
      <c r="E6" s="2460"/>
      <c r="F6" s="2460"/>
      <c r="G6" s="2460"/>
      <c r="H6" s="2460"/>
      <c r="I6" s="2297">
        <f>S5&amp;".1"</f>
      </c>
      <c r="J6" s="1545"/>
      <c r="K6" s="1545"/>
      <c r="L6" s="1551" t="s">
        <v>415</v>
      </c>
      <c r="M6" s="1416"/>
      <c r="N6" s="1416"/>
      <c r="O6" s="1416"/>
      <c r="P6" s="2427">
        <v>1</v>
      </c>
      <c r="Q6" s="2124"/>
      <c r="R6" s="526"/>
      <c r="S6" s="1212"/>
      <c r="T6" s="1553"/>
      <c r="U6" s="1554"/>
      <c r="V6" s="2467"/>
      <c r="W6" s="2467"/>
      <c r="X6" s="2467"/>
      <c r="Y6" s="2467"/>
      <c r="Z6" s="2467"/>
      <c r="AA6" s="2468"/>
      <c r="AB6" s="2130"/>
      <c r="AC6" s="2467"/>
      <c r="AD6" s="2467"/>
      <c r="AE6" s="2467"/>
      <c r="AF6" s="2467"/>
      <c r="AG6" s="2467"/>
      <c r="AH6" s="2467"/>
      <c r="AI6" s="2467"/>
      <c r="AJ6" s="2468"/>
      <c r="AK6" s="1555"/>
      <c r="AM6" s="1794"/>
      <c r="AN6" s="1794" t="str">
        <f>IF(T6="","",T6)</f>
        <v/>
      </c>
      <c r="AO6" s="1794"/>
      <c r="AP6" s="1794"/>
      <c r="AQ6" s="1806">
        <v>0</v>
      </c>
    </row>
    <row s="11993" customFormat="1" customHeight="1" ht="0.75" hidden="1">
      <c r="A7" s="1545"/>
      <c r="B7" s="1545"/>
      <c r="C7" s="1545"/>
      <c r="D7" s="1545"/>
      <c r="E7" s="2460"/>
      <c r="F7" s="2460"/>
      <c r="G7" s="2460"/>
      <c r="H7" s="2460"/>
      <c r="I7" s="2271"/>
      <c r="J7" s="2297">
        <f>S5&amp;".1"</f>
      </c>
      <c r="K7" s="1545"/>
      <c r="L7" s="1551"/>
      <c r="M7" s="1416"/>
      <c r="N7" s="1416"/>
      <c r="O7" s="1416"/>
      <c r="P7" s="2427"/>
      <c r="Q7" s="2427">
        <v>1</v>
      </c>
      <c r="R7" s="527"/>
      <c r="S7" s="1212"/>
      <c r="T7" s="1569"/>
      <c r="U7" s="1554"/>
      <c r="V7" s="2467"/>
      <c r="W7" s="2467"/>
      <c r="X7" s="2467"/>
      <c r="Y7" s="2467"/>
      <c r="Z7" s="2467"/>
      <c r="AA7" s="2468"/>
      <c r="AB7" s="2130"/>
      <c r="AC7" s="2467"/>
      <c r="AD7" s="2467"/>
      <c r="AE7" s="2467"/>
      <c r="AF7" s="2467"/>
      <c r="AG7" s="2467"/>
      <c r="AH7" s="2467"/>
      <c r="AI7" s="2467"/>
      <c r="AJ7" s="2468"/>
      <c r="AK7" s="1555"/>
      <c r="AM7" s="1794"/>
      <c r="AN7" s="1794" t="str">
        <f>IF(T7="","",T7)</f>
        <v/>
      </c>
      <c r="AO7" s="1794"/>
      <c r="AP7" s="1794"/>
      <c r="AQ7" s="1806">
        <v>0</v>
      </c>
    </row>
    <row customHeight="1" ht="21" hidden="1">
      <c r="A8" s="1437"/>
      <c r="B8" s="1437"/>
      <c r="C8" s="1437"/>
      <c r="D8" s="1437"/>
      <c r="E8" s="2460"/>
      <c r="F8" s="2460"/>
      <c r="G8" s="2460"/>
      <c r="H8" s="2460"/>
      <c r="I8" s="2271"/>
      <c r="J8" s="2271"/>
      <c r="K8" s="2161">
        <f>S5&amp;".1"</f>
      </c>
      <c r="L8" s="1480"/>
      <c r="P8" s="2427"/>
      <c r="Q8" s="2427"/>
      <c r="R8" s="2165">
        <v>1</v>
      </c>
      <c r="S8" s="2163">
        <f>$K8</f>
      </c>
      <c r="T8" s="2164"/>
      <c r="U8" s="470"/>
      <c r="V8" s="921"/>
      <c r="W8" s="1427"/>
      <c r="X8" s="2162"/>
      <c r="Y8" s="2160" t="s">
        <v>64</v>
      </c>
      <c r="Z8" s="2162"/>
      <c r="AA8" s="2160" t="s">
        <v>64</v>
      </c>
      <c r="AB8" s="2166"/>
      <c r="AC8" s="2167" t="s">
        <v>28</v>
      </c>
      <c r="AD8" s="921"/>
      <c r="AE8" s="1427"/>
      <c r="AF8" s="2125"/>
      <c r="AG8" s="2112" t="s">
        <v>64</v>
      </c>
      <c r="AH8" s="2125"/>
      <c r="AI8" s="2112" t="s">
        <v>64</v>
      </c>
      <c r="AJ8" s="1518"/>
      <c r="AK8" s="2423" t="s">
        <v>477</v>
      </c>
      <c r="AL8" s="1806">
        <f>STRCHECKDATE(#REF!)</f>
      </c>
      <c r="AM8" s="1794"/>
      <c r="AN8" s="1794" t="str">
        <f>IF(T8="","",T8)</f>
        <v/>
      </c>
      <c r="AO8" s="1794"/>
      <c r="AP8" s="1794"/>
      <c r="AQ8" s="1801">
        <v>0</v>
      </c>
    </row>
    <row customHeight="1" ht="11.25" hidden="1">
      <c r="A9" s="1437"/>
      <c r="B9" s="1437"/>
      <c r="C9" s="1437"/>
      <c r="D9" s="1437"/>
      <c r="E9" s="2460"/>
      <c r="F9" s="2460"/>
      <c r="G9" s="2460"/>
      <c r="H9" s="2460"/>
      <c r="I9" s="2271"/>
      <c r="J9" s="2297"/>
      <c r="K9" s="1437"/>
      <c r="L9" s="1480"/>
      <c r="P9" s="2427"/>
      <c r="Q9" s="2427"/>
      <c r="R9" s="526"/>
      <c r="S9" s="1448"/>
      <c r="T9" s="457" t="s">
        <v>481</v>
      </c>
      <c r="U9" s="770"/>
      <c r="V9" s="770"/>
      <c r="W9" s="770"/>
      <c r="X9" s="770"/>
      <c r="Y9" s="770"/>
      <c r="Z9" s="770"/>
      <c r="AA9" s="770"/>
      <c r="AB9" s="770"/>
      <c r="AC9" s="770"/>
      <c r="AD9" s="770"/>
      <c r="AE9" s="770"/>
      <c r="AF9" s="770"/>
      <c r="AG9" s="770"/>
      <c r="AH9" s="770"/>
      <c r="AI9" s="770"/>
      <c r="AJ9" s="494"/>
      <c r="AK9" s="2425"/>
      <c r="AM9" s="1794"/>
      <c r="AN9" s="1794" t="str">
        <f>IF(T9="","",T9)</f>
        <v>Добавить строку</v>
      </c>
      <c r="AO9" s="1794"/>
      <c r="AP9" s="1794"/>
      <c r="AQ9" s="1801">
        <v>0</v>
      </c>
    </row>
    <row s="11993" customFormat="1" customHeight="1" ht="0.75" hidden="1">
      <c r="A10" s="1545"/>
      <c r="B10" s="1545"/>
      <c r="C10" s="1545"/>
      <c r="D10" s="1545"/>
      <c r="E10" s="2460"/>
      <c r="F10" s="2460"/>
      <c r="G10" s="2460"/>
      <c r="H10" s="2460"/>
      <c r="I10" s="2297"/>
      <c r="J10" s="1545"/>
      <c r="K10" s="1545"/>
      <c r="L10" s="1551"/>
      <c r="M10" s="1416"/>
      <c r="N10" s="1416"/>
      <c r="O10" s="1416"/>
      <c r="P10" s="2427"/>
      <c r="Q10" s="2124"/>
      <c r="R10" s="526"/>
      <c r="S10" s="1556"/>
      <c r="T10" s="1557"/>
      <c r="U10" s="1558"/>
      <c r="V10" s="1558"/>
      <c r="W10" s="1558"/>
      <c r="X10" s="1558"/>
      <c r="Y10" s="1558"/>
      <c r="Z10" s="1558"/>
      <c r="AA10" s="1558"/>
      <c r="AB10" s="1558"/>
      <c r="AC10" s="1558"/>
      <c r="AD10" s="1558"/>
      <c r="AE10" s="1558"/>
      <c r="AF10" s="1558"/>
      <c r="AG10" s="1558"/>
      <c r="AH10" s="1558"/>
      <c r="AI10" s="1558"/>
      <c r="AJ10" s="1558"/>
      <c r="AK10" s="1559"/>
      <c r="AM10" s="1794"/>
      <c r="AN10" s="1794" t="str">
        <f>IF(T10="","",T10)</f>
        <v/>
      </c>
      <c r="AO10" s="1794"/>
      <c r="AP10" s="1794"/>
      <c r="AQ10" s="1806">
        <v>0</v>
      </c>
    </row>
    <row s="11993" customFormat="1" customHeight="1" ht="0.75" hidden="1">
      <c r="A11" s="1545"/>
      <c r="B11" s="1545"/>
      <c r="C11" s="1545"/>
      <c r="D11" s="1545"/>
      <c r="E11" s="2460"/>
      <c r="F11" s="2460"/>
      <c r="G11" s="2460"/>
      <c r="H11" s="2459"/>
      <c r="I11" s="1545"/>
      <c r="J11" s="1545"/>
      <c r="K11" s="1545"/>
      <c r="L11" s="1551"/>
      <c r="M11" s="1548"/>
      <c r="N11" s="1548"/>
      <c r="O11" s="521"/>
      <c r="P11" s="550"/>
      <c r="Q11" s="1514"/>
      <c r="R11" s="1571"/>
      <c r="S11" s="1556"/>
      <c r="T11" s="1557"/>
      <c r="U11" s="1558"/>
      <c r="V11" s="1558"/>
      <c r="W11" s="1558"/>
      <c r="X11" s="1558"/>
      <c r="Y11" s="1558"/>
      <c r="Z11" s="1558"/>
      <c r="AA11" s="1558"/>
      <c r="AB11" s="1558"/>
      <c r="AC11" s="1558"/>
      <c r="AD11" s="1558"/>
      <c r="AE11" s="1558"/>
      <c r="AF11" s="1558"/>
      <c r="AG11" s="1558"/>
      <c r="AH11" s="1558"/>
      <c r="AI11" s="1558"/>
      <c r="AJ11" s="1558"/>
      <c r="AK11" s="1559"/>
      <c r="AM11" s="1794"/>
      <c r="AN11" s="1794" t="str">
        <f>IF(T11="","",T11)</f>
        <v/>
      </c>
      <c r="AO11" s="1794"/>
      <c r="AP11" s="1794"/>
      <c r="AQ11" s="1806">
        <v>0</v>
      </c>
    </row>
    <row s="11993" customFormat="1" customHeight="1" ht="0.75" hidden="1">
      <c r="A12" s="1545"/>
      <c r="B12" s="1545"/>
      <c r="C12" s="1545"/>
      <c r="D12" s="1544"/>
      <c r="E12" s="2460"/>
      <c r="F12" s="2460"/>
      <c r="G12" s="2459"/>
      <c r="H12" s="1544"/>
      <c r="I12" s="1544"/>
      <c r="J12" s="1544"/>
      <c r="K12" s="1544"/>
      <c r="L12" s="1547"/>
      <c r="M12" s="1548"/>
      <c r="N12" s="1548"/>
      <c r="O12" s="521"/>
      <c r="P12" s="1486"/>
      <c r="Q12" s="1487"/>
      <c r="R12" s="1486"/>
      <c r="S12" s="1492"/>
      <c r="T12" s="1495" t="s">
        <v>165</v>
      </c>
      <c r="U12" s="1494"/>
      <c r="V12" s="1494"/>
      <c r="W12" s="1494"/>
      <c r="X12" s="1494"/>
      <c r="Y12" s="1494"/>
      <c r="Z12" s="1494"/>
      <c r="AA12" s="1494"/>
      <c r="AB12" s="1494"/>
      <c r="AC12" s="1494"/>
      <c r="AD12" s="1494"/>
      <c r="AE12" s="1494"/>
      <c r="AF12" s="1494"/>
      <c r="AG12" s="1494"/>
      <c r="AH12" s="1494"/>
      <c r="AI12" s="1494"/>
      <c r="AJ12" s="1494"/>
      <c r="AK12" s="1494"/>
      <c r="AM12" s="1421"/>
      <c r="AN12" s="1421" t="str">
        <f>IF(T12="","",T12)</f>
        <v>Добавить источник для дифференциации</v>
      </c>
      <c r="AO12" s="1421"/>
      <c r="AP12" s="1421"/>
      <c r="AQ12" s="1812">
        <v>0</v>
      </c>
    </row>
    <row s="11993" customFormat="1" customHeight="1" ht="0.75" hidden="1">
      <c r="A13" s="1545"/>
      <c r="B13" s="1545"/>
      <c r="C13" s="1544"/>
      <c r="D13" s="1544"/>
      <c r="E13" s="2460"/>
      <c r="F13" s="2459"/>
      <c r="G13" s="1544"/>
      <c r="H13" s="1544"/>
      <c r="I13" s="1544"/>
      <c r="J13" s="1544"/>
      <c r="K13" s="1544"/>
      <c r="L13" s="1547"/>
      <c r="M13" s="1549"/>
      <c r="N13" s="1549"/>
      <c r="O13" s="521"/>
      <c r="P13" s="1486"/>
      <c r="Q13" s="1487"/>
      <c r="R13" s="1486"/>
      <c r="S13" s="1492"/>
      <c r="T13" s="1495" t="s">
        <v>166</v>
      </c>
      <c r="U13" s="1494"/>
      <c r="V13" s="1494"/>
      <c r="W13" s="1494"/>
      <c r="X13" s="1494"/>
      <c r="Y13" s="1494"/>
      <c r="Z13" s="1494"/>
      <c r="AA13" s="1494"/>
      <c r="AB13" s="1494"/>
      <c r="AC13" s="1494"/>
      <c r="AD13" s="1494"/>
      <c r="AE13" s="1494"/>
      <c r="AF13" s="1494"/>
      <c r="AG13" s="1494"/>
      <c r="AH13" s="1494"/>
      <c r="AI13" s="1494"/>
      <c r="AJ13" s="1494"/>
      <c r="AK13" s="1494"/>
      <c r="AM13" s="1421"/>
      <c r="AN13" s="1421" t="str">
        <f>IF(T13="","",T13)</f>
        <v>Добавить централизованную систему для дифференциации</v>
      </c>
      <c r="AO13" s="1421"/>
      <c r="AP13" s="1421"/>
      <c r="AQ13" s="1812">
        <v>0</v>
      </c>
    </row>
    <row s="11993" customFormat="1" customHeight="1" ht="0.75" hidden="1">
      <c r="A14" s="1545"/>
      <c r="B14" s="1545"/>
      <c r="C14" s="1545"/>
      <c r="D14" s="1545"/>
      <c r="E14" s="2459"/>
      <c r="F14" s="1545"/>
      <c r="G14" s="1545"/>
      <c r="H14" s="1545"/>
      <c r="I14" s="1545"/>
      <c r="J14" s="1545"/>
      <c r="K14" s="1545"/>
      <c r="L14" s="1551"/>
      <c r="M14" s="1549"/>
      <c r="N14" s="1549"/>
      <c r="O14" s="521"/>
      <c r="P14" s="550"/>
      <c r="Q14" s="1514"/>
      <c r="R14" s="550"/>
      <c r="S14" s="1492"/>
      <c r="T14" s="1495" t="s">
        <v>167</v>
      </c>
      <c r="U14" s="1494"/>
      <c r="V14" s="1494"/>
      <c r="W14" s="1494"/>
      <c r="X14" s="1494"/>
      <c r="Y14" s="1494"/>
      <c r="Z14" s="1494"/>
      <c r="AA14" s="1494"/>
      <c r="AB14" s="1494"/>
      <c r="AC14" s="1494"/>
      <c r="AD14" s="1494"/>
      <c r="AE14" s="1494"/>
      <c r="AF14" s="1494"/>
      <c r="AG14" s="1494"/>
      <c r="AH14" s="1494"/>
      <c r="AI14" s="1494"/>
      <c r="AJ14" s="1494"/>
      <c r="AK14" s="1494"/>
      <c r="AM14" s="1794"/>
      <c r="AN14" s="1794" t="str">
        <f>IF(T14="","",T14)</f>
        <v>Добавить территорию для дифференциации</v>
      </c>
      <c r="AO14" s="1794"/>
      <c r="AP14" s="1794"/>
      <c r="AQ14" s="1806">
        <v>0</v>
      </c>
    </row>
    <row customHeight="1" ht="14.25" hidden="1">
      <c r="AQ15" s="1801">
        <v>0</v>
      </c>
    </row>
    <row customHeight="1" ht="14.25" hidden="1">
      <c r="AC16" s="1672"/>
      <c r="AD16" s="1573"/>
      <c r="AE16" s="1574"/>
      <c r="AF16" s="1906"/>
      <c r="AG16" s="2136" t="s">
        <v>64</v>
      </c>
      <c r="AH16" s="1906"/>
      <c r="AI16" s="2136" t="s">
        <v>64</v>
      </c>
      <c r="AQ16" s="1801">
        <v>0</v>
      </c>
    </row>
    <row customHeight="1" ht="14.25" hidden="1">
      <c r="AL17" s="1811"/>
      <c r="AM17" s="1811"/>
      <c r="AN17" s="1811"/>
      <c r="AO17" s="1811"/>
      <c r="AP17" s="1811"/>
      <c r="AQ17" s="1801">
        <v>0</v>
      </c>
    </row>
    <row customHeight="1" ht="14.25" hidden="1">
      <c r="O18" s="1515" t="s">
        <v>426</v>
      </c>
      <c r="X18" s="1515"/>
      <c r="Z18" s="1515"/>
      <c r="AF18" s="1515"/>
      <c r="AH18" s="1515"/>
      <c r="AL18" s="1811"/>
      <c r="AM18" s="1811"/>
      <c r="AN18" s="1811"/>
      <c r="AO18" s="1811"/>
      <c r="AP18" s="1811"/>
      <c r="AQ18" s="1801">
        <v>0</v>
      </c>
    </row>
    <row customHeight="1" ht="14.25" hidden="1">
      <c r="AL19" s="1811"/>
      <c r="AM19" s="1811"/>
      <c r="AN19" s="1811"/>
      <c r="AO19" s="1811"/>
      <c r="AP19" s="1811"/>
      <c r="AQ19" s="1801">
        <v>0</v>
      </c>
    </row>
    <row s="14271" customFormat="1" customHeight="1" ht="14.25" hidden="1">
      <c r="A20" s="2141"/>
      <c r="B20" s="2141"/>
      <c r="C20" s="2141"/>
      <c r="D20" s="2141"/>
      <c r="E20" s="2141"/>
      <c r="F20" s="2141"/>
      <c r="G20" s="2141"/>
      <c r="H20" s="2141"/>
      <c r="I20" s="2141"/>
      <c r="J20" s="2141"/>
      <c r="K20" s="2141"/>
      <c r="L20" s="2141"/>
      <c r="M20" s="2142"/>
      <c r="N20" s="2142"/>
      <c r="O20" s="2143" t="s">
        <v>427</v>
      </c>
      <c r="P20" s="1678"/>
      <c r="Q20" s="1680"/>
      <c r="R20" s="1680"/>
      <c r="Y20" s="1677" t="s">
        <v>429</v>
      </c>
      <c r="AA20" s="1677" t="s">
        <v>430</v>
      </c>
      <c r="AC20" s="1677" t="s">
        <v>483</v>
      </c>
      <c r="AG20" s="1677" t="s">
        <v>429</v>
      </c>
      <c r="AI20" s="1677" t="s">
        <v>430</v>
      </c>
      <c r="AL20" s="1681"/>
      <c r="AM20" s="1681"/>
      <c r="AN20" s="1681"/>
      <c r="AO20" s="1681"/>
      <c r="AP20" s="1681"/>
      <c r="AQ20" s="1677">
        <v>0</v>
      </c>
    </row>
    <row customHeight="1" ht="14.25" hidden="1">
      <c r="O21" s="1480"/>
      <c r="AL21" s="1811"/>
      <c r="AM21" s="1811"/>
      <c r="AN21" s="1811"/>
      <c r="AO21" s="1811"/>
      <c r="AP21" s="1811"/>
      <c r="AQ21" s="1801">
        <v>0</v>
      </c>
    </row>
    <row customHeight="1" ht="14.25" hidden="1">
      <c r="O22" s="1480"/>
      <c r="AL22" s="1811"/>
      <c r="AM22" s="1811"/>
      <c r="AN22" s="1811"/>
      <c r="AO22" s="1811"/>
      <c r="AP22" s="1811"/>
      <c r="AQ22" s="1801">
        <v>0</v>
      </c>
    </row>
    <row customHeight="1" ht="14.699999999999998">
      <c r="Q23" s="461"/>
      <c r="R23" s="546"/>
      <c r="S23" s="1445"/>
      <c r="T23" s="627"/>
      <c r="U23" s="627"/>
      <c r="V23" s="1805"/>
      <c r="W23" s="1805"/>
      <c r="X23" s="1805"/>
      <c r="Y23" s="1805"/>
      <c r="Z23" s="1805"/>
      <c r="AA23" s="1805"/>
      <c r="AB23" s="1805"/>
      <c r="AC23" s="1805"/>
      <c r="AD23" s="1805"/>
      <c r="AE23" s="1805"/>
      <c r="AF23" s="1805"/>
      <c r="AG23" s="1805"/>
      <c r="AH23" s="1805"/>
      <c r="AI23" s="1805"/>
      <c r="AQ23" s="1801">
        <v>14</v>
      </c>
    </row>
    <row customHeight="1" ht="39.75">
      <c r="Q24" s="461"/>
      <c r="R24" s="546"/>
      <c r="S24" s="2418"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418"/>
      <c r="U24" s="2418"/>
      <c r="V24" s="2418"/>
      <c r="W24" s="2418"/>
      <c r="X24" s="2418"/>
      <c r="Y24" s="2418"/>
      <c r="Z24" s="2418"/>
      <c r="AA24" s="2418"/>
      <c r="AB24" s="2418"/>
      <c r="AC24" s="2418"/>
      <c r="AD24" s="2418"/>
      <c r="AE24" s="2418"/>
      <c r="AF24" s="2418"/>
      <c r="AG24" s="2418"/>
      <c r="AH24" s="2418"/>
      <c r="AI24" s="1413"/>
      <c r="AQ24" s="1801">
        <v>38</v>
      </c>
    </row>
    <row customHeight="1" ht="14.699999999999998">
      <c r="Q25" s="461"/>
      <c r="R25" s="546"/>
      <c r="S25" s="2419" t="str">
        <f>IF(org=0,"Не определено",org)</f>
        <v>Филиал "Шатурская ГРЭС" ПАО "Юнипро"</v>
      </c>
      <c r="T25" s="2419"/>
      <c r="U25" s="2419"/>
      <c r="V25" s="2419"/>
      <c r="W25" s="2419"/>
      <c r="X25" s="2419"/>
      <c r="Y25" s="2419"/>
      <c r="Z25" s="2419"/>
      <c r="AA25" s="2419"/>
      <c r="AB25" s="2419"/>
      <c r="AC25" s="2419"/>
      <c r="AD25" s="2419"/>
      <c r="AE25" s="2419"/>
      <c r="AF25" s="2419"/>
      <c r="AG25" s="2419"/>
      <c r="AH25" s="2419"/>
      <c r="AI25" s="1413"/>
      <c r="AQ25" s="1801">
        <v>14</v>
      </c>
    </row>
    <row customHeight="1" ht="14.25" hidden="1">
      <c r="Q26" s="461"/>
      <c r="R26" s="546"/>
      <c r="S26" s="1445"/>
      <c r="T26" s="627"/>
      <c r="U26" s="627"/>
      <c r="V26" s="492"/>
      <c r="W26" s="492"/>
      <c r="X26" s="492"/>
      <c r="Y26" s="492"/>
      <c r="Z26" s="492"/>
      <c r="AA26" s="492"/>
      <c r="AB26" s="492"/>
      <c r="AC26" s="492"/>
      <c r="AD26" s="492"/>
      <c r="AE26" s="492"/>
      <c r="AF26" s="492"/>
      <c r="AG26" s="492"/>
      <c r="AH26" s="492"/>
      <c r="AI26" s="492"/>
      <c r="AJ26" s="1805"/>
      <c r="AQ26" s="1801">
        <v>0</v>
      </c>
    </row>
    <row s="12119" customFormat="1" customHeight="1" ht="25.5" hidden="1">
      <c r="A27" s="1418"/>
      <c r="B27" s="1418"/>
      <c r="C27" s="1418"/>
      <c r="D27" s="1418"/>
      <c r="E27" s="1418"/>
      <c r="F27" s="1418"/>
      <c r="G27" s="1418"/>
      <c r="H27" s="1418"/>
      <c r="I27" s="1418"/>
      <c r="J27" s="1418"/>
      <c r="K27" s="1418"/>
      <c r="L27" s="1550"/>
      <c r="M27" s="1418"/>
      <c r="N27" s="1418"/>
      <c r="O27" s="1418"/>
      <c r="P27" s="1538"/>
      <c r="Q27" s="1538"/>
      <c r="S27" s="2420" t="s">
        <v>42</v>
      </c>
      <c r="T27" s="2420"/>
      <c r="U27" s="1542"/>
      <c r="V27" s="2421" t="str">
        <f>IF(TITLE_NAME_OR_PR_CHANGE="",IF(TITLE_NAME_OR_PR="","",TITLE_NAME_OR_PR),TITLE_NAME_OR_PR_CHANGE)</f>
        <v>Комитет по ценам и тарифам Московской области</v>
      </c>
      <c r="W27" s="2421"/>
      <c r="X27" s="2421"/>
      <c r="Y27" s="2421"/>
      <c r="Z27" s="2421"/>
      <c r="AA27" s="1805"/>
      <c r="AB27" s="1805"/>
      <c r="AC27" s="2421"/>
      <c r="AD27" s="2421"/>
      <c r="AE27" s="2421"/>
      <c r="AF27" s="2421"/>
      <c r="AG27" s="2421"/>
      <c r="AH27" s="2421"/>
      <c r="AI27" s="1805"/>
      <c r="AJ27" s="1805"/>
      <c r="AK27" s="450"/>
      <c r="AL27" s="538"/>
      <c r="AM27" s="538"/>
      <c r="AN27" s="538"/>
      <c r="AO27" s="538"/>
      <c r="AP27" s="538"/>
      <c r="AQ27" s="588">
        <v>0</v>
      </c>
    </row>
    <row s="12119" customFormat="1" customHeight="1" ht="18.75" hidden="1">
      <c r="A28" s="1418"/>
      <c r="B28" s="1418"/>
      <c r="C28" s="1418"/>
      <c r="D28" s="1418"/>
      <c r="E28" s="1418"/>
      <c r="F28" s="1418"/>
      <c r="G28" s="1418"/>
      <c r="H28" s="1418"/>
      <c r="I28" s="1418"/>
      <c r="J28" s="1418"/>
      <c r="K28" s="1418"/>
      <c r="L28" s="1550"/>
      <c r="M28" s="1418"/>
      <c r="N28" s="1418"/>
      <c r="O28" s="1418"/>
      <c r="P28" s="1538"/>
      <c r="Q28" s="1538"/>
      <c r="S28" s="2420" t="s">
        <v>432</v>
      </c>
      <c r="T28" s="2420"/>
      <c r="U28" s="1542"/>
      <c r="V28" s="2434" t="str">
        <f>IF(TITLE_DATE_PR_CHANGE="",IF(TITLE_DATE_PR="","",TITLE_DATE_PR),TITLE_DATE_PR_CHANGE)</f>
        <v>45646.459814814814</v>
      </c>
      <c r="W28" s="2434"/>
      <c r="X28" s="2434"/>
      <c r="Y28" s="2434"/>
      <c r="Z28" s="2434"/>
      <c r="AA28" s="1805"/>
      <c r="AB28" s="1805"/>
      <c r="AC28" s="2434"/>
      <c r="AD28" s="2434"/>
      <c r="AE28" s="2434"/>
      <c r="AF28" s="2434"/>
      <c r="AG28" s="2434"/>
      <c r="AH28" s="2434"/>
      <c r="AI28" s="1805"/>
      <c r="AJ28" s="1805"/>
      <c r="AK28" s="450"/>
      <c r="AL28" s="538"/>
      <c r="AM28" s="538"/>
      <c r="AN28" s="538"/>
      <c r="AO28" s="538"/>
      <c r="AP28" s="538"/>
      <c r="AQ28" s="588">
        <v>0</v>
      </c>
    </row>
    <row s="12119" customFormat="1" customHeight="1" ht="18.75" hidden="1">
      <c r="A29" s="1418"/>
      <c r="B29" s="1418"/>
      <c r="C29" s="1418"/>
      <c r="D29" s="1418"/>
      <c r="E29" s="1418"/>
      <c r="F29" s="1418"/>
      <c r="G29" s="1418"/>
      <c r="H29" s="1418"/>
      <c r="I29" s="1418"/>
      <c r="J29" s="1418"/>
      <c r="K29" s="1418"/>
      <c r="L29" s="1550"/>
      <c r="M29" s="1418"/>
      <c r="N29" s="1418"/>
      <c r="O29" s="1418"/>
      <c r="P29" s="1538"/>
      <c r="Q29" s="1538"/>
      <c r="S29" s="2420" t="s">
        <v>433</v>
      </c>
      <c r="T29" s="2420"/>
      <c r="U29" s="1542"/>
      <c r="V29" s="2421" t="str">
        <f>IF(TITLE_NUMBER_PR_CHANGE="",IF(TITLE_NUMBER_PR="","",TITLE_NUMBER_PR),TITLE_NUMBER_PR_CHANGE)</f>
        <v>329-Р</v>
      </c>
      <c r="W29" s="2421"/>
      <c r="X29" s="2421"/>
      <c r="Y29" s="2421"/>
      <c r="Z29" s="2421"/>
      <c r="AA29" s="1805"/>
      <c r="AB29" s="1805"/>
      <c r="AC29" s="2421"/>
      <c r="AD29" s="2421"/>
      <c r="AE29" s="2421"/>
      <c r="AF29" s="2421"/>
      <c r="AG29" s="2421"/>
      <c r="AH29" s="2421"/>
      <c r="AI29" s="1805"/>
      <c r="AJ29" s="1805"/>
      <c r="AK29" s="450"/>
      <c r="AL29" s="538"/>
      <c r="AM29" s="538"/>
      <c r="AN29" s="538"/>
      <c r="AO29" s="538"/>
      <c r="AP29" s="538"/>
      <c r="AQ29" s="588">
        <v>0</v>
      </c>
    </row>
    <row s="12119" customFormat="1" customHeight="1" ht="18.75" hidden="1">
      <c r="A30" s="1418"/>
      <c r="B30" s="1418"/>
      <c r="C30" s="1418"/>
      <c r="D30" s="1418"/>
      <c r="E30" s="1418"/>
      <c r="F30" s="1418"/>
      <c r="G30" s="1418"/>
      <c r="H30" s="1418"/>
      <c r="I30" s="1418"/>
      <c r="J30" s="1418"/>
      <c r="K30" s="1418"/>
      <c r="L30" s="1550"/>
      <c r="M30" s="1418"/>
      <c r="N30" s="1418"/>
      <c r="O30" s="1418"/>
      <c r="P30" s="1538"/>
      <c r="Q30" s="1538"/>
      <c r="S30" s="2420" t="s">
        <v>44</v>
      </c>
      <c r="T30" s="2420"/>
      <c r="U30" s="1542"/>
      <c r="V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421"/>
      <c r="X30" s="2421"/>
      <c r="Y30" s="2421"/>
      <c r="Z30" s="2421"/>
      <c r="AA30" s="1805"/>
      <c r="AB30" s="1805"/>
      <c r="AC30" s="2421"/>
      <c r="AD30" s="2421"/>
      <c r="AE30" s="2421"/>
      <c r="AF30" s="2421"/>
      <c r="AG30" s="2421"/>
      <c r="AH30" s="2421"/>
      <c r="AI30" s="1805"/>
      <c r="AJ30" s="1805"/>
      <c r="AK30" s="450"/>
      <c r="AL30" s="538"/>
      <c r="AM30" s="538"/>
      <c r="AN30" s="538"/>
      <c r="AO30" s="538"/>
      <c r="AP30" s="538"/>
      <c r="AQ30" s="588">
        <v>0</v>
      </c>
    </row>
    <row customHeight="1" ht="14.25" hidden="1">
      <c r="Q31" s="461"/>
      <c r="R31" s="546"/>
      <c r="S31" s="1445"/>
      <c r="T31" s="627"/>
      <c r="U31" s="627"/>
      <c r="V31" s="492"/>
      <c r="W31" s="492"/>
      <c r="X31" s="492"/>
      <c r="Y31" s="492"/>
      <c r="Z31" s="492"/>
      <c r="AA31" s="492"/>
      <c r="AB31" s="492"/>
      <c r="AC31" s="492"/>
      <c r="AD31" s="492"/>
      <c r="AE31" s="492"/>
      <c r="AF31" s="492"/>
      <c r="AG31" s="492"/>
      <c r="AH31" s="492"/>
      <c r="AI31" s="492"/>
      <c r="AJ31" s="1805"/>
      <c r="AQ31" s="1801">
        <v>0</v>
      </c>
    </row>
    <row s="12119" customFormat="1" customHeight="1" ht="18.75" hidden="1">
      <c r="A32" s="1418"/>
      <c r="B32" s="1418"/>
      <c r="C32" s="1418"/>
      <c r="D32" s="1418"/>
      <c r="E32" s="1418"/>
      <c r="F32" s="1418"/>
      <c r="G32" s="1418"/>
      <c r="H32" s="1418"/>
      <c r="I32" s="1418"/>
      <c r="J32" s="1418"/>
      <c r="K32" s="1418"/>
      <c r="L32" s="1550"/>
      <c r="M32" s="1418"/>
      <c r="N32" s="1418"/>
      <c r="O32" s="1418"/>
      <c r="P32" s="1538"/>
      <c r="Q32" s="1538"/>
      <c r="S32" s="2420" t="s">
        <v>432</v>
      </c>
      <c r="T32" s="2420"/>
      <c r="U32" s="1542"/>
      <c r="V32" s="2434" t="str">
        <f>IF(TITLE_DATE_PR_CHANGE="",IF(TITLE_DATE_PR="","",TITLE_DATE_PR),TITLE_DATE_PR_CHANGE)</f>
        <v>45646.459814814814</v>
      </c>
      <c r="W32" s="2434"/>
      <c r="X32" s="2434"/>
      <c r="Y32" s="2434"/>
      <c r="Z32" s="2434"/>
      <c r="AA32" s="1805"/>
      <c r="AB32" s="1805"/>
      <c r="AC32" s="2434"/>
      <c r="AD32" s="2434"/>
      <c r="AE32" s="2434"/>
      <c r="AF32" s="2434"/>
      <c r="AG32" s="2434"/>
      <c r="AH32" s="2434"/>
      <c r="AI32" s="1805"/>
      <c r="AJ32" s="1805"/>
      <c r="AK32" s="450"/>
      <c r="AL32" s="538"/>
      <c r="AM32" s="538"/>
      <c r="AN32" s="538"/>
      <c r="AO32" s="538"/>
      <c r="AP32" s="538"/>
      <c r="AQ32" s="588">
        <v>0</v>
      </c>
    </row>
    <row s="12119" customFormat="1" customHeight="1" ht="18" hidden="1">
      <c r="A33" s="1418"/>
      <c r="B33" s="1418"/>
      <c r="C33" s="1418"/>
      <c r="D33" s="1418"/>
      <c r="E33" s="1418"/>
      <c r="F33" s="1418"/>
      <c r="G33" s="1418"/>
      <c r="H33" s="1418"/>
      <c r="I33" s="1418"/>
      <c r="J33" s="1418"/>
      <c r="K33" s="1418"/>
      <c r="L33" s="1550"/>
      <c r="M33" s="1418"/>
      <c r="N33" s="1418"/>
      <c r="O33" s="1418"/>
      <c r="P33" s="1538"/>
      <c r="Q33" s="1538"/>
      <c r="S33" s="2420" t="s">
        <v>433</v>
      </c>
      <c r="T33" s="2420"/>
      <c r="U33" s="1542"/>
      <c r="V33" s="2421" t="str">
        <f>IF(TITLE_NUMBER_PR_CHANGE="",IF(TITLE_NUMBER_PR="","",TITLE_NUMBER_PR),TITLE_NUMBER_PR_CHANGE)</f>
        <v>329-Р</v>
      </c>
      <c r="W33" s="2421"/>
      <c r="X33" s="2421"/>
      <c r="Y33" s="2421"/>
      <c r="Z33" s="2421"/>
      <c r="AA33" s="1805"/>
      <c r="AB33" s="1805"/>
      <c r="AC33" s="2421"/>
      <c r="AD33" s="2421"/>
      <c r="AE33" s="2421"/>
      <c r="AF33" s="2421"/>
      <c r="AG33" s="2421"/>
      <c r="AH33" s="2421"/>
      <c r="AI33" s="1805"/>
      <c r="AJ33" s="1805"/>
      <c r="AK33" s="450"/>
      <c r="AL33" s="538"/>
      <c r="AM33" s="538"/>
      <c r="AN33" s="538"/>
      <c r="AO33" s="538"/>
      <c r="AP33" s="538"/>
      <c r="AQ33" s="588">
        <v>0</v>
      </c>
    </row>
    <row s="12119" customFormat="1" customHeight="1" ht="1.05">
      <c r="A34" s="1418"/>
      <c r="B34" s="1418"/>
      <c r="C34" s="1418"/>
      <c r="D34" s="1418"/>
      <c r="E34" s="1418"/>
      <c r="F34" s="1418"/>
      <c r="G34" s="1418"/>
      <c r="H34" s="1418"/>
      <c r="I34" s="1418"/>
      <c r="J34" s="1418"/>
      <c r="K34" s="1418"/>
      <c r="L34" s="1550"/>
      <c r="M34" s="1418"/>
      <c r="N34" s="1418"/>
      <c r="O34" s="1418"/>
      <c r="P34" s="1538"/>
      <c r="Q34" s="1538"/>
      <c r="S34" s="1805"/>
      <c r="T34" s="1805"/>
      <c r="U34" s="2140"/>
      <c r="V34" s="1805"/>
      <c r="W34" s="1805"/>
      <c r="X34" s="1805"/>
      <c r="Y34" s="1805"/>
      <c r="Z34" s="1805"/>
      <c r="AA34" s="1812" t="s">
        <v>436</v>
      </c>
      <c r="AB34" s="1812"/>
      <c r="AC34" s="1805"/>
      <c r="AD34" s="1805"/>
      <c r="AE34" s="1805"/>
      <c r="AF34" s="1805"/>
      <c r="AG34" s="1805"/>
      <c r="AH34" s="1805"/>
      <c r="AI34" s="1812" t="s">
        <v>436</v>
      </c>
      <c r="AL34" s="538"/>
      <c r="AM34" s="538"/>
      <c r="AN34" s="538"/>
      <c r="AO34" s="538"/>
      <c r="AP34" s="538"/>
      <c r="AQ34" s="588">
        <v>1</v>
      </c>
    </row>
    <row customHeight="1" ht="14.699999999999998">
      <c r="Q35" s="461"/>
      <c r="R35" s="546"/>
      <c r="S35" s="1445"/>
      <c r="T35" s="627"/>
      <c r="U35" s="1414"/>
      <c r="V35" s="2422"/>
      <c r="W35" s="2422"/>
      <c r="X35" s="2422"/>
      <c r="Y35" s="2422"/>
      <c r="Z35" s="2422"/>
      <c r="AA35" s="2422"/>
      <c r="AB35" s="2127"/>
      <c r="AC35" s="2422"/>
      <c r="AD35" s="2422"/>
      <c r="AE35" s="2422"/>
      <c r="AF35" s="2422"/>
      <c r="AG35" s="2422"/>
      <c r="AH35" s="2422"/>
      <c r="AI35" s="2422"/>
      <c r="AQ35" s="1801">
        <v>14</v>
      </c>
    </row>
    <row customHeight="1" ht="14.699999999999998">
      <c r="Q36" s="461"/>
      <c r="R36" s="546"/>
      <c r="S36" s="2297" t="s">
        <v>312</v>
      </c>
      <c r="T36" s="2297"/>
      <c r="U36" s="2297"/>
      <c r="V36" s="2297"/>
      <c r="W36" s="2297"/>
      <c r="X36" s="2297"/>
      <c r="Y36" s="2297"/>
      <c r="Z36" s="2297"/>
      <c r="AA36" s="2345"/>
      <c r="AB36" s="2345"/>
      <c r="AC36" s="2345"/>
      <c r="AD36" s="2297"/>
      <c r="AE36" s="2297"/>
      <c r="AF36" s="2297"/>
      <c r="AG36" s="2297"/>
      <c r="AH36" s="2297"/>
      <c r="AI36" s="2297"/>
      <c r="AJ36" s="2297"/>
      <c r="AK36" s="2297" t="s">
        <v>313</v>
      </c>
      <c r="AQ36" s="1801">
        <v>14</v>
      </c>
    </row>
    <row customHeight="1" ht="14.699999999999998">
      <c r="Q37" s="461"/>
      <c r="R37" s="546"/>
      <c r="S37" s="2443" t="s">
        <v>91</v>
      </c>
      <c r="T37" s="2379" t="s">
        <v>514</v>
      </c>
      <c r="U37" s="507"/>
      <c r="V37" s="2445"/>
      <c r="W37" s="2445"/>
      <c r="X37" s="2445"/>
      <c r="Y37" s="2445"/>
      <c r="Z37" s="2445"/>
      <c r="AA37" s="2379" t="s">
        <v>440</v>
      </c>
      <c r="AB37" s="2378" t="s">
        <v>515</v>
      </c>
      <c r="AC37" s="2378" t="s">
        <v>487</v>
      </c>
      <c r="AD37" s="2461" t="s">
        <v>439</v>
      </c>
      <c r="AE37" s="2461"/>
      <c r="AF37" s="2445"/>
      <c r="AG37" s="2445"/>
      <c r="AH37" s="2446"/>
      <c r="AI37" s="2447" t="s">
        <v>440</v>
      </c>
      <c r="AJ37" s="2450" t="s">
        <v>442</v>
      </c>
      <c r="AK37" s="2297"/>
      <c r="AQ37" s="1801">
        <v>14</v>
      </c>
    </row>
    <row customHeight="1" ht="35.699999999999996">
      <c r="Q38" s="461"/>
      <c r="R38" s="546"/>
      <c r="S38" s="2443"/>
      <c r="T38" s="2379"/>
      <c r="U38" s="1201"/>
      <c r="V38" s="2273" t="s">
        <v>490</v>
      </c>
      <c r="W38" s="2297"/>
      <c r="X38" s="2464" t="s">
        <v>446</v>
      </c>
      <c r="Y38" s="2483"/>
      <c r="Z38" s="2483"/>
      <c r="AA38" s="2379"/>
      <c r="AB38" s="2378"/>
      <c r="AC38" s="2378"/>
      <c r="AD38" s="2273" t="s">
        <v>490</v>
      </c>
      <c r="AE38" s="2297"/>
      <c r="AF38" s="2483" t="s">
        <v>446</v>
      </c>
      <c r="AG38" s="2483"/>
      <c r="AH38" s="2484"/>
      <c r="AI38" s="2448"/>
      <c r="AJ38" s="2451"/>
      <c r="AK38" s="2297"/>
      <c r="AQ38" s="1801">
        <v>34</v>
      </c>
    </row>
    <row customHeight="1" ht="14.699999999999998">
      <c r="Q39" s="461"/>
      <c r="R39" s="546"/>
      <c r="S39" s="2443"/>
      <c r="T39" s="2379"/>
      <c r="U39" s="1201"/>
      <c r="V39" s="2510" t="str">
        <f>IF($AD$39&lt;&gt;"",$AD$39,"")</f>
        <v/>
      </c>
      <c r="W39" s="2510"/>
      <c r="X39" s="2465"/>
      <c r="Y39" s="2485"/>
      <c r="Z39" s="2485"/>
      <c r="AA39" s="2379"/>
      <c r="AB39" s="2378"/>
      <c r="AC39" s="2378"/>
      <c r="AD39" s="2526"/>
      <c r="AE39" s="2509"/>
      <c r="AF39" s="2485"/>
      <c r="AG39" s="2485"/>
      <c r="AH39" s="2486"/>
      <c r="AI39" s="2448"/>
      <c r="AJ39" s="2451"/>
      <c r="AK39" s="2297"/>
      <c r="AQ39" s="1801">
        <v>14</v>
      </c>
    </row>
    <row customHeight="1" ht="14.699999999999998">
      <c r="A40" s="1436"/>
      <c r="B40" s="1436" t="s">
        <v>138</v>
      </c>
      <c r="C40" s="1436" t="s">
        <v>139</v>
      </c>
      <c r="D40" s="1436" t="s">
        <v>140</v>
      </c>
      <c r="E40" s="1480" t="s">
        <v>447</v>
      </c>
      <c r="F40" s="1480" t="s">
        <v>448</v>
      </c>
      <c r="G40" s="1480" t="s">
        <v>449</v>
      </c>
      <c r="H40" s="1480" t="s">
        <v>450</v>
      </c>
      <c r="I40" s="1480" t="s">
        <v>451</v>
      </c>
      <c r="J40" s="1480" t="s">
        <v>452</v>
      </c>
      <c r="K40" s="1480" t="s">
        <v>453</v>
      </c>
      <c r="L40" s="1480" t="s">
        <v>427</v>
      </c>
      <c r="Q40" s="461"/>
      <c r="R40" s="546"/>
      <c r="S40" s="2443"/>
      <c r="T40" s="2379"/>
      <c r="U40" s="472"/>
      <c r="V40" s="2120" t="s">
        <v>492</v>
      </c>
      <c r="W40" s="2120" t="s">
        <v>493</v>
      </c>
      <c r="X40" s="2108" t="s">
        <v>456</v>
      </c>
      <c r="Y40" s="2440" t="s">
        <v>457</v>
      </c>
      <c r="Z40" s="2490"/>
      <c r="AA40" s="2379"/>
      <c r="AB40" s="2378"/>
      <c r="AC40" s="2378"/>
      <c r="AD40" s="2138" t="s">
        <v>492</v>
      </c>
      <c r="AE40" s="2129" t="s">
        <v>493</v>
      </c>
      <c r="AF40" s="2108" t="s">
        <v>456</v>
      </c>
      <c r="AG40" s="2440" t="s">
        <v>457</v>
      </c>
      <c r="AH40" s="2441"/>
      <c r="AI40" s="2449"/>
      <c r="AJ40" s="2452"/>
      <c r="AK40" s="2297"/>
      <c r="AQ40" s="1801">
        <v>14</v>
      </c>
    </row>
    <row s="12668" customFormat="1" customHeight="1" ht="11.25" hidden="1">
      <c r="A41" s="1436"/>
      <c r="B41" s="1436"/>
      <c r="C41" s="1436"/>
      <c r="D41" s="1436"/>
      <c r="E41" s="1436"/>
      <c r="F41" s="1436"/>
      <c r="G41" s="1436"/>
      <c r="H41" s="1436"/>
      <c r="I41" s="1436"/>
      <c r="J41" s="1436"/>
      <c r="K41" s="1436"/>
      <c r="L41" s="1480"/>
      <c r="M41" s="2135"/>
      <c r="N41" s="2135"/>
      <c r="O41" s="2135"/>
      <c r="P41" s="680"/>
      <c r="Q41" s="1424"/>
      <c r="R41" s="1424">
        <v>1</v>
      </c>
      <c r="S41" s="1447" t="s">
        <v>112</v>
      </c>
      <c r="T41" s="1425" t="s">
        <v>113</v>
      </c>
      <c r="U41" s="1415" t="str">
        <f>OFFSET(U41,0,-1)</f>
        <v>2</v>
      </c>
      <c r="V41" s="2126">
        <f>OFFSET(V41,0,-1)+1</f>
        <v>3</v>
      </c>
      <c r="W41" s="2126">
        <f>OFFSET(W41,0,-1)+1</f>
        <v>4</v>
      </c>
      <c r="X41" s="2126">
        <f>OFFSET(X41,0,-1)+1</f>
        <v>5</v>
      </c>
      <c r="Y41" s="2442">
        <f>OFFSET(Y41,0,-1)+1</f>
        <v>6</v>
      </c>
      <c r="Z41" s="2442"/>
      <c r="AA41" s="1511">
        <f>OFFSET(AA41,0,-2)+1</f>
        <v>7</v>
      </c>
      <c r="AB41" s="1511"/>
      <c r="AC41" s="1511"/>
      <c r="AD41" s="2126">
        <f>OFFSET(AD41,0,-1)+1</f>
        <v>1</v>
      </c>
      <c r="AE41" s="2126">
        <f>OFFSET(AE41,0,-1)+1</f>
        <v>2</v>
      </c>
      <c r="AF41" s="2126">
        <f>OFFSET(AF41,0,-1)+1</f>
        <v>3</v>
      </c>
      <c r="AG41" s="2442">
        <f>OFFSET(AG41,0,-1)+1</f>
        <v>4</v>
      </c>
      <c r="AH41" s="2442"/>
      <c r="AI41" s="2126">
        <f>OFFSET(AI41,0,-2)+1</f>
        <v>5</v>
      </c>
      <c r="AJ41" s="1415">
        <f>OFFSET(AJ41,0,-1)</f>
        <v>5</v>
      </c>
      <c r="AK41" s="2126">
        <f>OFFSET(AK41,0,-1)+1</f>
        <v>6</v>
      </c>
      <c r="AL41" s="1806"/>
      <c r="AM41" s="1806"/>
      <c r="AN41" s="1806"/>
      <c r="AO41" s="1806"/>
      <c r="AP41" s="1806"/>
      <c r="AQ41" s="1811">
        <v>0</v>
      </c>
    </row>
    <row customHeight="1" ht="107.25">
      <c r="A42" s="1437" t="s">
        <v>218</v>
      </c>
      <c r="B42" s="1437"/>
      <c r="C42" s="1437"/>
      <c r="D42" s="1437"/>
      <c r="E42" s="2459">
        <v>1</v>
      </c>
      <c r="F42" s="1437"/>
      <c r="G42" s="1437"/>
      <c r="H42" s="1437"/>
      <c r="I42" s="1437"/>
      <c r="J42" s="1437"/>
      <c r="K42" s="1437"/>
      <c r="L42" s="1480"/>
      <c r="M42" s="1780"/>
      <c r="N42" s="1780"/>
      <c r="O42" s="1780"/>
      <c r="P42" s="1579"/>
      <c r="Q42" s="1043"/>
      <c r="R42" s="525"/>
      <c r="S42" s="2128">
        <f>INDEX(PT_DIFFERENTIATION_NUM_NTAR,MATCH(A42,PT_DIFFERENTIATION_NTAR_ID,0))</f>
        <v>0</v>
      </c>
      <c r="T42" s="1695" t="s">
        <v>126</v>
      </c>
      <c r="U42" s="470"/>
      <c r="V42" s="2413"/>
      <c r="W42" s="2413"/>
      <c r="X42" s="2413"/>
      <c r="Y42" s="2413"/>
      <c r="Z42" s="2413"/>
      <c r="AA42" s="2414"/>
      <c r="AB42" s="2122"/>
      <c r="AC42" s="2413" t="str">
        <f>INDEX(PT_DIFFERENTIATION_NTAR,MATCH(A42,PT_DIFFERENTIATION_NTAR_ID,0))</f>
        <v/>
      </c>
      <c r="AD42" s="2413"/>
      <c r="AE42" s="2413"/>
      <c r="AF42" s="2413"/>
      <c r="AG42" s="2413"/>
      <c r="AH42" s="2413"/>
      <c r="AI42" s="2413"/>
      <c r="AJ42" s="2414"/>
      <c r="AK42" s="142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794"/>
      <c r="AN42" s="1794" t="str">
        <f>IF(T42="","",T42)</f>
        <v>Наименование тарифа</v>
      </c>
      <c r="AO42" s="1794"/>
      <c r="AP42" s="1794"/>
      <c r="AQ42" s="1801">
        <v>102</v>
      </c>
    </row>
    <row customHeight="1" ht="22.049999999999997">
      <c r="A43" s="1437" t="s">
        <v>218</v>
      </c>
      <c r="B43" s="1437" t="s">
        <v>219</v>
      </c>
      <c r="C43" s="1437"/>
      <c r="D43" s="1437"/>
      <c r="E43" s="2460"/>
      <c r="F43" s="2459">
        <v>1</v>
      </c>
      <c r="G43" s="1437"/>
      <c r="H43" s="1437"/>
      <c r="I43" s="1437"/>
      <c r="J43" s="1437"/>
      <c r="K43" s="1437"/>
      <c r="L43" s="1480"/>
      <c r="M43" s="1780"/>
      <c r="N43" s="1780"/>
      <c r="O43" s="1780"/>
      <c r="P43" s="2139"/>
      <c r="Q43" s="1581"/>
      <c r="R43" s="523"/>
      <c r="S43" s="2128" t="str">
        <f>INDEX(PT_DIFFERENTIATION_NUM_TER,MATCH(B43,PT_DIFFERENTIATION_TER_ID,0))</f>
        <v>.</v>
      </c>
      <c r="T43" s="1692" t="s">
        <v>409</v>
      </c>
      <c r="U43" s="470"/>
      <c r="V43" s="2413"/>
      <c r="W43" s="2413"/>
      <c r="X43" s="2413"/>
      <c r="Y43" s="2413"/>
      <c r="Z43" s="2413"/>
      <c r="AA43" s="2414"/>
      <c r="AB43" s="2122"/>
      <c r="AC43" s="2413" t="str">
        <f>INDEX(PT_DIFFERENTIATION_TER,MATCH(B43,PT_DIFFERENTIATION_TER_ID,0))</f>
        <v/>
      </c>
      <c r="AD43" s="2413"/>
      <c r="AE43" s="2413"/>
      <c r="AF43" s="2413"/>
      <c r="AG43" s="2413"/>
      <c r="AH43" s="2413"/>
      <c r="AI43" s="2413"/>
      <c r="AJ43" s="2414"/>
      <c r="AK43" s="1428" t="s">
        <v>410</v>
      </c>
      <c r="AM43" s="1794"/>
      <c r="AN43" s="1794" t="str">
        <f>IF(T43="","",T43)</f>
        <v>Территория действия тарифа</v>
      </c>
      <c r="AO43" s="1794"/>
      <c r="AP43" s="1794"/>
      <c r="AQ43" s="1801">
        <v>21</v>
      </c>
    </row>
    <row customHeight="1" ht="24">
      <c r="A44" s="1437" t="s">
        <v>218</v>
      </c>
      <c r="B44" s="1437" t="s">
        <v>219</v>
      </c>
      <c r="C44" s="1437" t="s">
        <v>220</v>
      </c>
      <c r="D44" s="1437"/>
      <c r="E44" s="2460"/>
      <c r="F44" s="2460"/>
      <c r="G44" s="2459">
        <v>1</v>
      </c>
      <c r="H44" s="1437"/>
      <c r="I44" s="1437"/>
      <c r="J44" s="1437"/>
      <c r="K44" s="1437"/>
      <c r="L44" s="1480"/>
      <c r="M44" s="1780"/>
      <c r="N44" s="1780"/>
      <c r="O44" s="1780"/>
      <c r="P44" s="1582"/>
      <c r="Q44" s="1581"/>
      <c r="R44" s="523"/>
      <c r="S44" s="2128" t="str">
        <f>INDEX(PT_DIFFERENTIATION_NUM_CS,MATCH(C44,PT_DIFFERENTIATION_CS_ID,0))</f>
        <v>..</v>
      </c>
      <c r="T44" s="479" t="s">
        <v>411</v>
      </c>
      <c r="U44" s="470"/>
      <c r="V44" s="2413"/>
      <c r="W44" s="2413"/>
      <c r="X44" s="2413"/>
      <c r="Y44" s="2413"/>
      <c r="Z44" s="2413"/>
      <c r="AA44" s="2414"/>
      <c r="AB44" s="2122"/>
      <c r="AC44" s="2413" t="str">
        <f>INDEX(PT_DIFFERENTIATION_CS,MATCH(C44,PT_DIFFERENTIATION_CS_ID,0))</f>
        <v/>
      </c>
      <c r="AD44" s="2413"/>
      <c r="AE44" s="2413"/>
      <c r="AF44" s="2413"/>
      <c r="AG44" s="2413"/>
      <c r="AH44" s="2413"/>
      <c r="AI44" s="2413"/>
      <c r="AJ44" s="2414"/>
      <c r="AK44" s="1428" t="s">
        <v>412</v>
      </c>
      <c r="AM44" s="1794"/>
      <c r="AN44" s="1794" t="str">
        <f>IF(T44="","",T44)</f>
        <v>Наименование системы теплоснабжения </v>
      </c>
      <c r="AO44" s="1794"/>
      <c r="AP44" s="1794"/>
      <c r="AQ44" s="1801">
        <v>23</v>
      </c>
    </row>
    <row customHeight="1" ht="22.049999999999997">
      <c r="A45" s="1437" t="s">
        <v>218</v>
      </c>
      <c r="B45" s="1437" t="s">
        <v>219</v>
      </c>
      <c r="C45" s="1437" t="s">
        <v>220</v>
      </c>
      <c r="D45" s="1437" t="s">
        <v>221</v>
      </c>
      <c r="E45" s="2460"/>
      <c r="F45" s="2460"/>
      <c r="G45" s="2460"/>
      <c r="H45" s="2459">
        <v>1</v>
      </c>
      <c r="I45" s="1437"/>
      <c r="J45" s="1437"/>
      <c r="K45" s="1437"/>
      <c r="L45" s="1480"/>
      <c r="M45" s="1780"/>
      <c r="N45" s="1780"/>
      <c r="O45" s="1780"/>
      <c r="P45" s="1582"/>
      <c r="Q45" s="1581"/>
      <c r="R45" s="523"/>
      <c r="S45" s="2128" t="str">
        <f>INDEX(PT_DIFFERENTIATION_NUM_IST_TE,MATCH(D45,PT_DIFFERENTIATION_IST_TE_ID,0))</f>
        <v>...</v>
      </c>
      <c r="T45" s="480" t="s">
        <v>413</v>
      </c>
      <c r="U45" s="470"/>
      <c r="V45" s="2413"/>
      <c r="W45" s="2413"/>
      <c r="X45" s="2413"/>
      <c r="Y45" s="2413"/>
      <c r="Z45" s="2413"/>
      <c r="AA45" s="2414"/>
      <c r="AB45" s="2122"/>
      <c r="AC45" s="2413" t="str">
        <f>INDEX(PT_DIFFERENTIATION_IST_TE,MATCH(D45,PT_DIFFERENTIATION_IST_TE_ID,0))</f>
        <v/>
      </c>
      <c r="AD45" s="2413"/>
      <c r="AE45" s="2413"/>
      <c r="AF45" s="2413"/>
      <c r="AG45" s="2413"/>
      <c r="AH45" s="2413"/>
      <c r="AI45" s="2413"/>
      <c r="AJ45" s="2414"/>
      <c r="AK45" s="1428" t="s">
        <v>414</v>
      </c>
      <c r="AM45" s="1794"/>
      <c r="AN45" s="1794" t="str">
        <f>IF(T45="","",T45)</f>
        <v>Источник тепловой энергии  </v>
      </c>
      <c r="AO45" s="1794"/>
      <c r="AP45" s="1794"/>
      <c r="AQ45" s="1801">
        <v>21</v>
      </c>
    </row>
    <row s="11993" customFormat="1" customHeight="1" ht="0">
      <c r="A46" s="1545" t="s">
        <v>218</v>
      </c>
      <c r="B46" s="1545" t="s">
        <v>219</v>
      </c>
      <c r="C46" s="1545" t="s">
        <v>220</v>
      </c>
      <c r="D46" s="1545" t="s">
        <v>221</v>
      </c>
      <c r="E46" s="2460"/>
      <c r="F46" s="2460"/>
      <c r="G46" s="2460"/>
      <c r="H46" s="2460"/>
      <c r="I46" s="2297" t="str">
        <f>S45&amp;".1"</f>
        <v>....1</v>
      </c>
      <c r="J46" s="1545"/>
      <c r="K46" s="1545"/>
      <c r="L46" s="1551" t="s">
        <v>415</v>
      </c>
      <c r="M46" s="1416"/>
      <c r="N46" s="1416"/>
      <c r="O46" s="1416"/>
      <c r="P46" s="2427">
        <v>1</v>
      </c>
      <c r="Q46" s="2124"/>
      <c r="R46" s="526"/>
      <c r="S46" s="1212"/>
      <c r="T46" s="1553"/>
      <c r="U46" s="1554"/>
      <c r="V46" s="2467"/>
      <c r="W46" s="2467"/>
      <c r="X46" s="2467"/>
      <c r="Y46" s="2467"/>
      <c r="Z46" s="2467"/>
      <c r="AA46" s="2468"/>
      <c r="AB46" s="2130"/>
      <c r="AC46" s="2467"/>
      <c r="AD46" s="2467"/>
      <c r="AE46" s="2467"/>
      <c r="AF46" s="2467"/>
      <c r="AG46" s="2467"/>
      <c r="AH46" s="2467"/>
      <c r="AI46" s="2467"/>
      <c r="AJ46" s="2468"/>
      <c r="AK46" s="1555"/>
      <c r="AM46" s="1794"/>
      <c r="AN46" s="1794" t="str">
        <f>IF(T46="","",T46)</f>
        <v/>
      </c>
      <c r="AO46" s="1794"/>
      <c r="AP46" s="1794"/>
      <c r="AQ46" s="1806">
        <v>0</v>
      </c>
    </row>
    <row s="11993" customFormat="1" customHeight="1" ht="0">
      <c r="A47" s="1545" t="s">
        <v>218</v>
      </c>
      <c r="B47" s="1545" t="s">
        <v>219</v>
      </c>
      <c r="C47" s="1545" t="s">
        <v>220</v>
      </c>
      <c r="D47" s="1545" t="s">
        <v>221</v>
      </c>
      <c r="E47" s="2460"/>
      <c r="F47" s="2460"/>
      <c r="G47" s="2460"/>
      <c r="H47" s="2460"/>
      <c r="I47" s="2271"/>
      <c r="J47" s="2297" t="str">
        <f>S45&amp;".1"</f>
        <v>....1</v>
      </c>
      <c r="K47" s="1545"/>
      <c r="L47" s="1551"/>
      <c r="M47" s="1416"/>
      <c r="N47" s="1416"/>
      <c r="O47" s="1416"/>
      <c r="P47" s="2427"/>
      <c r="Q47" s="2427">
        <v>1</v>
      </c>
      <c r="R47" s="527"/>
      <c r="S47" s="1212"/>
      <c r="T47" s="1569"/>
      <c r="U47" s="1554"/>
      <c r="V47" s="2467"/>
      <c r="W47" s="2467"/>
      <c r="X47" s="2467"/>
      <c r="Y47" s="2467"/>
      <c r="Z47" s="2467"/>
      <c r="AA47" s="2468"/>
      <c r="AB47" s="2130"/>
      <c r="AC47" s="2467"/>
      <c r="AD47" s="2467"/>
      <c r="AE47" s="2467"/>
      <c r="AF47" s="2467"/>
      <c r="AG47" s="2467"/>
      <c r="AH47" s="2467"/>
      <c r="AI47" s="2467"/>
      <c r="AJ47" s="2468"/>
      <c r="AK47" s="1555"/>
      <c r="AM47" s="1794"/>
      <c r="AN47" s="1794" t="str">
        <f>IF(T47="","",T47)</f>
        <v/>
      </c>
      <c r="AO47" s="1794"/>
      <c r="AP47" s="1794"/>
      <c r="AQ47" s="1806">
        <v>0</v>
      </c>
    </row>
    <row customHeight="1" ht="22.049999999999997">
      <c r="A48" s="1437" t="s">
        <v>218</v>
      </c>
      <c r="B48" s="1437" t="s">
        <v>219</v>
      </c>
      <c r="C48" s="1437" t="s">
        <v>220</v>
      </c>
      <c r="D48" s="1437" t="s">
        <v>221</v>
      </c>
      <c r="E48" s="2460"/>
      <c r="F48" s="2460"/>
      <c r="G48" s="2460"/>
      <c r="H48" s="2460"/>
      <c r="I48" s="2271"/>
      <c r="J48" s="2271"/>
      <c r="K48" s="2111" t="str">
        <f>S45&amp;".1"</f>
        <v>....1</v>
      </c>
      <c r="L48" s="1480"/>
      <c r="P48" s="2427"/>
      <c r="Q48" s="2427"/>
      <c r="R48" s="527">
        <v>1</v>
      </c>
      <c r="S48" s="2132" t="str">
        <f>$K48</f>
        <v>....1</v>
      </c>
      <c r="T48" s="2131"/>
      <c r="U48" s="470"/>
      <c r="V48" s="921"/>
      <c r="W48" s="1427"/>
      <c r="X48" s="2125"/>
      <c r="Y48" s="2112" t="s">
        <v>64</v>
      </c>
      <c r="Z48" s="2125"/>
      <c r="AA48" s="2112" t="s">
        <v>64</v>
      </c>
      <c r="AB48" s="2134"/>
      <c r="AC48" s="2133" t="s">
        <v>28</v>
      </c>
      <c r="AD48" s="921"/>
      <c r="AE48" s="1427"/>
      <c r="AF48" s="2125"/>
      <c r="AG48" s="2112" t="s">
        <v>64</v>
      </c>
      <c r="AH48" s="2125"/>
      <c r="AI48" s="2112" t="s">
        <v>64</v>
      </c>
      <c r="AJ48" s="1518"/>
      <c r="AK48" s="2423" t="s">
        <v>495</v>
      </c>
      <c r="AL48" s="1806">
        <f>STRCHECKDATE(#REF!)</f>
      </c>
      <c r="AM48" s="1794"/>
      <c r="AN48" s="1794" t="str">
        <f>IF(T48="","",T48)</f>
        <v/>
      </c>
      <c r="AO48" s="1794"/>
      <c r="AP48" s="1794"/>
      <c r="AQ48" s="1801">
        <v>21</v>
      </c>
    </row>
    <row customHeight="1" ht="11.549999999999999">
      <c r="A49" s="1437" t="s">
        <v>218</v>
      </c>
      <c r="B49" s="1437" t="s">
        <v>219</v>
      </c>
      <c r="C49" s="1437" t="s">
        <v>220</v>
      </c>
      <c r="D49" s="1437" t="s">
        <v>221</v>
      </c>
      <c r="E49" s="2460"/>
      <c r="F49" s="2460"/>
      <c r="G49" s="2460"/>
      <c r="H49" s="2460"/>
      <c r="I49" s="2271"/>
      <c r="J49" s="2297"/>
      <c r="K49" s="1437"/>
      <c r="L49" s="1480"/>
      <c r="P49" s="2427"/>
      <c r="Q49" s="2427"/>
      <c r="R49" s="526"/>
      <c r="S49" s="1448"/>
      <c r="T49" s="457" t="s">
        <v>481</v>
      </c>
      <c r="U49" s="770"/>
      <c r="V49" s="770"/>
      <c r="W49" s="770"/>
      <c r="X49" s="770"/>
      <c r="Y49" s="770"/>
      <c r="Z49" s="770"/>
      <c r="AA49" s="494"/>
      <c r="AB49" s="770"/>
      <c r="AC49" s="770"/>
      <c r="AD49" s="770"/>
      <c r="AE49" s="770"/>
      <c r="AF49" s="770"/>
      <c r="AG49" s="770"/>
      <c r="AH49" s="770"/>
      <c r="AI49" s="770"/>
      <c r="AJ49" s="494"/>
      <c r="AK49" s="2425"/>
      <c r="AM49" s="1794"/>
      <c r="AN49" s="1794" t="str">
        <f>IF(T49="","",T49)</f>
        <v>Добавить строку</v>
      </c>
      <c r="AO49" s="1794"/>
      <c r="AP49" s="1794"/>
      <c r="AQ49" s="1801">
        <v>11</v>
      </c>
    </row>
    <row s="11993" customFormat="1" customHeight="1" ht="1.05">
      <c r="A50" s="1545" t="s">
        <v>218</v>
      </c>
      <c r="B50" s="1545" t="s">
        <v>219</v>
      </c>
      <c r="C50" s="1545" t="s">
        <v>220</v>
      </c>
      <c r="D50" s="1545" t="s">
        <v>221</v>
      </c>
      <c r="E50" s="2460"/>
      <c r="F50" s="2460"/>
      <c r="G50" s="2460"/>
      <c r="H50" s="2460"/>
      <c r="I50" s="2297"/>
      <c r="J50" s="1545"/>
      <c r="K50" s="1545"/>
      <c r="L50" s="1551"/>
      <c r="M50" s="1416"/>
      <c r="N50" s="1416"/>
      <c r="O50" s="1416"/>
      <c r="P50" s="2427"/>
      <c r="Q50" s="2124"/>
      <c r="R50" s="526"/>
      <c r="S50" s="1556"/>
      <c r="T50" s="1557" t="s">
        <v>424</v>
      </c>
      <c r="U50" s="1558"/>
      <c r="V50" s="1558"/>
      <c r="W50" s="1558"/>
      <c r="X50" s="1558"/>
      <c r="Y50" s="1558"/>
      <c r="Z50" s="1558"/>
      <c r="AA50" s="1558"/>
      <c r="AB50" s="1558"/>
      <c r="AC50" s="1558"/>
      <c r="AD50" s="1558"/>
      <c r="AE50" s="1558"/>
      <c r="AF50" s="1558"/>
      <c r="AG50" s="1558"/>
      <c r="AH50" s="1558"/>
      <c r="AI50" s="1558"/>
      <c r="AJ50" s="1558"/>
      <c r="AK50" s="1559"/>
      <c r="AM50" s="1794"/>
      <c r="AN50" s="1794" t="str">
        <f>IF(T50="","",T50)</f>
        <v>Добавить группу потребителей</v>
      </c>
      <c r="AO50" s="1794"/>
      <c r="AP50" s="1794"/>
      <c r="AQ50" s="1806">
        <v>1</v>
      </c>
    </row>
    <row s="12668" customFormat="1" customHeight="1" ht="1.05">
      <c r="A51" s="1545" t="s">
        <v>218</v>
      </c>
      <c r="B51" s="1545" t="s">
        <v>219</v>
      </c>
      <c r="C51" s="1545" t="s">
        <v>220</v>
      </c>
      <c r="D51" s="1545" t="s">
        <v>221</v>
      </c>
      <c r="E51" s="2460"/>
      <c r="F51" s="2460"/>
      <c r="G51" s="2460"/>
      <c r="H51" s="2459"/>
      <c r="I51" s="1545"/>
      <c r="J51" s="1545"/>
      <c r="K51" s="1545"/>
      <c r="L51" s="1551"/>
      <c r="M51" s="1548"/>
      <c r="N51" s="1548"/>
      <c r="O51" s="521"/>
      <c r="P51" s="550"/>
      <c r="Q51" s="1514"/>
      <c r="R51" s="1570"/>
      <c r="S51" s="1556"/>
      <c r="T51" s="1557"/>
      <c r="U51" s="1558"/>
      <c r="V51" s="1558"/>
      <c r="W51" s="1558"/>
      <c r="X51" s="1558"/>
      <c r="Y51" s="1558"/>
      <c r="Z51" s="1558"/>
      <c r="AA51" s="1558"/>
      <c r="AB51" s="1558"/>
      <c r="AC51" s="1558"/>
      <c r="AD51" s="1558"/>
      <c r="AE51" s="1558"/>
      <c r="AF51" s="1558"/>
      <c r="AG51" s="1558"/>
      <c r="AH51" s="1558"/>
      <c r="AI51" s="1558"/>
      <c r="AJ51" s="1558"/>
      <c r="AK51" s="1559"/>
      <c r="AL51" s="1806"/>
      <c r="AM51" s="1794"/>
      <c r="AN51" s="1794" t="str">
        <f>IF(T51="","",T51)</f>
        <v/>
      </c>
      <c r="AO51" s="1794"/>
      <c r="AP51" s="1794"/>
      <c r="AQ51" s="1811">
        <v>1</v>
      </c>
    </row>
    <row s="11993" customFormat="1" customHeight="1" ht="1.05">
      <c r="A52" s="1545" t="s">
        <v>218</v>
      </c>
      <c r="B52" s="1545" t="s">
        <v>219</v>
      </c>
      <c r="C52" s="1545" t="s">
        <v>220</v>
      </c>
      <c r="D52" s="1544"/>
      <c r="E52" s="2460"/>
      <c r="F52" s="2460"/>
      <c r="G52" s="2459"/>
      <c r="H52" s="1544"/>
      <c r="I52" s="1544"/>
      <c r="J52" s="1544"/>
      <c r="K52" s="1544"/>
      <c r="L52" s="1547"/>
      <c r="M52" s="1548"/>
      <c r="N52" s="1548"/>
      <c r="O52" s="521"/>
      <c r="P52" s="1486"/>
      <c r="Q52" s="1487"/>
      <c r="R52" s="1486"/>
      <c r="S52" s="1492"/>
      <c r="T52" s="1495" t="s">
        <v>165</v>
      </c>
      <c r="U52" s="1494"/>
      <c r="V52" s="1494"/>
      <c r="W52" s="1494"/>
      <c r="X52" s="1494"/>
      <c r="Y52" s="1494"/>
      <c r="Z52" s="1494"/>
      <c r="AA52" s="1494"/>
      <c r="AB52" s="1494"/>
      <c r="AC52" s="1494"/>
      <c r="AD52" s="1494"/>
      <c r="AE52" s="1494"/>
      <c r="AF52" s="1494"/>
      <c r="AG52" s="1494"/>
      <c r="AH52" s="1494"/>
      <c r="AI52" s="1494"/>
      <c r="AJ52" s="1494"/>
      <c r="AK52" s="1494"/>
      <c r="AM52" s="1421"/>
      <c r="AN52" s="1421" t="str">
        <f>IF(T52="","",T52)</f>
        <v>Добавить источник для дифференциации</v>
      </c>
      <c r="AO52" s="1421"/>
      <c r="AP52" s="1421"/>
      <c r="AQ52" s="1812">
        <v>1</v>
      </c>
    </row>
    <row s="11993" customFormat="1" customHeight="1" ht="1.05">
      <c r="A53" s="1545" t="s">
        <v>218</v>
      </c>
      <c r="B53" s="1545" t="s">
        <v>219</v>
      </c>
      <c r="C53" s="1544"/>
      <c r="D53" s="1544"/>
      <c r="E53" s="2460"/>
      <c r="F53" s="2459"/>
      <c r="G53" s="1544"/>
      <c r="H53" s="1544"/>
      <c r="I53" s="1544"/>
      <c r="J53" s="1544"/>
      <c r="K53" s="1544"/>
      <c r="L53" s="1547"/>
      <c r="M53" s="1549"/>
      <c r="N53" s="1549"/>
      <c r="O53" s="521"/>
      <c r="P53" s="1486"/>
      <c r="Q53" s="1487"/>
      <c r="R53" s="1486"/>
      <c r="S53" s="1492"/>
      <c r="T53" s="1495" t="s">
        <v>166</v>
      </c>
      <c r="U53" s="1494"/>
      <c r="V53" s="1494"/>
      <c r="W53" s="1494"/>
      <c r="X53" s="1494"/>
      <c r="Y53" s="1494"/>
      <c r="Z53" s="1494"/>
      <c r="AA53" s="1494"/>
      <c r="AB53" s="1494"/>
      <c r="AC53" s="1494"/>
      <c r="AD53" s="1494"/>
      <c r="AE53" s="1494"/>
      <c r="AF53" s="1494"/>
      <c r="AG53" s="1494"/>
      <c r="AH53" s="1494"/>
      <c r="AI53" s="1494"/>
      <c r="AJ53" s="1494"/>
      <c r="AK53" s="1494"/>
      <c r="AM53" s="1421"/>
      <c r="AN53" s="1421" t="str">
        <f>IF(T53="","",T53)</f>
        <v>Добавить централизованную систему для дифференциации</v>
      </c>
      <c r="AO53" s="1421"/>
      <c r="AP53" s="1421"/>
      <c r="AQ53" s="1812">
        <v>1</v>
      </c>
    </row>
    <row s="11993" customFormat="1" customHeight="1" ht="1.05">
      <c r="A54" s="1545" t="s">
        <v>218</v>
      </c>
      <c r="B54" s="1545"/>
      <c r="C54" s="1545"/>
      <c r="D54" s="1545"/>
      <c r="E54" s="2460"/>
      <c r="F54" s="1545"/>
      <c r="G54" s="1545"/>
      <c r="H54" s="1545"/>
      <c r="I54" s="1545"/>
      <c r="J54" s="1545"/>
      <c r="K54" s="1545"/>
      <c r="L54" s="1551"/>
      <c r="M54" s="1549"/>
      <c r="N54" s="1549"/>
      <c r="O54" s="521"/>
      <c r="P54" s="550"/>
      <c r="Q54" s="1514"/>
      <c r="R54" s="550"/>
      <c r="S54" s="1492"/>
      <c r="T54" s="1495" t="s">
        <v>167</v>
      </c>
      <c r="U54" s="1494"/>
      <c r="V54" s="1494"/>
      <c r="W54" s="1494"/>
      <c r="X54" s="1494"/>
      <c r="Y54" s="1494"/>
      <c r="Z54" s="1494"/>
      <c r="AA54" s="1494"/>
      <c r="AB54" s="1494"/>
      <c r="AC54" s="1494"/>
      <c r="AD54" s="1494"/>
      <c r="AE54" s="1494"/>
      <c r="AF54" s="1494"/>
      <c r="AG54" s="1494"/>
      <c r="AH54" s="1494"/>
      <c r="AI54" s="1494"/>
      <c r="AJ54" s="1494"/>
      <c r="AK54" s="1494"/>
      <c r="AM54" s="1794"/>
      <c r="AN54" s="1794" t="str">
        <f>IF(T54="","",T54)</f>
        <v>Добавить территорию для дифференциации</v>
      </c>
      <c r="AO54" s="1794"/>
      <c r="AP54" s="1794"/>
      <c r="AQ54" s="1806">
        <v>1</v>
      </c>
    </row>
    <row s="11993" customFormat="1" customHeight="1" ht="1.05">
      <c r="A55" s="1545" t="s">
        <v>218</v>
      </c>
      <c r="B55" s="1545"/>
      <c r="C55" s="1545"/>
      <c r="D55" s="1545"/>
      <c r="E55" s="2459"/>
      <c r="F55" s="1545"/>
      <c r="G55" s="1545"/>
      <c r="H55" s="1545"/>
      <c r="I55" s="1545"/>
      <c r="J55" s="1545"/>
      <c r="K55" s="1545"/>
      <c r="L55" s="1551"/>
      <c r="M55" s="1549"/>
      <c r="N55" s="1549"/>
      <c r="O55" s="521"/>
      <c r="P55" s="550"/>
      <c r="Q55" s="1514"/>
      <c r="R55" s="550"/>
      <c r="S55" s="1492"/>
      <c r="T55" s="1495" t="s">
        <v>167</v>
      </c>
      <c r="U55" s="1494"/>
      <c r="V55" s="1494"/>
      <c r="W55" s="1494"/>
      <c r="X55" s="1494"/>
      <c r="Y55" s="1494"/>
      <c r="Z55" s="1494"/>
      <c r="AA55" s="1494"/>
      <c r="AB55" s="1494"/>
      <c r="AC55" s="1494"/>
      <c r="AD55" s="1494"/>
      <c r="AE55" s="1494"/>
      <c r="AF55" s="1494"/>
      <c r="AG55" s="1494"/>
      <c r="AH55" s="1494"/>
      <c r="AI55" s="1494"/>
      <c r="AJ55" s="1494"/>
      <c r="AK55" s="1494"/>
      <c r="AM55" s="1794"/>
      <c r="AN55" s="1794" t="str">
        <f>IF(T55="","",T55)</f>
        <v>Добавить территорию для дифференциации</v>
      </c>
      <c r="AO55" s="1794"/>
      <c r="AP55" s="1794"/>
      <c r="AQ55" s="1806">
        <v>1</v>
      </c>
    </row>
    <row s="11993" customFormat="1" customHeight="1" ht="1.05">
      <c r="A56" s="1544"/>
      <c r="B56" s="1544"/>
      <c r="C56" s="1544"/>
      <c r="D56" s="1544"/>
      <c r="E56" s="1545"/>
      <c r="F56" s="1544"/>
      <c r="G56" s="1544"/>
      <c r="H56" s="1544"/>
      <c r="I56" s="1544"/>
      <c r="J56" s="1544"/>
      <c r="K56" s="1544"/>
      <c r="L56" s="1547"/>
      <c r="M56" s="1549"/>
      <c r="N56" s="1549"/>
      <c r="O56" s="521"/>
      <c r="P56" s="1486"/>
      <c r="Q56" s="1487"/>
      <c r="R56" s="1486"/>
      <c r="S56" s="1492"/>
      <c r="T56" s="1495" t="s">
        <v>168</v>
      </c>
      <c r="U56" s="1494"/>
      <c r="V56" s="1494"/>
      <c r="W56" s="1494"/>
      <c r="X56" s="1494"/>
      <c r="Y56" s="1494"/>
      <c r="Z56" s="1494"/>
      <c r="AA56" s="1494"/>
      <c r="AB56" s="1494"/>
      <c r="AC56" s="1494"/>
      <c r="AD56" s="1494"/>
      <c r="AE56" s="1494"/>
      <c r="AF56" s="1494"/>
      <c r="AG56" s="1494"/>
      <c r="AH56" s="1494"/>
      <c r="AI56" s="1494"/>
      <c r="AJ56" s="1494"/>
      <c r="AK56" s="1494"/>
      <c r="AM56" s="1421"/>
      <c r="AN56" s="1421" t="str">
        <f>IF(T56="","",T56)</f>
        <v>Добавить наименование тарифа</v>
      </c>
      <c r="AO56" s="1421"/>
      <c r="AP56" s="1421"/>
      <c r="AQ56" s="1812">
        <v>1</v>
      </c>
    </row>
    <row customHeight="1" ht="11.549999999999999">
      <c r="M57" s="1801"/>
      <c r="N57" s="1801"/>
      <c r="O57" s="1805"/>
      <c r="P57" s="1536"/>
      <c r="Q57" s="1536"/>
      <c r="R57" s="1801"/>
      <c r="S57" s="1801"/>
      <c r="AL57" s="1801"/>
      <c r="AM57" s="1801"/>
      <c r="AN57" s="1801"/>
      <c r="AO57" s="1801"/>
      <c r="AP57" s="1801"/>
      <c r="AQ57" s="1801">
        <v>11</v>
      </c>
    </row>
    <row customHeight="1" ht="19.95">
      <c r="O58" s="1805"/>
      <c r="S58" s="1423"/>
      <c r="T58" s="2455"/>
      <c r="U58" s="2455"/>
      <c r="V58" s="2455"/>
      <c r="W58" s="2455"/>
      <c r="X58" s="2455"/>
      <c r="Y58" s="2455"/>
      <c r="Z58" s="2455"/>
      <c r="AA58" s="2455"/>
      <c r="AB58" s="2455"/>
      <c r="AC58" s="2455"/>
      <c r="AD58" s="2455"/>
      <c r="AE58" s="2455"/>
      <c r="AF58" s="2455"/>
      <c r="AG58" s="2455"/>
      <c r="AH58" s="2455"/>
      <c r="AI58" s="2455"/>
      <c r="AJ58" s="2455"/>
      <c r="AK58" s="2455"/>
      <c r="AQ58" s="1801">
        <v>19</v>
      </c>
    </row>
    <row customHeight="1" ht="21">
      <c r="O59" s="1805"/>
      <c r="T59" s="2455"/>
      <c r="U59" s="2455"/>
      <c r="V59" s="2455"/>
      <c r="W59" s="2455"/>
      <c r="X59" s="2455"/>
      <c r="Y59" s="2455"/>
      <c r="Z59" s="2455"/>
      <c r="AA59" s="2455"/>
      <c r="AB59" s="2455"/>
      <c r="AC59" s="2455"/>
      <c r="AD59" s="2455"/>
      <c r="AE59" s="2455"/>
      <c r="AF59" s="2455"/>
      <c r="AG59" s="2455"/>
      <c r="AH59" s="2455"/>
      <c r="AI59" s="2455"/>
      <c r="AJ59" s="2455"/>
      <c r="AK59" s="2455"/>
      <c r="AQ59" s="1801">
        <v>20</v>
      </c>
    </row>
    <row customHeight="1" ht="14.699999999999998">
      <c r="O60" s="1805"/>
      <c r="T60" s="2123"/>
      <c r="U60" s="2123"/>
      <c r="V60" s="2123"/>
      <c r="W60" s="2123"/>
      <c r="X60" s="2123"/>
      <c r="Y60" s="2123"/>
      <c r="Z60" s="2123"/>
      <c r="AA60" s="2123"/>
      <c r="AB60" s="2123"/>
      <c r="AC60" s="2123"/>
      <c r="AD60" s="2123"/>
      <c r="AE60" s="2123"/>
      <c r="AF60" s="2123"/>
      <c r="AG60" s="2123"/>
      <c r="AH60" s="2123"/>
      <c r="AI60" s="2123"/>
      <c r="AJ60" s="2123"/>
      <c r="AK60" s="2123"/>
      <c r="AQ60" s="1801">
        <v>14</v>
      </c>
    </row>
    <row customHeight="1" ht="19.95">
      <c r="O61" s="1805"/>
      <c r="T61" s="2455"/>
      <c r="U61" s="2455"/>
      <c r="V61" s="2455"/>
      <c r="W61" s="2455"/>
      <c r="X61" s="2455"/>
      <c r="Y61" s="2455"/>
      <c r="Z61" s="2455"/>
      <c r="AA61" s="2455"/>
      <c r="AB61" s="2455"/>
      <c r="AC61" s="2455"/>
      <c r="AD61" s="2455"/>
      <c r="AE61" s="2455"/>
      <c r="AF61" s="2455"/>
      <c r="AG61" s="2455"/>
      <c r="AH61" s="2455"/>
      <c r="AI61" s="2455"/>
      <c r="AJ61" s="2455"/>
      <c r="AK61" s="2455"/>
      <c r="AQ61" s="1801">
        <v>19</v>
      </c>
    </row>
    <row customHeight="1" ht="16.8">
      <c r="O62" s="1805"/>
      <c r="T62" s="2455"/>
      <c r="U62" s="2455"/>
      <c r="V62" s="2455"/>
      <c r="W62" s="2455"/>
      <c r="X62" s="2455"/>
      <c r="Y62" s="2455"/>
      <c r="Z62" s="2455"/>
      <c r="AA62" s="2455"/>
      <c r="AB62" s="2455"/>
      <c r="AC62" s="2455"/>
      <c r="AD62" s="2455"/>
      <c r="AE62" s="2455"/>
      <c r="AF62" s="2455"/>
      <c r="AG62" s="2455"/>
      <c r="AH62" s="2455"/>
      <c r="AI62" s="2455"/>
      <c r="AJ62" s="2455"/>
      <c r="AK62" s="2455"/>
      <c r="AQ62" s="1801">
        <v>16</v>
      </c>
    </row>
    <row customHeight="1" ht="14.699999999999998">
      <c r="O63" s="1805"/>
      <c r="AQ63" s="1801">
        <v>14</v>
      </c>
    </row>
    <row customHeight="1" ht="22.5" hidden="1">
      <c r="A64" s="1801" t="s">
        <v>85</v>
      </c>
      <c r="B64" s="1801">
        <v>0</v>
      </c>
      <c r="C64" s="1801">
        <v>0</v>
      </c>
      <c r="D64" s="1801">
        <v>0</v>
      </c>
      <c r="E64" s="1801">
        <v>0</v>
      </c>
      <c r="F64" s="1801">
        <v>0</v>
      </c>
      <c r="G64" s="1801">
        <v>0</v>
      </c>
      <c r="H64" s="1801">
        <v>0</v>
      </c>
      <c r="I64" s="1801">
        <v>0</v>
      </c>
      <c r="J64" s="1801">
        <v>0</v>
      </c>
      <c r="K64" s="1801">
        <v>0</v>
      </c>
      <c r="L64" s="2109">
        <v>0</v>
      </c>
      <c r="M64" s="2135">
        <v>0</v>
      </c>
      <c r="N64" s="2135">
        <v>0</v>
      </c>
      <c r="O64" s="2135">
        <v>0</v>
      </c>
      <c r="P64" s="1532">
        <v>3</v>
      </c>
      <c r="Q64" s="1541">
        <v>3</v>
      </c>
      <c r="R64" s="514">
        <v>3</v>
      </c>
      <c r="S64" s="751">
        <v>12</v>
      </c>
      <c r="T64" s="1801">
        <v>31</v>
      </c>
      <c r="U64" s="1801">
        <v>0</v>
      </c>
      <c r="V64" s="1801">
        <v>0</v>
      </c>
      <c r="W64" s="1801">
        <v>0</v>
      </c>
      <c r="X64" s="1801">
        <v>0</v>
      </c>
      <c r="Y64" s="1801">
        <v>0</v>
      </c>
      <c r="Z64" s="1801">
        <v>0</v>
      </c>
      <c r="AA64" s="1801">
        <v>0</v>
      </c>
      <c r="AB64" s="1801">
        <v>27</v>
      </c>
      <c r="AC64" s="1801">
        <v>24</v>
      </c>
      <c r="AD64" s="1801">
        <v>21</v>
      </c>
      <c r="AE64" s="1801">
        <v>21</v>
      </c>
      <c r="AF64" s="1801">
        <v>11</v>
      </c>
      <c r="AG64" s="1801">
        <v>3</v>
      </c>
      <c r="AH64" s="1801">
        <v>11</v>
      </c>
      <c r="AI64" s="1801">
        <v>8</v>
      </c>
      <c r="AJ64" s="1801">
        <v>4</v>
      </c>
      <c r="AK64" s="1801">
        <v>115</v>
      </c>
      <c r="AL64" s="1806">
        <v>10</v>
      </c>
      <c r="AM64" s="1806">
        <v>10</v>
      </c>
      <c r="AN64" s="1806">
        <v>10</v>
      </c>
      <c r="AO64" s="1806">
        <v>10</v>
      </c>
      <c r="AP64" s="1806">
        <v>10</v>
      </c>
      <c r="AQ64" s="180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4CA2C3-32AE-4F59-8791-A9FDF6E0462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1992" width="11.57421875" hidden="1" customWidth="1"/>
    <col min="2" max="2" style="11992" width="11.00390625" hidden="1" customWidth="1"/>
    <col min="3" max="3" style="11992" width="10.57421875" hidden="1"/>
    <col min="4" max="4" style="11992" width="12.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2.00390625" hidden="1" customWidth="1"/>
    <col min="10" max="10" style="11992" width="9.8515625" hidden="1" customWidth="1"/>
    <col min="11" max="11" style="11992" width="11.421875" hidden="1" customWidth="1"/>
    <col min="12" max="12" style="13388" width="19.140625" hidden="1" customWidth="1"/>
    <col min="13" max="14" style="13389" width="12.28125" hidden="1" customWidth="1"/>
    <col min="15" max="15" style="13389" width="23.421875" hidden="1" customWidth="1"/>
    <col min="16" max="16" style="13389" width="3.7109375" hidden="1" customWidth="1"/>
    <col min="17" max="17" style="14302" width="3.7109375" hidden="1" customWidth="1"/>
    <col min="18" max="18" style="13391" width="3.00390625" customWidth="1"/>
    <col min="19" max="19" style="13392" width="12.00390625" customWidth="1"/>
    <col min="20" max="20" style="11913" width="31.00390625" customWidth="1"/>
    <col min="21" max="21" style="11913" width="0.140625" customWidth="1"/>
    <col min="22" max="25" style="11913" width="21.7109375" hidden="1" customWidth="1"/>
    <col min="26" max="26" style="11913" width="11.7109375" hidden="1" customWidth="1"/>
    <col min="27" max="27" style="11913" width="3.7109375" hidden="1" customWidth="1"/>
    <col min="28" max="28" style="11913" width="11.7109375" hidden="1" customWidth="1"/>
    <col min="29" max="29" style="11913" width="8.57421875" hidden="1" customWidth="1"/>
    <col min="30" max="30" style="11913" width="3.7109375" customWidth="1"/>
    <col min="31" max="32" style="11913" width="3.00390625" customWidth="1"/>
    <col min="33" max="33" style="11913" width="24.00390625" customWidth="1"/>
    <col min="34" max="34" style="11913" width="3.7109375" customWidth="1"/>
    <col min="35" max="36" style="11913" width="3.00390625" customWidth="1"/>
    <col min="37" max="37" style="11913" width="24.00390625" customWidth="1"/>
    <col min="38" max="38" style="11913" width="3.7109375" customWidth="1"/>
    <col min="39" max="40" style="11913" width="3.00390625" customWidth="1"/>
    <col min="41" max="41" style="11913" width="18.00390625" customWidth="1"/>
    <col min="42" max="42" style="11913" width="3.7109375" customWidth="1"/>
    <col min="43" max="44" style="11913" width="3.00390625" customWidth="1"/>
    <col min="45" max="45" style="11913" width="18.00390625" customWidth="1"/>
    <col min="46" max="49" style="11913" width="21.00390625" customWidth="1"/>
    <col min="50" max="50" style="11913" width="11.00390625" customWidth="1"/>
    <col min="51" max="51" style="11913" width="3.7109375" customWidth="1"/>
    <col min="52" max="52" style="11913" width="11.00390625" customWidth="1"/>
    <col min="53" max="53" style="11913" width="8.57421875" hidden="1" customWidth="1"/>
    <col min="54" max="54" style="11913" width="4.00390625" customWidth="1"/>
    <col min="55" max="55" style="11913" width="115.00390625" customWidth="1"/>
    <col min="56" max="60" style="11993" width="10.00390625" customWidth="1"/>
    <col min="61" max="61" style="11913" width="10.57421875" hidden="1"/>
  </cols>
  <sheetData>
    <row customHeight="1" ht="22.5" hidden="1">
      <c r="W1" s="497"/>
      <c r="Y1" s="497"/>
      <c r="Z1" s="497"/>
      <c r="AW1" s="497"/>
      <c r="AX1" s="497"/>
      <c r="BI1" s="1325" t="s">
        <v>14</v>
      </c>
    </row>
    <row customHeight="1" ht="21" hidden="1">
      <c r="A2" s="1533"/>
      <c r="B2" s="1533"/>
      <c r="C2" s="1533"/>
      <c r="D2" s="1533"/>
      <c r="E2" s="2428">
        <v>1</v>
      </c>
      <c r="F2" s="1533"/>
      <c r="G2" s="1533"/>
      <c r="H2" s="1533"/>
      <c r="I2" s="1533"/>
      <c r="J2" s="1533"/>
      <c r="K2" s="1533"/>
      <c r="L2" s="1534"/>
      <c r="M2" s="1535"/>
      <c r="N2" s="1535"/>
      <c r="O2" s="1535"/>
      <c r="P2" s="1579"/>
      <c r="Q2" s="1043"/>
      <c r="R2" s="525"/>
      <c r="S2" s="1635">
        <f>INDEX(PT_DIFFERENTIATION_NUM_NTAR,MATCH(A2,PT_DIFFERENTIATION_NTAR_ID,0))</f>
      </c>
      <c r="T2" s="468" t="s">
        <v>126</v>
      </c>
      <c r="U2" s="470"/>
      <c r="V2" s="2413"/>
      <c r="W2" s="2413"/>
      <c r="X2" s="2413"/>
      <c r="Y2" s="2413"/>
      <c r="Z2" s="2413"/>
      <c r="AA2" s="2413"/>
      <c r="AB2" s="2413"/>
      <c r="AC2" s="2414"/>
      <c r="AD2" s="2412">
        <f>INDEX(PT_DIFFERENTIATION_NTAR,MATCH(A2,PT_DIFFERENTIATION_NTAR_ID,0))</f>
      </c>
      <c r="AE2" s="2413"/>
      <c r="AF2" s="2413"/>
      <c r="AG2" s="2413"/>
      <c r="AH2" s="2413"/>
      <c r="AI2" s="2413"/>
      <c r="AJ2" s="2413"/>
      <c r="AK2" s="2413"/>
      <c r="AL2" s="2413"/>
      <c r="AM2" s="2413"/>
      <c r="AN2" s="2413"/>
      <c r="AO2" s="2413"/>
      <c r="AP2" s="2413"/>
      <c r="AQ2" s="2413"/>
      <c r="AR2" s="2413"/>
      <c r="AS2" s="2413"/>
      <c r="AT2" s="2413"/>
      <c r="AU2" s="2413"/>
      <c r="AV2" s="2413"/>
      <c r="AW2" s="2413"/>
      <c r="AX2" s="2413"/>
      <c r="AY2" s="2413"/>
      <c r="AZ2" s="2413"/>
      <c r="BA2" s="2413"/>
      <c r="BB2" s="2414"/>
      <c r="BC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70"/>
      <c r="BF2" s="670" t="str">
        <f>IF(T2="","",T2)</f>
        <v>Наименование тарифа</v>
      </c>
      <c r="BG2" s="670"/>
      <c r="BH2" s="670"/>
      <c r="BI2" s="1325">
        <v>0</v>
      </c>
    </row>
    <row customHeight="1" ht="21" hidden="1">
      <c r="A3" s="1533"/>
      <c r="B3" s="1533"/>
      <c r="C3" s="1533"/>
      <c r="D3" s="1533"/>
      <c r="E3" s="2429"/>
      <c r="F3" s="2428">
        <v>1</v>
      </c>
      <c r="G3" s="1533"/>
      <c r="H3" s="1533"/>
      <c r="I3" s="1533"/>
      <c r="J3" s="1533"/>
      <c r="K3" s="1533"/>
      <c r="L3" s="1534"/>
      <c r="M3" s="1535"/>
      <c r="N3" s="1535"/>
      <c r="O3" s="1535"/>
      <c r="P3" s="1580"/>
      <c r="Q3" s="1581"/>
      <c r="R3" s="523"/>
      <c r="S3" s="1635">
        <f>INDEX(PT_DIFFERENTIATION_NUM_TER,MATCH(B3,PT_DIFFERENTIATION_TER_ID,0))</f>
      </c>
      <c r="T3" s="478" t="s">
        <v>409</v>
      </c>
      <c r="U3" s="470"/>
      <c r="V3" s="2413"/>
      <c r="W3" s="2413"/>
      <c r="X3" s="2413"/>
      <c r="Y3" s="2413"/>
      <c r="Z3" s="2413"/>
      <c r="AA3" s="2413"/>
      <c r="AB3" s="2413"/>
      <c r="AC3" s="2414"/>
      <c r="AD3" s="2412">
        <f>INDEX(PT_DIFFERENTIATION_TER,MATCH(B3,PT_DIFFERENTIATION_TER_ID,0))</f>
      </c>
      <c r="AE3" s="2413"/>
      <c r="AF3" s="2413"/>
      <c r="AG3" s="2413"/>
      <c r="AH3" s="2413"/>
      <c r="AI3" s="2413"/>
      <c r="AJ3" s="2413"/>
      <c r="AK3" s="2413"/>
      <c r="AL3" s="2413"/>
      <c r="AM3" s="2413"/>
      <c r="AN3" s="2413"/>
      <c r="AO3" s="2413"/>
      <c r="AP3" s="2413"/>
      <c r="AQ3" s="2413"/>
      <c r="AR3" s="2413"/>
      <c r="AS3" s="2413"/>
      <c r="AT3" s="2413"/>
      <c r="AU3" s="2413"/>
      <c r="AV3" s="2413"/>
      <c r="AW3" s="2413"/>
      <c r="AX3" s="2413"/>
      <c r="AY3" s="2413"/>
      <c r="AZ3" s="2413"/>
      <c r="BA3" s="2413"/>
      <c r="BB3" s="2414"/>
      <c r="BC3" s="1428" t="s">
        <v>410</v>
      </c>
      <c r="BE3" s="670"/>
      <c r="BF3" s="670" t="str">
        <f>IF(T3="","",T3)</f>
        <v>Территория действия тарифа</v>
      </c>
      <c r="BG3" s="670"/>
      <c r="BH3" s="670"/>
      <c r="BI3" s="1325">
        <v>0</v>
      </c>
    </row>
    <row customHeight="1" ht="42" hidden="1">
      <c r="A4" s="1533"/>
      <c r="B4" s="1533"/>
      <c r="C4" s="1533"/>
      <c r="D4" s="1533"/>
      <c r="E4" s="2429"/>
      <c r="F4" s="2429"/>
      <c r="G4" s="2428">
        <v>1</v>
      </c>
      <c r="H4" s="1533"/>
      <c r="I4" s="1533"/>
      <c r="J4" s="1533"/>
      <c r="K4" s="1533"/>
      <c r="L4" s="1534"/>
      <c r="M4" s="1535"/>
      <c r="N4" s="1535"/>
      <c r="O4" s="1535"/>
      <c r="P4" s="1582"/>
      <c r="Q4" s="1581"/>
      <c r="R4" s="523"/>
      <c r="S4" s="1635">
        <f>INDEX(PT_DIFFERENTIATION_NUM_CS,MATCH(C4,PT_DIFFERENTIATION_CS_ID,0))</f>
      </c>
      <c r="T4" s="479" t="s">
        <v>496</v>
      </c>
      <c r="U4" s="470"/>
      <c r="V4" s="2413"/>
      <c r="W4" s="2413"/>
      <c r="X4" s="2413"/>
      <c r="Y4" s="2413"/>
      <c r="Z4" s="2413"/>
      <c r="AA4" s="2413"/>
      <c r="AB4" s="2413"/>
      <c r="AC4" s="2414"/>
      <c r="AD4" s="2412">
        <f>INDEX(PT_DIFFERENTIATION_CS,MATCH(C4,PT_DIFFERENTIATION_CS_ID,0))</f>
      </c>
      <c r="AE4" s="2413"/>
      <c r="AF4" s="2413"/>
      <c r="AG4" s="2413"/>
      <c r="AH4" s="2413"/>
      <c r="AI4" s="2413"/>
      <c r="AJ4" s="2413"/>
      <c r="AK4" s="2413"/>
      <c r="AL4" s="2413"/>
      <c r="AM4" s="2413"/>
      <c r="AN4" s="2413"/>
      <c r="AO4" s="2413"/>
      <c r="AP4" s="2413"/>
      <c r="AQ4" s="2413"/>
      <c r="AR4" s="2413"/>
      <c r="AS4" s="2413"/>
      <c r="AT4" s="2413"/>
      <c r="AU4" s="2413"/>
      <c r="AV4" s="2413"/>
      <c r="AW4" s="2413"/>
      <c r="AX4" s="2413"/>
      <c r="AY4" s="2413"/>
      <c r="AZ4" s="2413"/>
      <c r="BA4" s="2413"/>
      <c r="BB4" s="2414"/>
      <c r="BC4" s="1428" t="s">
        <v>497</v>
      </c>
      <c r="BE4" s="670"/>
      <c r="BF4" s="670" t="str">
        <f>IF(T4="","",T4)</f>
        <v>Наименование централизованной системы холодного водоснабжения</v>
      </c>
      <c r="BG4" s="670"/>
      <c r="BH4" s="670"/>
      <c r="BI4" s="1325">
        <v>0</v>
      </c>
    </row>
    <row s="11993" customFormat="1" customHeight="1" ht="14.25" hidden="1">
      <c r="A5" s="1513"/>
      <c r="B5" s="1513"/>
      <c r="C5" s="1513"/>
      <c r="D5" s="1513"/>
      <c r="E5" s="2429"/>
      <c r="F5" s="2429"/>
      <c r="G5" s="2429"/>
      <c r="H5" s="2428">
        <v>1</v>
      </c>
      <c r="I5" s="1513"/>
      <c r="J5" s="1513"/>
      <c r="K5" s="1513"/>
      <c r="L5" s="1516"/>
      <c r="M5" s="1485"/>
      <c r="N5" s="1485"/>
      <c r="O5" s="1485"/>
      <c r="P5" s="1667"/>
      <c r="Q5" s="1668"/>
      <c r="R5" s="527"/>
      <c r="S5" s="1212"/>
      <c r="T5" s="1669"/>
      <c r="U5" s="1554"/>
      <c r="V5" s="2467"/>
      <c r="W5" s="2467"/>
      <c r="X5" s="2467"/>
      <c r="Y5" s="2467"/>
      <c r="Z5" s="2467"/>
      <c r="AA5" s="2467"/>
      <c r="AB5" s="2467"/>
      <c r="AC5" s="2468"/>
      <c r="AD5" s="2466"/>
      <c r="AE5" s="2467"/>
      <c r="AF5" s="2467"/>
      <c r="AG5" s="2467"/>
      <c r="AH5" s="2467"/>
      <c r="AI5" s="2467"/>
      <c r="AJ5" s="2467"/>
      <c r="AK5" s="2467"/>
      <c r="AL5" s="2467"/>
      <c r="AM5" s="2467"/>
      <c r="AN5" s="2467"/>
      <c r="AO5" s="2467"/>
      <c r="AP5" s="2467"/>
      <c r="AQ5" s="2467"/>
      <c r="AR5" s="2467"/>
      <c r="AS5" s="2467"/>
      <c r="AT5" s="2467"/>
      <c r="AU5" s="2467"/>
      <c r="AV5" s="2467"/>
      <c r="AW5" s="2467"/>
      <c r="AX5" s="2467"/>
      <c r="AY5" s="2467"/>
      <c r="AZ5" s="2467"/>
      <c r="BA5" s="2467"/>
      <c r="BB5" s="2468"/>
      <c r="BC5" s="1555" t="s">
        <v>414</v>
      </c>
      <c r="BE5" s="670"/>
      <c r="BF5" s="670" t="str">
        <f>IF(T5="","",T5)</f>
        <v/>
      </c>
      <c r="BG5" s="670"/>
      <c r="BH5" s="670"/>
      <c r="BI5" s="681">
        <v>0</v>
      </c>
    </row>
    <row s="11993" customFormat="1" customHeight="1" ht="14.25" hidden="1">
      <c r="A6" s="1513"/>
      <c r="B6" s="1513"/>
      <c r="C6" s="1513"/>
      <c r="D6" s="1513"/>
      <c r="E6" s="2429"/>
      <c r="F6" s="2429"/>
      <c r="G6" s="2429"/>
      <c r="H6" s="2429"/>
      <c r="I6" s="2426" t="str">
        <f>S5&amp;".1"</f>
        <v>.1</v>
      </c>
      <c r="J6" s="1513"/>
      <c r="K6" s="1513"/>
      <c r="L6" s="1516" t="s">
        <v>415</v>
      </c>
      <c r="M6" s="680"/>
      <c r="N6" s="680"/>
      <c r="O6" s="680"/>
      <c r="P6" s="2427">
        <v>1</v>
      </c>
      <c r="Q6" s="1632"/>
      <c r="R6" s="526"/>
      <c r="S6" s="1212"/>
      <c r="T6" s="1553"/>
      <c r="U6" s="1554"/>
      <c r="V6" s="2467"/>
      <c r="W6" s="2467"/>
      <c r="X6" s="2467"/>
      <c r="Y6" s="2467"/>
      <c r="Z6" s="2467"/>
      <c r="AA6" s="2467"/>
      <c r="AB6" s="2467"/>
      <c r="AC6" s="2468"/>
      <c r="AD6" s="2466"/>
      <c r="AE6" s="2467"/>
      <c r="AF6" s="2467"/>
      <c r="AG6" s="2467"/>
      <c r="AH6" s="2467"/>
      <c r="AI6" s="2467"/>
      <c r="AJ6" s="2467"/>
      <c r="AK6" s="2467"/>
      <c r="AL6" s="2467"/>
      <c r="AM6" s="2467"/>
      <c r="AN6" s="2467"/>
      <c r="AO6" s="2467"/>
      <c r="AP6" s="2467"/>
      <c r="AQ6" s="2467"/>
      <c r="AR6" s="2467"/>
      <c r="AS6" s="2467"/>
      <c r="AT6" s="2467"/>
      <c r="AU6" s="2467"/>
      <c r="AV6" s="2467"/>
      <c r="AW6" s="2467"/>
      <c r="AX6" s="2467"/>
      <c r="AY6" s="2467"/>
      <c r="AZ6" s="2467"/>
      <c r="BA6" s="2467"/>
      <c r="BB6" s="2468"/>
      <c r="BC6" s="1555"/>
      <c r="BE6" s="670"/>
      <c r="BF6" s="670" t="str">
        <f>IF(T6="","",T6)</f>
        <v/>
      </c>
      <c r="BG6" s="670"/>
      <c r="BH6" s="670"/>
      <c r="BI6" s="681">
        <v>0</v>
      </c>
    </row>
    <row s="11993" customFormat="1" customHeight="1" ht="14.25" hidden="1">
      <c r="A7" s="1513"/>
      <c r="B7" s="1513"/>
      <c r="C7" s="1513"/>
      <c r="D7" s="1513"/>
      <c r="E7" s="2429"/>
      <c r="F7" s="2429"/>
      <c r="G7" s="2429"/>
      <c r="H7" s="2429"/>
      <c r="I7" s="2456"/>
      <c r="J7" s="2426" t="str">
        <f>S5&amp;".1"</f>
        <v>.1</v>
      </c>
      <c r="K7" s="1513"/>
      <c r="L7" s="1516"/>
      <c r="M7" s="680"/>
      <c r="N7" s="680"/>
      <c r="O7" s="680"/>
      <c r="P7" s="2427"/>
      <c r="Q7" s="2427">
        <v>1</v>
      </c>
      <c r="R7" s="527"/>
      <c r="S7" s="1212"/>
      <c r="T7" s="1569"/>
      <c r="U7" s="1554"/>
      <c r="V7" s="2467"/>
      <c r="W7" s="2467"/>
      <c r="X7" s="2467"/>
      <c r="Y7" s="2467"/>
      <c r="Z7" s="2467"/>
      <c r="AA7" s="2467"/>
      <c r="AB7" s="2467"/>
      <c r="AC7" s="2468"/>
      <c r="AD7" s="2466"/>
      <c r="AE7" s="2467"/>
      <c r="AF7" s="2467"/>
      <c r="AG7" s="2467"/>
      <c r="AH7" s="2467"/>
      <c r="AI7" s="2467"/>
      <c r="AJ7" s="2467"/>
      <c r="AK7" s="2467"/>
      <c r="AL7" s="2467"/>
      <c r="AM7" s="2467"/>
      <c r="AN7" s="2467"/>
      <c r="AO7" s="2467"/>
      <c r="AP7" s="2467"/>
      <c r="AQ7" s="2467"/>
      <c r="AR7" s="2467"/>
      <c r="AS7" s="2467"/>
      <c r="AT7" s="2467"/>
      <c r="AU7" s="2467"/>
      <c r="AV7" s="2467"/>
      <c r="AW7" s="2467"/>
      <c r="AX7" s="2467"/>
      <c r="AY7" s="2467"/>
      <c r="AZ7" s="2467"/>
      <c r="BA7" s="2467"/>
      <c r="BB7" s="2468"/>
      <c r="BC7" s="1555"/>
      <c r="BE7" s="670"/>
      <c r="BF7" s="670" t="str">
        <f>IF(T7="","",T7)</f>
        <v/>
      </c>
      <c r="BG7" s="670"/>
      <c r="BH7" s="670"/>
      <c r="BI7" s="681">
        <v>0</v>
      </c>
    </row>
    <row customHeight="1" ht="11.25" hidden="1">
      <c r="A8" s="1533"/>
      <c r="B8" s="1533"/>
      <c r="C8" s="1533"/>
      <c r="D8" s="1533"/>
      <c r="E8" s="2429"/>
      <c r="F8" s="2429"/>
      <c r="G8" s="2429"/>
      <c r="H8" s="2429"/>
      <c r="I8" s="2456"/>
      <c r="J8" s="2456"/>
      <c r="K8" s="2426">
        <f>S4&amp;".1"</f>
      </c>
      <c r="L8" s="1534"/>
      <c r="P8" s="2427"/>
      <c r="Q8" s="2427"/>
      <c r="R8" s="2517">
        <v>1</v>
      </c>
      <c r="S8" s="2511">
        <f>$K8</f>
      </c>
      <c r="T8" s="2530"/>
      <c r="U8" s="470"/>
      <c r="V8" s="921"/>
      <c r="W8" s="1427"/>
      <c r="X8" s="921"/>
      <c r="Y8" s="1427"/>
      <c r="Z8" s="1904"/>
      <c r="AA8" s="1629" t="s">
        <v>64</v>
      </c>
      <c r="AB8" s="1904"/>
      <c r="AC8" s="1629" t="s">
        <v>64</v>
      </c>
      <c r="AD8" s="2355" t="s">
        <v>64</v>
      </c>
      <c r="AE8" s="2496"/>
      <c r="AF8" s="2375">
        <v>1</v>
      </c>
      <c r="AG8" s="2533"/>
      <c r="AH8" s="2277" t="s">
        <v>64</v>
      </c>
      <c r="AI8" s="2496"/>
      <c r="AJ8" s="2375">
        <v>1</v>
      </c>
      <c r="AK8" s="2497" t="s">
        <v>28</v>
      </c>
      <c r="AL8" s="2277" t="s">
        <v>64</v>
      </c>
      <c r="AM8" s="2362"/>
      <c r="AN8" s="2375">
        <v>1</v>
      </c>
      <c r="AO8" s="2527"/>
      <c r="AP8" s="2528" t="s">
        <v>64</v>
      </c>
      <c r="AQ8" s="481"/>
      <c r="AR8" s="1633">
        <v>1</v>
      </c>
      <c r="AS8" s="1636" t="s">
        <v>28</v>
      </c>
      <c r="AT8" s="921"/>
      <c r="AU8" s="1427"/>
      <c r="AV8" s="921"/>
      <c r="AW8" s="1427"/>
      <c r="AX8" s="1904"/>
      <c r="AY8" s="1629" t="s">
        <v>64</v>
      </c>
      <c r="AZ8" s="1904"/>
      <c r="BA8" s="1629" t="s">
        <v>64</v>
      </c>
      <c r="BB8" s="1518"/>
      <c r="BC8" s="2423" t="s">
        <v>516</v>
      </c>
      <c r="BE8" s="670"/>
      <c r="BF8" s="670" t="str">
        <f>IF(T8="","",T8)</f>
        <v/>
      </c>
      <c r="BG8" s="670"/>
      <c r="BH8" s="670"/>
      <c r="BI8" s="1325">
        <v>0</v>
      </c>
    </row>
    <row customHeight="1" ht="11.25" hidden="1">
      <c r="A9" s="1533"/>
      <c r="B9" s="1533"/>
      <c r="C9" s="1533"/>
      <c r="D9" s="1533"/>
      <c r="E9" s="2429"/>
      <c r="F9" s="2429"/>
      <c r="G9" s="2429"/>
      <c r="H9" s="2429"/>
      <c r="I9" s="2456"/>
      <c r="J9" s="2456"/>
      <c r="K9" s="2426"/>
      <c r="L9" s="1534"/>
      <c r="P9" s="2427"/>
      <c r="Q9" s="2427"/>
      <c r="R9" s="2517"/>
      <c r="S9" s="2512"/>
      <c r="T9" s="2531"/>
      <c r="U9" s="470"/>
      <c r="V9" s="1563"/>
      <c r="W9" s="1666"/>
      <c r="X9" s="1563"/>
      <c r="Y9" s="1666"/>
      <c r="Z9" s="1563"/>
      <c r="AA9" s="1563"/>
      <c r="AB9" s="1563"/>
      <c r="AC9" s="1563"/>
      <c r="AD9" s="2356"/>
      <c r="AE9" s="2496"/>
      <c r="AF9" s="2375"/>
      <c r="AG9" s="2533"/>
      <c r="AH9" s="2277"/>
      <c r="AI9" s="2496"/>
      <c r="AJ9" s="2375"/>
      <c r="AK9" s="2497"/>
      <c r="AL9" s="2277"/>
      <c r="AM9" s="2370"/>
      <c r="AN9" s="2375"/>
      <c r="AO9" s="2527"/>
      <c r="AP9" s="2529"/>
      <c r="AQ9" s="486"/>
      <c r="AR9" s="586"/>
      <c r="AS9" s="586" t="s">
        <v>517</v>
      </c>
      <c r="AT9" s="1563"/>
      <c r="AU9" s="1666"/>
      <c r="AV9" s="1563"/>
      <c r="AW9" s="1666"/>
      <c r="AX9" s="1563"/>
      <c r="AY9" s="1563"/>
      <c r="AZ9" s="1563"/>
      <c r="BA9" s="1563"/>
      <c r="BB9" s="1567"/>
      <c r="BC9" s="2424"/>
      <c r="BE9" s="670"/>
      <c r="BF9" s="670"/>
      <c r="BG9" s="670"/>
      <c r="BH9" s="670"/>
      <c r="BI9" s="1325">
        <v>0</v>
      </c>
    </row>
    <row customHeight="1" ht="11.25" hidden="1">
      <c r="A10" s="1533"/>
      <c r="B10" s="1533"/>
      <c r="C10" s="1533"/>
      <c r="D10" s="1533"/>
      <c r="E10" s="2429"/>
      <c r="F10" s="2429"/>
      <c r="G10" s="2429"/>
      <c r="H10" s="2429"/>
      <c r="I10" s="2456"/>
      <c r="J10" s="2456"/>
      <c r="K10" s="2426"/>
      <c r="L10" s="1534"/>
      <c r="P10" s="2427"/>
      <c r="Q10" s="2427"/>
      <c r="R10" s="2517"/>
      <c r="S10" s="2512"/>
      <c r="T10" s="2531"/>
      <c r="U10" s="470"/>
      <c r="V10" s="1563"/>
      <c r="W10" s="1666"/>
      <c r="X10" s="1563"/>
      <c r="Y10" s="1666"/>
      <c r="Z10" s="1563"/>
      <c r="AA10" s="1563"/>
      <c r="AB10" s="1563"/>
      <c r="AC10" s="1563"/>
      <c r="AD10" s="2356"/>
      <c r="AE10" s="2496"/>
      <c r="AF10" s="2375"/>
      <c r="AG10" s="2533"/>
      <c r="AH10" s="2277"/>
      <c r="AI10" s="2496"/>
      <c r="AJ10" s="2375"/>
      <c r="AK10" s="2497"/>
      <c r="AL10" s="2277"/>
      <c r="AM10" s="486"/>
      <c r="AN10" s="1670"/>
      <c r="AO10" s="1670" t="s">
        <v>518</v>
      </c>
      <c r="AP10" s="586"/>
      <c r="AQ10" s="586"/>
      <c r="AR10" s="586"/>
      <c r="AS10" s="1563"/>
      <c r="AT10" s="1563"/>
      <c r="AU10" s="1666"/>
      <c r="AV10" s="1563"/>
      <c r="AW10" s="1666"/>
      <c r="AX10" s="1563"/>
      <c r="AY10" s="1563"/>
      <c r="AZ10" s="1563"/>
      <c r="BA10" s="1563"/>
      <c r="BB10" s="1567"/>
      <c r="BC10" s="2424"/>
      <c r="BE10" s="670"/>
      <c r="BF10" s="670"/>
      <c r="BG10" s="670"/>
      <c r="BH10" s="670"/>
      <c r="BI10" s="1325">
        <v>0</v>
      </c>
    </row>
    <row customHeight="1" ht="11.25" hidden="1">
      <c r="A11" s="1533"/>
      <c r="B11" s="1533"/>
      <c r="C11" s="1533"/>
      <c r="D11" s="1533"/>
      <c r="E11" s="2429"/>
      <c r="F11" s="2429"/>
      <c r="G11" s="2429"/>
      <c r="H11" s="2429"/>
      <c r="I11" s="2456"/>
      <c r="J11" s="2456"/>
      <c r="K11" s="2426"/>
      <c r="L11" s="1534"/>
      <c r="P11" s="2427"/>
      <c r="Q11" s="2427"/>
      <c r="R11" s="2517"/>
      <c r="S11" s="2512"/>
      <c r="T11" s="2531"/>
      <c r="U11" s="470"/>
      <c r="V11" s="1563"/>
      <c r="W11" s="1666"/>
      <c r="X11" s="1563"/>
      <c r="Y11" s="1666"/>
      <c r="Z11" s="1563"/>
      <c r="AA11" s="1563"/>
      <c r="AB11" s="1563"/>
      <c r="AC11" s="1563"/>
      <c r="AD11" s="2356"/>
      <c r="AE11" s="2496"/>
      <c r="AF11" s="2375"/>
      <c r="AG11" s="2533"/>
      <c r="AH11" s="2277"/>
      <c r="AI11" s="464"/>
      <c r="AJ11" s="585"/>
      <c r="AK11" s="483" t="s">
        <v>519</v>
      </c>
      <c r="AL11" s="1563"/>
      <c r="AM11" s="1563"/>
      <c r="AN11" s="1563"/>
      <c r="AO11" s="1563"/>
      <c r="AP11" s="1563"/>
      <c r="AQ11" s="1563"/>
      <c r="AR11" s="1563"/>
      <c r="AS11" s="1563"/>
      <c r="AT11" s="1563"/>
      <c r="AU11" s="1666"/>
      <c r="AV11" s="1563"/>
      <c r="AW11" s="1666"/>
      <c r="AX11" s="1563"/>
      <c r="AY11" s="1563"/>
      <c r="AZ11" s="1563"/>
      <c r="BA11" s="1563"/>
      <c r="BB11" s="1567"/>
      <c r="BC11" s="2424"/>
      <c r="BE11" s="670"/>
      <c r="BF11" s="670"/>
      <c r="BG11" s="670"/>
      <c r="BH11" s="670"/>
      <c r="BI11" s="1325">
        <v>0</v>
      </c>
    </row>
    <row customHeight="1" ht="11.25" hidden="1">
      <c r="A12" s="1533"/>
      <c r="B12" s="1533"/>
      <c r="C12" s="1533"/>
      <c r="D12" s="1533"/>
      <c r="E12" s="2429"/>
      <c r="F12" s="2429"/>
      <c r="G12" s="2429"/>
      <c r="H12" s="2429"/>
      <c r="I12" s="2456"/>
      <c r="J12" s="2456"/>
      <c r="K12" s="2426"/>
      <c r="L12" s="1534"/>
      <c r="P12" s="2427"/>
      <c r="Q12" s="2427"/>
      <c r="R12" s="2517"/>
      <c r="S12" s="2513"/>
      <c r="T12" s="2532"/>
      <c r="U12" s="470"/>
      <c r="V12" s="1563"/>
      <c r="W12" s="1564" t="str">
        <f>Z8&amp;"-"&amp;AB8</f>
        <v>-</v>
      </c>
      <c r="X12" s="1563"/>
      <c r="Y12" s="1564" t="str">
        <f>AB8&amp;"-"&amp;AD8</f>
        <v>-да</v>
      </c>
      <c r="Z12" s="1563"/>
      <c r="AA12" s="1563"/>
      <c r="AB12" s="1563"/>
      <c r="AC12" s="1563"/>
      <c r="AD12" s="2282"/>
      <c r="AE12" s="482"/>
      <c r="AF12" s="484"/>
      <c r="AG12" s="586" t="s">
        <v>520</v>
      </c>
      <c r="AH12" s="1563"/>
      <c r="AI12" s="1563"/>
      <c r="AJ12" s="1563"/>
      <c r="AK12" s="1563"/>
      <c r="AL12" s="1563"/>
      <c r="AM12" s="1563"/>
      <c r="AN12" s="1563"/>
      <c r="AO12" s="1563"/>
      <c r="AP12" s="1563"/>
      <c r="AQ12" s="1563"/>
      <c r="AR12" s="1563"/>
      <c r="AS12" s="1563"/>
      <c r="AT12" s="1563"/>
      <c r="AU12" s="1564" t="str">
        <f>AX8&amp;"-"&amp;AZ8</f>
        <v>-</v>
      </c>
      <c r="AV12" s="1563"/>
      <c r="AW12" s="1564" t="str">
        <f>AZ8&amp;"-"&amp;BB8</f>
        <v>-</v>
      </c>
      <c r="AX12" s="1563"/>
      <c r="AY12" s="1563"/>
      <c r="AZ12" s="1563"/>
      <c r="BA12" s="1563"/>
      <c r="BB12" s="1566" t="str">
        <f>BE8&amp;"-"&amp;BG8</f>
        <v>-</v>
      </c>
      <c r="BC12" s="2424"/>
      <c r="BE12" s="670"/>
      <c r="BF12" s="670" t="str">
        <f>IF(T12="","",T12)</f>
        <v/>
      </c>
      <c r="BG12" s="670"/>
      <c r="BH12" s="670"/>
      <c r="BI12" s="1325">
        <v>0</v>
      </c>
    </row>
    <row customHeight="1" ht="11.25" hidden="1">
      <c r="A13" s="1533"/>
      <c r="B13" s="1533"/>
      <c r="C13" s="1533"/>
      <c r="D13" s="1533"/>
      <c r="E13" s="2429"/>
      <c r="F13" s="2429"/>
      <c r="G13" s="2429"/>
      <c r="H13" s="2429"/>
      <c r="I13" s="2456"/>
      <c r="J13" s="2426"/>
      <c r="K13" s="1533"/>
      <c r="L13" s="1534"/>
      <c r="P13" s="2427"/>
      <c r="Q13" s="2427"/>
      <c r="R13" s="526"/>
      <c r="S13" s="1448"/>
      <c r="T13" s="457" t="s">
        <v>481</v>
      </c>
      <c r="U13" s="537"/>
      <c r="V13" s="537"/>
      <c r="W13" s="537"/>
      <c r="X13" s="537"/>
      <c r="Y13" s="537"/>
      <c r="Z13" s="537"/>
      <c r="AA13" s="537"/>
      <c r="AB13" s="537"/>
      <c r="AC13" s="537"/>
      <c r="AD13" s="1675"/>
      <c r="AE13" s="537"/>
      <c r="AF13" s="537"/>
      <c r="AG13" s="537"/>
      <c r="AH13" s="537"/>
      <c r="AI13" s="537"/>
      <c r="AJ13" s="537"/>
      <c r="AK13" s="537"/>
      <c r="AL13" s="537"/>
      <c r="AM13" s="537"/>
      <c r="AN13" s="537"/>
      <c r="AO13" s="537"/>
      <c r="AP13" s="537"/>
      <c r="AQ13" s="537"/>
      <c r="AR13" s="537"/>
      <c r="AS13" s="537"/>
      <c r="AT13" s="537"/>
      <c r="AU13" s="537"/>
      <c r="AV13" s="537"/>
      <c r="AW13" s="537"/>
      <c r="AX13" s="537"/>
      <c r="AY13" s="537"/>
      <c r="AZ13" s="537"/>
      <c r="BA13" s="537"/>
      <c r="BB13" s="494"/>
      <c r="BC13" s="2425"/>
      <c r="BE13" s="670"/>
      <c r="BF13" s="670" t="str">
        <f>IF(T13="","",T13)</f>
        <v>Добавить строку</v>
      </c>
      <c r="BG13" s="670"/>
      <c r="BH13" s="670"/>
      <c r="BI13" s="1325">
        <v>0</v>
      </c>
    </row>
    <row s="11993" customFormat="1" customHeight="1" ht="14.25" hidden="1">
      <c r="A14" s="1513"/>
      <c r="B14" s="1513"/>
      <c r="C14" s="1513"/>
      <c r="D14" s="1513"/>
      <c r="E14" s="2429"/>
      <c r="F14" s="2429"/>
      <c r="G14" s="2429"/>
      <c r="H14" s="2429"/>
      <c r="I14" s="2426"/>
      <c r="J14" s="1513"/>
      <c r="K14" s="1513"/>
      <c r="L14" s="1516"/>
      <c r="M14" s="680"/>
      <c r="N14" s="680"/>
      <c r="O14" s="680"/>
      <c r="P14" s="2427"/>
      <c r="Q14" s="1632"/>
      <c r="R14" s="526"/>
      <c r="S14" s="1556"/>
      <c r="T14" s="1557"/>
      <c r="U14" s="1558"/>
      <c r="V14" s="1558"/>
      <c r="W14" s="1558"/>
      <c r="X14" s="1558"/>
      <c r="Y14" s="1558"/>
      <c r="Z14" s="1558"/>
      <c r="AA14" s="1558"/>
      <c r="AB14" s="1558"/>
      <c r="AC14" s="1558"/>
      <c r="AD14" s="1558"/>
      <c r="AE14" s="1558"/>
      <c r="AF14" s="1558"/>
      <c r="AG14" s="1558"/>
      <c r="AH14" s="1558"/>
      <c r="AI14" s="1558"/>
      <c r="AJ14" s="1558"/>
      <c r="AK14" s="1558"/>
      <c r="AL14" s="1558"/>
      <c r="AM14" s="1558"/>
      <c r="AN14" s="1558"/>
      <c r="AO14" s="1558"/>
      <c r="AP14" s="1558"/>
      <c r="AQ14" s="1558"/>
      <c r="AR14" s="1558"/>
      <c r="AS14" s="1558"/>
      <c r="AT14" s="1558"/>
      <c r="AU14" s="1558"/>
      <c r="AV14" s="1558"/>
      <c r="AW14" s="1558"/>
      <c r="AX14" s="1558"/>
      <c r="AY14" s="1558"/>
      <c r="AZ14" s="1558"/>
      <c r="BA14" s="1558"/>
      <c r="BB14" s="1558"/>
      <c r="BC14" s="1559"/>
      <c r="BE14" s="670"/>
      <c r="BF14" s="670" t="str">
        <f>IF(T14="","",T14)</f>
        <v/>
      </c>
      <c r="BG14" s="670"/>
      <c r="BH14" s="670"/>
      <c r="BI14" s="681">
        <v>0</v>
      </c>
    </row>
    <row s="11993" customFormat="1" customHeight="1" ht="14.25" hidden="1">
      <c r="A15" s="1513"/>
      <c r="B15" s="1513"/>
      <c r="C15" s="1513"/>
      <c r="D15" s="1513"/>
      <c r="E15" s="2429"/>
      <c r="F15" s="2429"/>
      <c r="G15" s="2429"/>
      <c r="H15" s="2428"/>
      <c r="I15" s="1513"/>
      <c r="J15" s="1513"/>
      <c r="K15" s="1513"/>
      <c r="L15" s="1516"/>
      <c r="M15" s="1485"/>
      <c r="N15" s="1485"/>
      <c r="O15" s="688"/>
      <c r="P15" s="550"/>
      <c r="Q15" s="1514"/>
      <c r="R15" s="1571"/>
      <c r="S15" s="1556"/>
      <c r="T15" s="1557"/>
      <c r="U15" s="1558"/>
      <c r="V15" s="1558"/>
      <c r="W15" s="1558"/>
      <c r="X15" s="1558"/>
      <c r="Y15" s="1558"/>
      <c r="Z15" s="1558"/>
      <c r="AA15" s="1558"/>
      <c r="AB15" s="1558"/>
      <c r="AC15" s="1558"/>
      <c r="AD15" s="1558"/>
      <c r="AE15" s="1558"/>
      <c r="AF15" s="1558"/>
      <c r="AG15" s="1558"/>
      <c r="AH15" s="1558"/>
      <c r="AI15" s="1558"/>
      <c r="AJ15" s="1558"/>
      <c r="AK15" s="1558"/>
      <c r="AL15" s="1558"/>
      <c r="AM15" s="1558"/>
      <c r="AN15" s="1558"/>
      <c r="AO15" s="1558"/>
      <c r="AP15" s="1558"/>
      <c r="AQ15" s="1558"/>
      <c r="AR15" s="1558"/>
      <c r="AS15" s="1558"/>
      <c r="AT15" s="1558"/>
      <c r="AU15" s="1558"/>
      <c r="AV15" s="1558"/>
      <c r="AW15" s="1558"/>
      <c r="AX15" s="1558"/>
      <c r="AY15" s="1558"/>
      <c r="AZ15" s="1558"/>
      <c r="BA15" s="1558"/>
      <c r="BB15" s="1558"/>
      <c r="BC15" s="1559"/>
      <c r="BE15" s="670"/>
      <c r="BF15" s="670" t="str">
        <f>IF(T15="","",T15)</f>
        <v/>
      </c>
      <c r="BG15" s="670"/>
      <c r="BH15" s="670"/>
      <c r="BI15" s="681">
        <v>0</v>
      </c>
    </row>
    <row s="11993" customFormat="1" customHeight="1" ht="14.25" hidden="1">
      <c r="A16" s="1513"/>
      <c r="B16" s="1513"/>
      <c r="C16" s="1513"/>
      <c r="D16" s="1484"/>
      <c r="E16" s="2429"/>
      <c r="F16" s="2429"/>
      <c r="G16" s="2428"/>
      <c r="H16" s="1484"/>
      <c r="I16" s="1484"/>
      <c r="J16" s="1484"/>
      <c r="K16" s="1484"/>
      <c r="L16" s="1634"/>
      <c r="M16" s="1485"/>
      <c r="N16" s="1485"/>
      <c r="P16" s="1486"/>
      <c r="Q16" s="1487"/>
      <c r="R16" s="1486"/>
      <c r="S16" s="1492"/>
      <c r="T16" s="1495"/>
      <c r="U16" s="1494"/>
      <c r="V16" s="1494"/>
      <c r="W16" s="1494"/>
      <c r="X16" s="1494"/>
      <c r="Y16" s="1494"/>
      <c r="Z16" s="1494"/>
      <c r="AA16" s="1494"/>
      <c r="AB16" s="1494"/>
      <c r="AC16" s="1494"/>
      <c r="AD16" s="1494"/>
      <c r="AE16" s="1494"/>
      <c r="AF16" s="1494"/>
      <c r="AG16" s="1494"/>
      <c r="AH16" s="1494"/>
      <c r="AI16" s="1494"/>
      <c r="AJ16" s="1494"/>
      <c r="AK16" s="1494"/>
      <c r="AL16" s="1494"/>
      <c r="AM16" s="1494"/>
      <c r="AN16" s="1494"/>
      <c r="AO16" s="1494"/>
      <c r="AP16" s="1494"/>
      <c r="AQ16" s="1494"/>
      <c r="AR16" s="1494"/>
      <c r="AS16" s="1494"/>
      <c r="AT16" s="1494"/>
      <c r="AU16" s="1494"/>
      <c r="AV16" s="1494"/>
      <c r="AW16" s="1494"/>
      <c r="AX16" s="1494"/>
      <c r="AY16" s="1494"/>
      <c r="AZ16" s="1494"/>
      <c r="BA16" s="1494"/>
      <c r="BB16" s="1494"/>
      <c r="BC16" s="1494"/>
      <c r="BE16" s="959"/>
      <c r="BF16" s="959" t="str">
        <f>IF(T16="","",T16)</f>
        <v/>
      </c>
      <c r="BG16" s="959"/>
      <c r="BH16" s="959"/>
      <c r="BI16" s="688">
        <v>0</v>
      </c>
    </row>
    <row s="11993" customFormat="1" customHeight="1" ht="14.25" hidden="1">
      <c r="A17" s="1513"/>
      <c r="B17" s="1513"/>
      <c r="C17" s="1484"/>
      <c r="D17" s="1484"/>
      <c r="E17" s="2429"/>
      <c r="F17" s="2428"/>
      <c r="G17" s="1484"/>
      <c r="H17" s="1484"/>
      <c r="I17" s="1484"/>
      <c r="J17" s="1484"/>
      <c r="K17" s="1484"/>
      <c r="L17" s="1634"/>
      <c r="M17" s="1491"/>
      <c r="N17" s="1491"/>
      <c r="P17" s="1486"/>
      <c r="Q17" s="1487"/>
      <c r="R17" s="1486"/>
      <c r="S17" s="1492"/>
      <c r="T17" s="1495" t="s">
        <v>166</v>
      </c>
      <c r="U17" s="1494"/>
      <c r="V17" s="1494"/>
      <c r="W17" s="1494"/>
      <c r="X17" s="1494"/>
      <c r="Y17" s="1494"/>
      <c r="Z17" s="1494"/>
      <c r="AA17" s="1494"/>
      <c r="AB17" s="1494"/>
      <c r="AC17" s="1494"/>
      <c r="AD17" s="1494"/>
      <c r="AE17" s="1494"/>
      <c r="AF17" s="1494"/>
      <c r="AG17" s="1494"/>
      <c r="AH17" s="1494"/>
      <c r="AI17" s="1494"/>
      <c r="AJ17" s="1494"/>
      <c r="AK17" s="1494"/>
      <c r="AL17" s="1494"/>
      <c r="AM17" s="1494"/>
      <c r="AN17" s="1494"/>
      <c r="AO17" s="1494"/>
      <c r="AP17" s="1494"/>
      <c r="AQ17" s="1494"/>
      <c r="AR17" s="1494"/>
      <c r="AS17" s="1494"/>
      <c r="AT17" s="1494"/>
      <c r="AU17" s="1494"/>
      <c r="AV17" s="1494"/>
      <c r="AW17" s="1494"/>
      <c r="AX17" s="1494"/>
      <c r="AY17" s="1494"/>
      <c r="AZ17" s="1494"/>
      <c r="BA17" s="1494"/>
      <c r="BB17" s="1494"/>
      <c r="BC17" s="1494"/>
      <c r="BE17" s="959"/>
      <c r="BF17" s="959" t="str">
        <f>IF(T17="","",T17)</f>
        <v>Добавить централизованную систему для дифференциации</v>
      </c>
      <c r="BG17" s="959"/>
      <c r="BH17" s="959"/>
      <c r="BI17" s="688">
        <v>0</v>
      </c>
    </row>
    <row s="11993" customFormat="1" customHeight="1" ht="14.25" hidden="1">
      <c r="A18" s="1513"/>
      <c r="B18" s="1513"/>
      <c r="C18" s="1513"/>
      <c r="D18" s="1513"/>
      <c r="E18" s="2428"/>
      <c r="F18" s="1513"/>
      <c r="G18" s="1513"/>
      <c r="H18" s="1513"/>
      <c r="I18" s="1513"/>
      <c r="J18" s="1513"/>
      <c r="K18" s="1513"/>
      <c r="L18" s="1516"/>
      <c r="M18" s="1491"/>
      <c r="N18" s="1491"/>
      <c r="O18" s="688"/>
      <c r="P18" s="550"/>
      <c r="Q18" s="1514"/>
      <c r="R18" s="550"/>
      <c r="S18" s="1492"/>
      <c r="T18" s="1495" t="s">
        <v>167</v>
      </c>
      <c r="U18" s="1494"/>
      <c r="V18" s="1494"/>
      <c r="W18" s="1494"/>
      <c r="X18" s="1494"/>
      <c r="Y18" s="1494"/>
      <c r="Z18" s="1494"/>
      <c r="AA18" s="1494"/>
      <c r="AB18" s="1494"/>
      <c r="AC18" s="1494"/>
      <c r="AD18" s="1494"/>
      <c r="AE18" s="1494"/>
      <c r="AF18" s="1494"/>
      <c r="AG18" s="1494"/>
      <c r="AH18" s="1494"/>
      <c r="AI18" s="1494"/>
      <c r="AJ18" s="1494"/>
      <c r="AK18" s="1494"/>
      <c r="AL18" s="1494"/>
      <c r="AM18" s="1494"/>
      <c r="AN18" s="1494"/>
      <c r="AO18" s="1494"/>
      <c r="AP18" s="1494"/>
      <c r="AQ18" s="1494"/>
      <c r="AR18" s="1494"/>
      <c r="AS18" s="1494"/>
      <c r="AT18" s="1494"/>
      <c r="AU18" s="1494"/>
      <c r="AV18" s="1494"/>
      <c r="AW18" s="1494"/>
      <c r="AX18" s="1494"/>
      <c r="AY18" s="1494"/>
      <c r="AZ18" s="1494"/>
      <c r="BA18" s="1494"/>
      <c r="BB18" s="1494"/>
      <c r="BC18" s="1494"/>
      <c r="BE18" s="670"/>
      <c r="BF18" s="670" t="str">
        <f>IF(T18="","",T18)</f>
        <v>Добавить территорию для дифференциации</v>
      </c>
      <c r="BG18" s="670"/>
      <c r="BH18" s="670"/>
      <c r="BI18" s="681">
        <v>0</v>
      </c>
    </row>
    <row customHeight="1" ht="14.25" hidden="1">
      <c r="AC19" s="497"/>
      <c r="BA19" s="497"/>
      <c r="BI19" s="1325">
        <v>0</v>
      </c>
    </row>
    <row customHeight="1" ht="14.25" hidden="1">
      <c r="AD20" s="1494" t="s">
        <v>19</v>
      </c>
      <c r="AE20" s="1671"/>
      <c r="AF20" s="718">
        <v>1</v>
      </c>
      <c r="AG20" s="1672"/>
      <c r="AH20" s="1494" t="s">
        <v>19</v>
      </c>
      <c r="AI20" s="1671"/>
      <c r="AJ20" s="718">
        <v>1</v>
      </c>
      <c r="AK20" s="1672"/>
      <c r="AL20" s="1494" t="s">
        <v>19</v>
      </c>
      <c r="AM20" s="1673"/>
      <c r="AN20" s="718">
        <v>1</v>
      </c>
      <c r="AO20" s="1674"/>
      <c r="AP20" s="1494" t="s">
        <v>19</v>
      </c>
      <c r="AQ20" s="1673"/>
      <c r="AR20" s="718">
        <v>1</v>
      </c>
      <c r="AS20" s="1674"/>
      <c r="AT20" s="495"/>
      <c r="AU20" s="554"/>
      <c r="AV20" s="495"/>
      <c r="AW20" s="554"/>
      <c r="AX20" s="1906"/>
      <c r="AY20" s="1630" t="s">
        <v>64</v>
      </c>
      <c r="AZ20" s="1906"/>
      <c r="BA20" s="1630" t="s">
        <v>64</v>
      </c>
      <c r="BI20" s="1325">
        <v>0</v>
      </c>
    </row>
    <row customHeight="1" ht="14.25" hidden="1">
      <c r="BD21" s="666"/>
      <c r="BE21" s="666"/>
      <c r="BF21" s="666"/>
      <c r="BG21" s="666"/>
      <c r="BH21" s="666"/>
      <c r="BI21" s="1325">
        <v>0</v>
      </c>
    </row>
    <row customHeight="1" ht="14.25" hidden="1">
      <c r="O22" s="1537" t="s">
        <v>426</v>
      </c>
      <c r="Z22" s="1515"/>
      <c r="AB22" s="1515"/>
      <c r="AC22" s="497"/>
      <c r="AX22" s="1515"/>
      <c r="AZ22" s="1515"/>
      <c r="BA22" s="497"/>
      <c r="BD22" s="666"/>
      <c r="BE22" s="666"/>
      <c r="BF22" s="666"/>
      <c r="BG22" s="666"/>
      <c r="BH22" s="666"/>
      <c r="BI22" s="1325">
        <v>0</v>
      </c>
    </row>
    <row customHeight="1" ht="14.25" hidden="1">
      <c r="AC23" s="497"/>
      <c r="BA23" s="497"/>
      <c r="BD23" s="666"/>
      <c r="BE23" s="666"/>
      <c r="BF23" s="666"/>
      <c r="BG23" s="666"/>
      <c r="BH23" s="666"/>
      <c r="BI23" s="1325">
        <v>0</v>
      </c>
    </row>
    <row s="14271" customFormat="1" customHeight="1" ht="14.25" hidden="1">
      <c r="M24" s="1678"/>
      <c r="N24" s="1678"/>
      <c r="O24" s="1679" t="s">
        <v>427</v>
      </c>
      <c r="P24" s="1678"/>
      <c r="Q24" s="1680"/>
      <c r="R24" s="1680"/>
      <c r="AA24" s="1677" t="s">
        <v>429</v>
      </c>
      <c r="AC24" s="1677" t="s">
        <v>430</v>
      </c>
      <c r="AD24" s="1677" t="s">
        <v>482</v>
      </c>
      <c r="AH24" s="1677" t="s">
        <v>482</v>
      </c>
      <c r="AK24" s="1677" t="s">
        <v>521</v>
      </c>
      <c r="AL24" s="1677" t="s">
        <v>482</v>
      </c>
      <c r="AP24" s="1677" t="s">
        <v>482</v>
      </c>
      <c r="AY24" s="1677" t="s">
        <v>429</v>
      </c>
      <c r="BA24" s="1677" t="s">
        <v>430</v>
      </c>
      <c r="BD24" s="1681"/>
      <c r="BE24" s="1681"/>
      <c r="BF24" s="1681"/>
      <c r="BG24" s="1681"/>
      <c r="BH24" s="1681"/>
      <c r="BI24" s="1677">
        <v>0</v>
      </c>
    </row>
    <row customHeight="1" ht="14.25" hidden="1">
      <c r="O25" s="1534"/>
      <c r="BD25" s="666"/>
      <c r="BE25" s="666"/>
      <c r="BF25" s="666"/>
      <c r="BG25" s="666"/>
      <c r="BH25" s="666"/>
      <c r="BI25" s="1325">
        <v>0</v>
      </c>
    </row>
    <row customHeight="1" ht="14.25" hidden="1">
      <c r="O26" s="1534"/>
      <c r="BD26" s="666"/>
      <c r="BE26" s="666"/>
      <c r="BF26" s="666"/>
      <c r="BG26" s="666"/>
      <c r="BH26" s="666"/>
      <c r="BI26" s="1325">
        <v>0</v>
      </c>
    </row>
    <row customHeight="1" ht="14.699999999999998">
      <c r="Q27" s="461"/>
      <c r="R27" s="546"/>
      <c r="S27" s="1445"/>
      <c r="T27" s="533"/>
      <c r="U27" s="533"/>
      <c r="V27" s="679"/>
      <c r="W27" s="679"/>
      <c r="X27" s="679"/>
      <c r="Y27" s="679"/>
      <c r="Z27" s="679"/>
      <c r="AA27" s="679"/>
      <c r="AB27" s="679"/>
      <c r="AC27" s="679"/>
      <c r="AD27" s="679"/>
      <c r="AE27" s="679"/>
      <c r="AF27" s="679"/>
      <c r="AG27" s="679"/>
      <c r="AH27" s="679"/>
      <c r="AI27" s="679"/>
      <c r="AJ27" s="679"/>
      <c r="AK27" s="679"/>
      <c r="AL27" s="679"/>
      <c r="AM27" s="679"/>
      <c r="AN27" s="679"/>
      <c r="AO27" s="679"/>
      <c r="AP27" s="679"/>
      <c r="AQ27" s="679"/>
      <c r="AR27" s="679"/>
      <c r="AS27" s="679"/>
      <c r="AT27" s="679"/>
      <c r="AU27" s="679"/>
      <c r="AV27" s="679"/>
      <c r="AW27" s="679"/>
      <c r="AX27" s="679"/>
      <c r="AY27" s="679"/>
      <c r="AZ27" s="679"/>
      <c r="BA27" s="679"/>
      <c r="BI27" s="1325">
        <v>14</v>
      </c>
    </row>
    <row customHeight="1" ht="14.699999999999998">
      <c r="Q28" s="461"/>
      <c r="R28" s="546"/>
      <c r="S28" s="2418"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418"/>
      <c r="U28" s="2418"/>
      <c r="V28" s="2418"/>
      <c r="W28" s="2418"/>
      <c r="X28" s="2418"/>
      <c r="Y28" s="2418"/>
      <c r="Z28" s="2418"/>
      <c r="AA28" s="2418"/>
      <c r="AB28" s="2418"/>
      <c r="AC28" s="2418"/>
      <c r="AD28" s="2418"/>
      <c r="AE28" s="2418"/>
      <c r="AF28" s="2418"/>
      <c r="AG28" s="2418"/>
      <c r="AH28" s="2418"/>
      <c r="AI28" s="2418"/>
      <c r="AJ28" s="2418"/>
      <c r="AK28" s="2418"/>
      <c r="AL28" s="2418"/>
      <c r="AM28" s="2418"/>
      <c r="AN28" s="2418"/>
      <c r="AO28" s="2418"/>
      <c r="AP28" s="2418"/>
      <c r="AQ28" s="2418"/>
      <c r="AR28" s="2418"/>
      <c r="AS28" s="2418"/>
      <c r="AT28" s="2418"/>
      <c r="AU28" s="2418"/>
      <c r="AV28" s="2418"/>
      <c r="AW28" s="2418"/>
      <c r="AX28" s="2418"/>
      <c r="AY28" s="2418"/>
      <c r="AZ28" s="2418"/>
      <c r="BA28" s="1413"/>
      <c r="BI28" s="1325">
        <v>14</v>
      </c>
    </row>
    <row customHeight="1" ht="14.699999999999998">
      <c r="Q29" s="461"/>
      <c r="R29" s="546"/>
      <c r="S29" s="2419" t="str">
        <f>IF(org=0,"Не определено",org)</f>
        <v>Филиал "Шатурская ГРЭС" ПАО "Юнипро"</v>
      </c>
      <c r="T29" s="2419"/>
      <c r="U29" s="2419"/>
      <c r="V29" s="2419"/>
      <c r="W29" s="2419"/>
      <c r="X29" s="2419"/>
      <c r="Y29" s="2419"/>
      <c r="Z29" s="2419"/>
      <c r="AA29" s="2419"/>
      <c r="AB29" s="2419"/>
      <c r="AC29" s="2419"/>
      <c r="AD29" s="2419"/>
      <c r="AE29" s="2419"/>
      <c r="AF29" s="2419"/>
      <c r="AG29" s="2419"/>
      <c r="AH29" s="2419"/>
      <c r="AI29" s="2419"/>
      <c r="AJ29" s="2419"/>
      <c r="AK29" s="2419"/>
      <c r="AL29" s="2419"/>
      <c r="AM29" s="2419"/>
      <c r="AN29" s="2419"/>
      <c r="AO29" s="2419"/>
      <c r="AP29" s="2419"/>
      <c r="AQ29" s="2419"/>
      <c r="AR29" s="2419"/>
      <c r="AS29" s="2419"/>
      <c r="AT29" s="2419"/>
      <c r="AU29" s="2419"/>
      <c r="AV29" s="2419"/>
      <c r="AW29" s="2419"/>
      <c r="AX29" s="2419"/>
      <c r="AY29" s="2419"/>
      <c r="AZ29" s="2419"/>
      <c r="BA29" s="1413"/>
      <c r="BI29" s="1325">
        <v>14</v>
      </c>
    </row>
    <row customHeight="1" ht="14.25">
      <c r="Q30" s="461"/>
      <c r="R30" s="546"/>
      <c r="S30" s="1445"/>
      <c r="T30" s="533"/>
      <c r="U30" s="533"/>
      <c r="V30" s="492"/>
      <c r="W30" s="492"/>
      <c r="X30" s="492"/>
      <c r="Y30" s="492"/>
      <c r="Z30" s="492"/>
      <c r="AA30" s="492"/>
      <c r="AB30" s="492"/>
      <c r="AC30" s="492"/>
      <c r="AD30" s="492"/>
      <c r="AE30" s="492"/>
      <c r="AF30" s="492"/>
      <c r="AG30" s="492"/>
      <c r="AH30" s="492"/>
      <c r="AI30" s="492"/>
      <c r="AJ30" s="492"/>
      <c r="AK30" s="492"/>
      <c r="AL30" s="492"/>
      <c r="AM30" s="492"/>
      <c r="AN30" s="492"/>
      <c r="AO30" s="492"/>
      <c r="AP30" s="492"/>
      <c r="AQ30" s="492"/>
      <c r="AR30" s="492"/>
      <c r="AS30" s="492"/>
      <c r="AT30" s="492"/>
      <c r="AU30" s="492"/>
      <c r="AV30" s="492"/>
      <c r="AW30" s="492"/>
      <c r="AX30" s="492"/>
      <c r="AY30" s="492"/>
      <c r="AZ30" s="492"/>
      <c r="BA30" s="492"/>
      <c r="BB30" s="679"/>
      <c r="BI30" s="1325">
        <v>0</v>
      </c>
    </row>
    <row s="12119" customFormat="1" customHeight="1" ht="25.5">
      <c r="A31" s="1538"/>
      <c r="B31" s="1538"/>
      <c r="C31" s="1538"/>
      <c r="D31" s="1538"/>
      <c r="E31" s="1538"/>
      <c r="F31" s="1538"/>
      <c r="G31" s="1538"/>
      <c r="H31" s="1538"/>
      <c r="I31" s="1538"/>
      <c r="J31" s="1538"/>
      <c r="K31" s="1538"/>
      <c r="L31" s="1539"/>
      <c r="M31" s="1538"/>
      <c r="N31" s="1538"/>
      <c r="O31" s="1538"/>
      <c r="P31" s="1538"/>
      <c r="Q31" s="1538"/>
      <c r="S31" s="2420" t="s">
        <v>42</v>
      </c>
      <c r="T31" s="2420"/>
      <c r="U31" s="1542"/>
      <c r="V31" s="2421" t="str">
        <f>IF(TITLE_NAME_OR_PR_CHANGE="",IF(TITLE_NAME_OR_PR="","",TITLE_NAME_OR_PR),TITLE_NAME_OR_PR_CHANGE)</f>
        <v>Комитет по ценам и тарифам Московской области</v>
      </c>
      <c r="W31" s="2421"/>
      <c r="X31" s="2421"/>
      <c r="Y31" s="2421"/>
      <c r="Z31" s="2421"/>
      <c r="AA31" s="2421"/>
      <c r="AB31" s="2421"/>
      <c r="AC31" s="496"/>
      <c r="AD31" s="2421" t="str">
        <f>IF(TITLE_NAME_OR_PR_CHANGE="",IF(TITLE_NAME_OR_PR="","",TITLE_NAME_OR_PR),TITLE_NAME_OR_PR_CHANGE)</f>
        <v>Комитет по ценам и тарифам Московской области</v>
      </c>
      <c r="AE31" s="2421"/>
      <c r="AF31" s="2421"/>
      <c r="AG31" s="2421"/>
      <c r="AH31" s="2421"/>
      <c r="AI31" s="2421"/>
      <c r="AJ31" s="2421"/>
      <c r="AK31" s="2421"/>
      <c r="AL31" s="2421"/>
      <c r="AM31" s="2421"/>
      <c r="AN31" s="2421"/>
      <c r="AO31" s="2421"/>
      <c r="AP31" s="2421"/>
      <c r="AQ31" s="2421"/>
      <c r="AR31" s="2421"/>
      <c r="AS31" s="2421"/>
      <c r="AT31" s="2421"/>
      <c r="AU31" s="2421"/>
      <c r="AV31" s="2421"/>
      <c r="AW31" s="2421"/>
      <c r="AX31" s="2421"/>
      <c r="AY31" s="2421"/>
      <c r="AZ31" s="2421"/>
      <c r="BA31" s="496"/>
      <c r="BB31" s="496"/>
      <c r="BC31" s="450"/>
      <c r="BD31" s="538"/>
      <c r="BE31" s="538"/>
      <c r="BF31" s="538"/>
      <c r="BG31" s="538"/>
      <c r="BH31" s="538"/>
      <c r="BI31" s="588">
        <v>0</v>
      </c>
    </row>
    <row s="12119" customFormat="1" customHeight="1" ht="18.75">
      <c r="A32" s="1538"/>
      <c r="B32" s="1538"/>
      <c r="C32" s="1538"/>
      <c r="D32" s="1538"/>
      <c r="E32" s="1538"/>
      <c r="F32" s="1538"/>
      <c r="G32" s="1538"/>
      <c r="H32" s="1538"/>
      <c r="I32" s="1538"/>
      <c r="J32" s="1538"/>
      <c r="K32" s="1538"/>
      <c r="L32" s="1539"/>
      <c r="M32" s="1538"/>
      <c r="N32" s="1538"/>
      <c r="O32" s="1538"/>
      <c r="P32" s="1538"/>
      <c r="Q32" s="1538"/>
      <c r="S32" s="2420" t="s">
        <v>432</v>
      </c>
      <c r="T32" s="2420"/>
      <c r="U32" s="1542"/>
      <c r="V32" s="2434" t="str">
        <f>IF(TITLE_DATE_PR_CHANGE="",IF(TITLE_DATE_PR="","",TITLE_DATE_PR),TITLE_DATE_PR_CHANGE)</f>
        <v>45646.459814814814</v>
      </c>
      <c r="W32" s="2434"/>
      <c r="X32" s="2434"/>
      <c r="Y32" s="2434"/>
      <c r="Z32" s="2434"/>
      <c r="AA32" s="2434"/>
      <c r="AB32" s="2434"/>
      <c r="AC32" s="496"/>
      <c r="AD32" s="2434" t="str">
        <f>IF(TITLE_DATE_PR_CHANGE="",IF(TITLE_DATE_PR="","",TITLE_DATE_PR),TITLE_DATE_PR_CHANGE)</f>
        <v>45646.459814814814</v>
      </c>
      <c r="AE32" s="2434"/>
      <c r="AF32" s="2434"/>
      <c r="AG32" s="2434"/>
      <c r="AH32" s="2434"/>
      <c r="AI32" s="2434"/>
      <c r="AJ32" s="2434"/>
      <c r="AK32" s="2434"/>
      <c r="AL32" s="2434"/>
      <c r="AM32" s="2434"/>
      <c r="AN32" s="2434"/>
      <c r="AO32" s="2434"/>
      <c r="AP32" s="2434"/>
      <c r="AQ32" s="2434"/>
      <c r="AR32" s="2434"/>
      <c r="AS32" s="2434"/>
      <c r="AT32" s="2434"/>
      <c r="AU32" s="2434"/>
      <c r="AV32" s="2434"/>
      <c r="AW32" s="2434"/>
      <c r="AX32" s="2434"/>
      <c r="AY32" s="2434"/>
      <c r="AZ32" s="2434"/>
      <c r="BA32" s="496"/>
      <c r="BB32" s="496"/>
      <c r="BC32" s="450"/>
      <c r="BD32" s="538"/>
      <c r="BE32" s="538"/>
      <c r="BF32" s="538"/>
      <c r="BG32" s="538"/>
      <c r="BH32" s="538"/>
      <c r="BI32" s="588">
        <v>0</v>
      </c>
    </row>
    <row s="12119" customFormat="1" customHeight="1" ht="18.75">
      <c r="A33" s="1538"/>
      <c r="B33" s="1538"/>
      <c r="C33" s="1538"/>
      <c r="D33" s="1538"/>
      <c r="E33" s="1538"/>
      <c r="F33" s="1538"/>
      <c r="G33" s="1538"/>
      <c r="H33" s="1538"/>
      <c r="I33" s="1538"/>
      <c r="J33" s="1538"/>
      <c r="K33" s="1538"/>
      <c r="L33" s="1539"/>
      <c r="M33" s="1538"/>
      <c r="N33" s="1538"/>
      <c r="O33" s="1538"/>
      <c r="P33" s="1538"/>
      <c r="Q33" s="1538"/>
      <c r="S33" s="2420" t="s">
        <v>433</v>
      </c>
      <c r="T33" s="2420"/>
      <c r="U33" s="1542"/>
      <c r="V33" s="2421" t="str">
        <f>IF(TITLE_NUMBER_PR_CHANGE="",IF(TITLE_NUMBER_PR="","",TITLE_NUMBER_PR),TITLE_NUMBER_PR_CHANGE)</f>
        <v>329-Р</v>
      </c>
      <c r="W33" s="2421"/>
      <c r="X33" s="2421"/>
      <c r="Y33" s="2421"/>
      <c r="Z33" s="2421"/>
      <c r="AA33" s="2421"/>
      <c r="AB33" s="2421"/>
      <c r="AC33" s="496"/>
      <c r="AD33" s="2421" t="str">
        <f>IF(TITLE_NUMBER_PR_CHANGE="",IF(TITLE_NUMBER_PR="","",TITLE_NUMBER_PR),TITLE_NUMBER_PR_CHANGE)</f>
        <v>329-Р</v>
      </c>
      <c r="AE33" s="2421"/>
      <c r="AF33" s="2421"/>
      <c r="AG33" s="2421"/>
      <c r="AH33" s="2421"/>
      <c r="AI33" s="2421"/>
      <c r="AJ33" s="2421"/>
      <c r="AK33" s="2421"/>
      <c r="AL33" s="2421"/>
      <c r="AM33" s="2421"/>
      <c r="AN33" s="2421"/>
      <c r="AO33" s="2421"/>
      <c r="AP33" s="2421"/>
      <c r="AQ33" s="2421"/>
      <c r="AR33" s="2421"/>
      <c r="AS33" s="2421"/>
      <c r="AT33" s="2421"/>
      <c r="AU33" s="2421"/>
      <c r="AV33" s="2421"/>
      <c r="AW33" s="2421"/>
      <c r="AX33" s="2421"/>
      <c r="AY33" s="2421"/>
      <c r="AZ33" s="2421"/>
      <c r="BA33" s="496"/>
      <c r="BB33" s="496"/>
      <c r="BC33" s="450"/>
      <c r="BD33" s="538"/>
      <c r="BE33" s="538"/>
      <c r="BF33" s="538"/>
      <c r="BG33" s="538"/>
      <c r="BH33" s="538"/>
      <c r="BI33" s="588">
        <v>0</v>
      </c>
    </row>
    <row s="12119" customFormat="1" customHeight="1" ht="18.75">
      <c r="A34" s="1538"/>
      <c r="B34" s="1538"/>
      <c r="C34" s="1538"/>
      <c r="D34" s="1538"/>
      <c r="E34" s="1538"/>
      <c r="F34" s="1538"/>
      <c r="G34" s="1538"/>
      <c r="H34" s="1538"/>
      <c r="I34" s="1538"/>
      <c r="J34" s="1538"/>
      <c r="K34" s="1538"/>
      <c r="L34" s="1539"/>
      <c r="M34" s="1538"/>
      <c r="N34" s="1538"/>
      <c r="O34" s="1538"/>
      <c r="P34" s="1538"/>
      <c r="Q34" s="1538"/>
      <c r="S34" s="2420" t="s">
        <v>44</v>
      </c>
      <c r="T34" s="2420"/>
      <c r="U34" s="1542"/>
      <c r="V34"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4" s="2421"/>
      <c r="X34" s="2421"/>
      <c r="Y34" s="2421"/>
      <c r="Z34" s="2421"/>
      <c r="AA34" s="2421"/>
      <c r="AB34" s="2421"/>
      <c r="AC34" s="496"/>
      <c r="AD34"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4" s="2421"/>
      <c r="AF34" s="2421"/>
      <c r="AG34" s="2421"/>
      <c r="AH34" s="2421"/>
      <c r="AI34" s="2421"/>
      <c r="AJ34" s="2421"/>
      <c r="AK34" s="2421"/>
      <c r="AL34" s="2421"/>
      <c r="AM34" s="2421"/>
      <c r="AN34" s="2421"/>
      <c r="AO34" s="2421"/>
      <c r="AP34" s="2421"/>
      <c r="AQ34" s="2421"/>
      <c r="AR34" s="2421"/>
      <c r="AS34" s="2421"/>
      <c r="AT34" s="2421"/>
      <c r="AU34" s="2421"/>
      <c r="AV34" s="2421"/>
      <c r="AW34" s="2421"/>
      <c r="AX34" s="2421"/>
      <c r="AY34" s="2421"/>
      <c r="AZ34" s="2421"/>
      <c r="BA34" s="496"/>
      <c r="BB34" s="496"/>
      <c r="BC34" s="450"/>
      <c r="BD34" s="538"/>
      <c r="BE34" s="538"/>
      <c r="BF34" s="538"/>
      <c r="BG34" s="538"/>
      <c r="BH34" s="538"/>
      <c r="BI34" s="588">
        <v>0</v>
      </c>
    </row>
    <row customHeight="1" ht="14.25" hidden="1">
      <c r="Q35" s="461"/>
      <c r="R35" s="546"/>
      <c r="S35" s="1445"/>
      <c r="T35" s="533"/>
      <c r="U35" s="533"/>
      <c r="V35" s="492"/>
      <c r="W35" s="492"/>
      <c r="X35" s="492"/>
      <c r="Y35" s="492"/>
      <c r="Z35" s="492"/>
      <c r="AA35" s="492"/>
      <c r="AB35" s="492"/>
      <c r="AC35" s="492"/>
      <c r="AD35" s="492"/>
      <c r="AE35" s="492"/>
      <c r="AF35" s="492"/>
      <c r="AG35" s="492"/>
      <c r="AH35" s="492"/>
      <c r="AI35" s="492"/>
      <c r="AJ35" s="492"/>
      <c r="AK35" s="492"/>
      <c r="AL35" s="492"/>
      <c r="AM35" s="492"/>
      <c r="AN35" s="492"/>
      <c r="AO35" s="492"/>
      <c r="AP35" s="492"/>
      <c r="AQ35" s="492"/>
      <c r="AR35" s="492"/>
      <c r="AS35" s="492"/>
      <c r="AT35" s="492"/>
      <c r="AU35" s="492"/>
      <c r="AV35" s="492"/>
      <c r="AW35" s="492"/>
      <c r="AX35" s="492"/>
      <c r="AY35" s="492"/>
      <c r="AZ35" s="492"/>
      <c r="BA35" s="492"/>
      <c r="BB35" s="679"/>
      <c r="BI35" s="1325">
        <v>0</v>
      </c>
    </row>
    <row s="12119" customFormat="1" customHeight="1" ht="18.75" hidden="1">
      <c r="A36" s="1538"/>
      <c r="B36" s="1538"/>
      <c r="C36" s="1538"/>
      <c r="D36" s="1538"/>
      <c r="E36" s="1538"/>
      <c r="F36" s="1538"/>
      <c r="G36" s="1538"/>
      <c r="H36" s="1538"/>
      <c r="I36" s="1538"/>
      <c r="J36" s="1538"/>
      <c r="K36" s="1538"/>
      <c r="L36" s="1539"/>
      <c r="M36" s="1538"/>
      <c r="N36" s="1538"/>
      <c r="O36" s="1538"/>
      <c r="P36" s="1538"/>
      <c r="Q36" s="1538"/>
      <c r="S36" s="2420" t="s">
        <v>432</v>
      </c>
      <c r="T36" s="2420"/>
      <c r="U36" s="1542"/>
      <c r="V36" s="2434" t="str">
        <f>IF(TITLE_DATE_PR_CHANGE="",IF(TITLE_DATE_PR="","",TITLE_DATE_PR),TITLE_DATE_PR_CHANGE)</f>
        <v>45646.459814814814</v>
      </c>
      <c r="W36" s="2434"/>
      <c r="X36" s="2434"/>
      <c r="Y36" s="2434"/>
      <c r="Z36" s="2434"/>
      <c r="AA36" s="2434"/>
      <c r="AB36" s="2434"/>
      <c r="AC36" s="496"/>
      <c r="AD36" s="2434" t="str">
        <f>IF(TITLE_DATE_PR_CHANGE="",IF(TITLE_DATE_PR="","",TITLE_DATE_PR),TITLE_DATE_PR_CHANGE)</f>
        <v>45646.459814814814</v>
      </c>
      <c r="AE36" s="2434"/>
      <c r="AF36" s="2434"/>
      <c r="AG36" s="2434"/>
      <c r="AH36" s="2434"/>
      <c r="AI36" s="2434"/>
      <c r="AJ36" s="2434"/>
      <c r="AK36" s="2434"/>
      <c r="AL36" s="2434"/>
      <c r="AM36" s="2434"/>
      <c r="AN36" s="2434"/>
      <c r="AO36" s="2434"/>
      <c r="AP36" s="2434"/>
      <c r="AQ36" s="2434"/>
      <c r="AR36" s="2434"/>
      <c r="AS36" s="2434"/>
      <c r="AT36" s="2434"/>
      <c r="AU36" s="2434"/>
      <c r="AV36" s="2434"/>
      <c r="AW36" s="2434"/>
      <c r="AX36" s="2434"/>
      <c r="AY36" s="2434"/>
      <c r="AZ36" s="2434"/>
      <c r="BA36" s="496"/>
      <c r="BB36" s="496"/>
      <c r="BC36" s="450"/>
      <c r="BD36" s="538"/>
      <c r="BE36" s="538"/>
      <c r="BF36" s="538"/>
      <c r="BG36" s="538"/>
      <c r="BH36" s="538"/>
      <c r="BI36" s="588">
        <v>0</v>
      </c>
    </row>
    <row s="12119" customFormat="1" customHeight="1" ht="18.75" hidden="1">
      <c r="A37" s="1538"/>
      <c r="B37" s="1538"/>
      <c r="C37" s="1538"/>
      <c r="D37" s="1538"/>
      <c r="E37" s="1538"/>
      <c r="F37" s="1538"/>
      <c r="G37" s="1538"/>
      <c r="H37" s="1538"/>
      <c r="I37" s="1538"/>
      <c r="J37" s="1538"/>
      <c r="K37" s="1538"/>
      <c r="L37" s="1539"/>
      <c r="M37" s="1538"/>
      <c r="N37" s="1538"/>
      <c r="O37" s="1538"/>
      <c r="P37" s="1538"/>
      <c r="Q37" s="1538"/>
      <c r="S37" s="2420" t="s">
        <v>433</v>
      </c>
      <c r="T37" s="2420"/>
      <c r="U37" s="1542"/>
      <c r="V37" s="2421" t="str">
        <f>IF(TITLE_NUMBER_PR_CHANGE="",IF(TITLE_NUMBER_PR="","",TITLE_NUMBER_PR),TITLE_NUMBER_PR_CHANGE)</f>
        <v>329-Р</v>
      </c>
      <c r="W37" s="2421"/>
      <c r="X37" s="2421"/>
      <c r="Y37" s="2421"/>
      <c r="Z37" s="2421"/>
      <c r="AA37" s="2421"/>
      <c r="AB37" s="2421"/>
      <c r="AC37" s="496"/>
      <c r="AD37" s="2421" t="str">
        <f>IF(TITLE_NUMBER_PR_CHANGE="",IF(TITLE_NUMBER_PR="","",TITLE_NUMBER_PR),TITLE_NUMBER_PR_CHANGE)</f>
        <v>329-Р</v>
      </c>
      <c r="AE37" s="2421"/>
      <c r="AF37" s="2421"/>
      <c r="AG37" s="2421"/>
      <c r="AH37" s="2421"/>
      <c r="AI37" s="2421"/>
      <c r="AJ37" s="2421"/>
      <c r="AK37" s="2421"/>
      <c r="AL37" s="2421"/>
      <c r="AM37" s="2421"/>
      <c r="AN37" s="2421"/>
      <c r="AO37" s="2421"/>
      <c r="AP37" s="2421"/>
      <c r="AQ37" s="2421"/>
      <c r="AR37" s="2421"/>
      <c r="AS37" s="2421"/>
      <c r="AT37" s="2421"/>
      <c r="AU37" s="2421"/>
      <c r="AV37" s="2421"/>
      <c r="AW37" s="2421"/>
      <c r="AX37" s="2421"/>
      <c r="AY37" s="2421"/>
      <c r="AZ37" s="2421"/>
      <c r="BA37" s="496"/>
      <c r="BB37" s="496"/>
      <c r="BC37" s="450"/>
      <c r="BD37" s="538"/>
      <c r="BE37" s="538"/>
      <c r="BF37" s="538"/>
      <c r="BG37" s="538"/>
      <c r="BH37" s="538"/>
      <c r="BI37" s="588">
        <v>0</v>
      </c>
    </row>
    <row s="12119" customFormat="1" customHeight="1" ht="0">
      <c r="A38" s="1538"/>
      <c r="B38" s="1538"/>
      <c r="C38" s="1538"/>
      <c r="D38" s="1538"/>
      <c r="E38" s="1538"/>
      <c r="F38" s="1538"/>
      <c r="G38" s="1538"/>
      <c r="H38" s="1538"/>
      <c r="I38" s="1538"/>
      <c r="J38" s="1538"/>
      <c r="K38" s="1538"/>
      <c r="L38" s="1539"/>
      <c r="M38" s="1538"/>
      <c r="N38" s="1538"/>
      <c r="O38" s="1538"/>
      <c r="P38" s="1538"/>
      <c r="Q38" s="1538"/>
      <c r="S38" s="493"/>
      <c r="T38" s="493"/>
      <c r="U38" s="1624"/>
      <c r="V38" s="496"/>
      <c r="W38" s="496"/>
      <c r="X38" s="496"/>
      <c r="Y38" s="496"/>
      <c r="Z38" s="496"/>
      <c r="AA38" s="496"/>
      <c r="AB38" s="496"/>
      <c r="AC38" s="448" t="s">
        <v>436</v>
      </c>
      <c r="AD38" s="496"/>
      <c r="AE38" s="496"/>
      <c r="AF38" s="496"/>
      <c r="AG38" s="496"/>
      <c r="AH38" s="496"/>
      <c r="AI38" s="496"/>
      <c r="AJ38" s="496"/>
      <c r="AK38" s="496"/>
      <c r="AL38" s="496"/>
      <c r="AM38" s="496"/>
      <c r="AN38" s="496"/>
      <c r="AO38" s="496"/>
      <c r="AP38" s="496"/>
      <c r="AQ38" s="496"/>
      <c r="AR38" s="496"/>
      <c r="AS38" s="496"/>
      <c r="AT38" s="496"/>
      <c r="AU38" s="496"/>
      <c r="AV38" s="496"/>
      <c r="AW38" s="496"/>
      <c r="AX38" s="496"/>
      <c r="AY38" s="496"/>
      <c r="AZ38" s="496"/>
      <c r="BA38" s="448" t="s">
        <v>436</v>
      </c>
      <c r="BD38" s="538"/>
      <c r="BE38" s="538"/>
      <c r="BF38" s="538"/>
      <c r="BG38" s="538"/>
      <c r="BH38" s="538"/>
      <c r="BI38" s="588">
        <v>0</v>
      </c>
    </row>
    <row customHeight="1" ht="14.699999999999998">
      <c r="Q39" s="461"/>
      <c r="R39" s="546"/>
      <c r="S39" s="1445"/>
      <c r="T39" s="533"/>
      <c r="U39" s="1414"/>
      <c r="V39" s="2422"/>
      <c r="W39" s="2422"/>
      <c r="X39" s="2422"/>
      <c r="Y39" s="2422"/>
      <c r="Z39" s="2422"/>
      <c r="AA39" s="2422"/>
      <c r="AB39" s="2422"/>
      <c r="AC39" s="2422"/>
      <c r="AD39" s="2422"/>
      <c r="AE39" s="2422"/>
      <c r="AF39" s="2422"/>
      <c r="AG39" s="2422"/>
      <c r="AH39" s="2422"/>
      <c r="AI39" s="2422"/>
      <c r="AJ39" s="2422"/>
      <c r="AK39" s="2422"/>
      <c r="AL39" s="2422"/>
      <c r="AM39" s="2422"/>
      <c r="AN39" s="2422"/>
      <c r="AO39" s="2422"/>
      <c r="AP39" s="2422"/>
      <c r="AQ39" s="2422"/>
      <c r="AR39" s="2422"/>
      <c r="AS39" s="2422"/>
      <c r="AT39" s="2422"/>
      <c r="AU39" s="2422"/>
      <c r="AV39" s="2422"/>
      <c r="AW39" s="2422"/>
      <c r="AX39" s="2422"/>
      <c r="AY39" s="2422"/>
      <c r="AZ39" s="2422"/>
      <c r="BA39" s="2422"/>
      <c r="BI39" s="1325">
        <v>14</v>
      </c>
    </row>
    <row customHeight="1" ht="14.699999999999998">
      <c r="Q40" s="461"/>
      <c r="R40" s="546"/>
      <c r="S40" s="2297" t="s">
        <v>312</v>
      </c>
      <c r="T40" s="2297"/>
      <c r="U40" s="2297"/>
      <c r="V40" s="2297"/>
      <c r="W40" s="2297"/>
      <c r="X40" s="2297"/>
      <c r="Y40" s="2297"/>
      <c r="Z40" s="2297"/>
      <c r="AA40" s="2297"/>
      <c r="AB40" s="2297"/>
      <c r="AC40" s="2297"/>
      <c r="AD40" s="2297"/>
      <c r="AE40" s="2297"/>
      <c r="AF40" s="2297"/>
      <c r="AG40" s="2297"/>
      <c r="AH40" s="2297"/>
      <c r="AI40" s="2297"/>
      <c r="AJ40" s="2297"/>
      <c r="AK40" s="2297"/>
      <c r="AL40" s="2297"/>
      <c r="AM40" s="2297"/>
      <c r="AN40" s="2297"/>
      <c r="AO40" s="2297"/>
      <c r="AP40" s="2297"/>
      <c r="AQ40" s="2297"/>
      <c r="AR40" s="2297"/>
      <c r="AS40" s="2297"/>
      <c r="AT40" s="2297"/>
      <c r="AU40" s="2297"/>
      <c r="AV40" s="2297"/>
      <c r="AW40" s="2297"/>
      <c r="AX40" s="2297"/>
      <c r="AY40" s="2297"/>
      <c r="AZ40" s="2297"/>
      <c r="BA40" s="2297"/>
      <c r="BB40" s="2297"/>
      <c r="BC40" s="2297" t="s">
        <v>313</v>
      </c>
      <c r="BI40" s="1325">
        <v>14</v>
      </c>
    </row>
    <row customHeight="1" ht="14.699999999999998">
      <c r="Q41" s="461"/>
      <c r="R41" s="546"/>
      <c r="S41" s="2443" t="s">
        <v>91</v>
      </c>
      <c r="T41" s="2379" t="s">
        <v>522</v>
      </c>
      <c r="U41" s="471"/>
      <c r="V41" s="2444" t="s">
        <v>439</v>
      </c>
      <c r="W41" s="2445"/>
      <c r="X41" s="2445"/>
      <c r="Y41" s="2445"/>
      <c r="Z41" s="2445"/>
      <c r="AA41" s="2445"/>
      <c r="AB41" s="2446"/>
      <c r="AC41" s="2447" t="s">
        <v>440</v>
      </c>
      <c r="AD41" s="2498" t="s">
        <v>523</v>
      </c>
      <c r="AE41" s="2461"/>
      <c r="AF41" s="2461"/>
      <c r="AG41" s="2499"/>
      <c r="AH41" s="2498" t="s">
        <v>524</v>
      </c>
      <c r="AI41" s="2461"/>
      <c r="AJ41" s="2461"/>
      <c r="AK41" s="2499"/>
      <c r="AL41" s="2498" t="s">
        <v>525</v>
      </c>
      <c r="AM41" s="2461"/>
      <c r="AN41" s="2461"/>
      <c r="AO41" s="2499"/>
      <c r="AP41" s="2498" t="s">
        <v>526</v>
      </c>
      <c r="AQ41" s="2461"/>
      <c r="AR41" s="2461"/>
      <c r="AS41" s="2499"/>
      <c r="AT41" s="2444" t="s">
        <v>439</v>
      </c>
      <c r="AU41" s="2445"/>
      <c r="AV41" s="2445"/>
      <c r="AW41" s="2445"/>
      <c r="AX41" s="2445"/>
      <c r="AY41" s="2445"/>
      <c r="AZ41" s="2446"/>
      <c r="BA41" s="2447" t="s">
        <v>440</v>
      </c>
      <c r="BB41" s="2450" t="s">
        <v>442</v>
      </c>
      <c r="BC41" s="2297"/>
      <c r="BI41" s="1325">
        <v>14</v>
      </c>
    </row>
    <row customHeight="1" ht="35.699999999999996">
      <c r="Q42" s="461"/>
      <c r="R42" s="546"/>
      <c r="S42" s="2443"/>
      <c r="T42" s="2379"/>
      <c r="U42" s="1201"/>
      <c r="V42" s="2362" t="s">
        <v>527</v>
      </c>
      <c r="W42" s="2363"/>
      <c r="X42" s="2362" t="s">
        <v>528</v>
      </c>
      <c r="Y42" s="2363"/>
      <c r="Z42" s="2464" t="s">
        <v>529</v>
      </c>
      <c r="AA42" s="2483"/>
      <c r="AB42" s="2484"/>
      <c r="AC42" s="2448"/>
      <c r="AD42" s="2500"/>
      <c r="AE42" s="2501"/>
      <c r="AF42" s="2501"/>
      <c r="AG42" s="2502"/>
      <c r="AH42" s="2500"/>
      <c r="AI42" s="2501"/>
      <c r="AJ42" s="2501"/>
      <c r="AK42" s="2502"/>
      <c r="AL42" s="2500"/>
      <c r="AM42" s="2501"/>
      <c r="AN42" s="2501"/>
      <c r="AO42" s="2502"/>
      <c r="AP42" s="2500"/>
      <c r="AQ42" s="2501"/>
      <c r="AR42" s="2501"/>
      <c r="AS42" s="2502"/>
      <c r="AT42" s="2362" t="s">
        <v>527</v>
      </c>
      <c r="AU42" s="2363"/>
      <c r="AV42" s="2362" t="s">
        <v>528</v>
      </c>
      <c r="AW42" s="2363"/>
      <c r="AX42" s="2464" t="s">
        <v>529</v>
      </c>
      <c r="AY42" s="2483"/>
      <c r="AZ42" s="2484"/>
      <c r="BA42" s="2448"/>
      <c r="BB42" s="2451"/>
      <c r="BC42" s="2297"/>
      <c r="BI42" s="1325">
        <v>34</v>
      </c>
    </row>
    <row customHeight="1" ht="14.699999999999998">
      <c r="Q43" s="461"/>
      <c r="R43" s="546"/>
      <c r="S43" s="2443"/>
      <c r="T43" s="2379"/>
      <c r="U43" s="1201"/>
      <c r="V43" s="2370"/>
      <c r="W43" s="2371"/>
      <c r="X43" s="2370"/>
      <c r="Y43" s="2371"/>
      <c r="Z43" s="2465"/>
      <c r="AA43" s="2485"/>
      <c r="AB43" s="2486"/>
      <c r="AC43" s="2448"/>
      <c r="AD43" s="2500"/>
      <c r="AE43" s="2501"/>
      <c r="AF43" s="2501"/>
      <c r="AG43" s="2502"/>
      <c r="AH43" s="2500"/>
      <c r="AI43" s="2501"/>
      <c r="AJ43" s="2501"/>
      <c r="AK43" s="2502"/>
      <c r="AL43" s="2500"/>
      <c r="AM43" s="2501"/>
      <c r="AN43" s="2501"/>
      <c r="AO43" s="2502"/>
      <c r="AP43" s="2500"/>
      <c r="AQ43" s="2501"/>
      <c r="AR43" s="2501"/>
      <c r="AS43" s="2502"/>
      <c r="AT43" s="2370"/>
      <c r="AU43" s="2371"/>
      <c r="AV43" s="2370"/>
      <c r="AW43" s="2371"/>
      <c r="AX43" s="2465"/>
      <c r="AY43" s="2485"/>
      <c r="AZ43" s="2486"/>
      <c r="BA43" s="2448"/>
      <c r="BB43" s="2451"/>
      <c r="BC43" s="2297"/>
      <c r="BI43" s="1325">
        <v>14</v>
      </c>
    </row>
    <row customHeight="1" ht="14.699999999999998">
      <c r="A44" s="1540"/>
      <c r="B44" s="1540" t="s">
        <v>138</v>
      </c>
      <c r="C44" s="1540" t="s">
        <v>139</v>
      </c>
      <c r="D44" s="1540" t="s">
        <v>140</v>
      </c>
      <c r="E44" s="1534" t="s">
        <v>447</v>
      </c>
      <c r="F44" s="1534" t="s">
        <v>448</v>
      </c>
      <c r="G44" s="1534" t="s">
        <v>449</v>
      </c>
      <c r="H44" s="1534" t="s">
        <v>450</v>
      </c>
      <c r="I44" s="1534" t="s">
        <v>451</v>
      </c>
      <c r="J44" s="1534" t="s">
        <v>452</v>
      </c>
      <c r="K44" s="1534" t="s">
        <v>453</v>
      </c>
      <c r="L44" s="1534" t="s">
        <v>427</v>
      </c>
      <c r="Q44" s="461"/>
      <c r="R44" s="546"/>
      <c r="S44" s="2443"/>
      <c r="T44" s="2379"/>
      <c r="U44" s="472"/>
      <c r="V44" s="1618" t="s">
        <v>492</v>
      </c>
      <c r="W44" s="1618" t="s">
        <v>493</v>
      </c>
      <c r="X44" s="1618" t="s">
        <v>492</v>
      </c>
      <c r="Y44" s="1618" t="s">
        <v>493</v>
      </c>
      <c r="Z44" s="1625" t="s">
        <v>456</v>
      </c>
      <c r="AA44" s="2440" t="s">
        <v>457</v>
      </c>
      <c r="AB44" s="2441"/>
      <c r="AC44" s="2449"/>
      <c r="AD44" s="2503"/>
      <c r="AE44" s="2504"/>
      <c r="AF44" s="2504"/>
      <c r="AG44" s="2505"/>
      <c r="AH44" s="2503"/>
      <c r="AI44" s="2504"/>
      <c r="AJ44" s="2504"/>
      <c r="AK44" s="2505"/>
      <c r="AL44" s="2503"/>
      <c r="AM44" s="2504"/>
      <c r="AN44" s="2504"/>
      <c r="AO44" s="2505"/>
      <c r="AP44" s="2503"/>
      <c r="AQ44" s="2504"/>
      <c r="AR44" s="2504"/>
      <c r="AS44" s="2505"/>
      <c r="AT44" s="1618" t="s">
        <v>492</v>
      </c>
      <c r="AU44" s="1618" t="s">
        <v>493</v>
      </c>
      <c r="AV44" s="1618" t="s">
        <v>492</v>
      </c>
      <c r="AW44" s="1618" t="s">
        <v>493</v>
      </c>
      <c r="AX44" s="1625" t="s">
        <v>456</v>
      </c>
      <c r="AY44" s="2440" t="s">
        <v>457</v>
      </c>
      <c r="AZ44" s="2441"/>
      <c r="BA44" s="2449"/>
      <c r="BB44" s="2452"/>
      <c r="BC44" s="2297"/>
      <c r="BI44" s="1325">
        <v>14</v>
      </c>
    </row>
    <row s="12668" customFormat="1" customHeight="1" ht="11.25" hidden="1">
      <c r="A45" s="1540"/>
      <c r="B45" s="1540"/>
      <c r="C45" s="1540"/>
      <c r="D45" s="1540"/>
      <c r="E45" s="1540"/>
      <c r="F45" s="1540"/>
      <c r="G45" s="1540"/>
      <c r="H45" s="1540"/>
      <c r="I45" s="1540"/>
      <c r="J45" s="1540"/>
      <c r="K45" s="1540"/>
      <c r="L45" s="1534"/>
      <c r="M45" s="1532"/>
      <c r="N45" s="1532"/>
      <c r="O45" s="1532"/>
      <c r="P45" s="680"/>
      <c r="Q45" s="1424"/>
      <c r="R45" s="1424">
        <v>1</v>
      </c>
      <c r="S45" s="1447" t="s">
        <v>112</v>
      </c>
      <c r="T45" s="1425" t="s">
        <v>113</v>
      </c>
      <c r="U45" s="1415" t="str">
        <f>OFFSET(U45,0,-1)</f>
        <v>2</v>
      </c>
      <c r="V45" s="1621">
        <f>OFFSET(V45,0,-1)+1</f>
        <v>3</v>
      </c>
      <c r="W45" s="1621">
        <f>OFFSET(W45,0,-1)+1</f>
        <v>4</v>
      </c>
      <c r="X45" s="1621">
        <f>OFFSET(X45,0,-1)+1</f>
        <v>5</v>
      </c>
      <c r="Y45" s="1621">
        <f>OFFSET(Y45,0,-1)+1</f>
        <v>6</v>
      </c>
      <c r="Z45" s="1621">
        <f>OFFSET(Z45,0,-1)+1</f>
        <v>7</v>
      </c>
      <c r="AA45" s="2442">
        <f>OFFSET(AA45,0,-1)+1</f>
        <v>8</v>
      </c>
      <c r="AB45" s="2442"/>
      <c r="AC45" s="1621">
        <f>OFFSET(AC45,0,-2)+1</f>
        <v>9</v>
      </c>
      <c r="AD45" s="1621">
        <f>OFFSET(AD45,0,-1)+1</f>
        <v>10</v>
      </c>
      <c r="AE45" s="1621"/>
      <c r="AF45" s="1621"/>
      <c r="AG45" s="1621"/>
      <c r="AH45" s="1621"/>
      <c r="AI45" s="1621"/>
      <c r="AJ45" s="1621"/>
      <c r="AK45" s="1621"/>
      <c r="AL45" s="1621"/>
      <c r="AM45" s="1621"/>
      <c r="AN45" s="1621"/>
      <c r="AO45" s="1621"/>
      <c r="AP45" s="1621"/>
      <c r="AQ45" s="1621"/>
      <c r="AR45" s="1621"/>
      <c r="AS45" s="1621"/>
      <c r="AT45" s="1621"/>
      <c r="AU45" s="1621"/>
      <c r="AV45" s="1621"/>
      <c r="AW45" s="1621">
        <f>OFFSET(AW45,0,-1)+1</f>
        <v>1</v>
      </c>
      <c r="AX45" s="1621">
        <f>OFFSET(AX45,0,-1)+1</f>
        <v>2</v>
      </c>
      <c r="AY45" s="2442">
        <f>OFFSET(AY45,0,-1)+1</f>
        <v>3</v>
      </c>
      <c r="AZ45" s="2442"/>
      <c r="BA45" s="1621">
        <f>OFFSET(BA45,0,-2)+1</f>
        <v>4</v>
      </c>
      <c r="BB45" s="1415">
        <f>OFFSET(BB45,0,-1)</f>
        <v>4</v>
      </c>
      <c r="BC45" s="1621">
        <f>OFFSET(BC45,0,-1)+1</f>
        <v>5</v>
      </c>
      <c r="BD45" s="681"/>
      <c r="BE45" s="681"/>
      <c r="BF45" s="681"/>
      <c r="BG45" s="681"/>
      <c r="BH45" s="681"/>
      <c r="BI45" s="666">
        <v>0</v>
      </c>
    </row>
    <row customHeight="1" ht="22.049999999999997">
      <c r="A46" s="1533" t="s">
        <v>258</v>
      </c>
      <c r="B46" s="1533"/>
      <c r="C46" s="1533"/>
      <c r="D46" s="1533"/>
      <c r="E46" s="2428">
        <v>1</v>
      </c>
      <c r="F46" s="1533"/>
      <c r="G46" s="1533"/>
      <c r="H46" s="1533"/>
      <c r="I46" s="1533"/>
      <c r="J46" s="1533"/>
      <c r="K46" s="1533"/>
      <c r="L46" s="1534"/>
      <c r="M46" s="1535"/>
      <c r="N46" s="1535"/>
      <c r="O46" s="1535"/>
      <c r="P46" s="1579"/>
      <c r="Q46" s="1043"/>
      <c r="R46" s="525"/>
      <c r="S46" s="1627">
        <f>INDEX(PT_DIFFERENTIATION_NUM_NTAR,MATCH(A46,PT_DIFFERENTIATION_NTAR_ID,0))</f>
        <v>0</v>
      </c>
      <c r="T46" s="468" t="s">
        <v>126</v>
      </c>
      <c r="U46" s="470"/>
      <c r="V46" s="2413"/>
      <c r="W46" s="2413"/>
      <c r="X46" s="2413"/>
      <c r="Y46" s="2413"/>
      <c r="Z46" s="2413"/>
      <c r="AA46" s="2413"/>
      <c r="AB46" s="2413"/>
      <c r="AC46" s="2414"/>
      <c r="AD46" s="2412" t="str">
        <f>INDEX(PT_DIFFERENTIATION_NTAR,MATCH(A46,PT_DIFFERENTIATION_NTAR_ID,0))</f>
        <v/>
      </c>
      <c r="AE46" s="2413"/>
      <c r="AF46" s="2413"/>
      <c r="AG46" s="2413"/>
      <c r="AH46" s="2413"/>
      <c r="AI46" s="2413"/>
      <c r="AJ46" s="2413"/>
      <c r="AK46" s="2413"/>
      <c r="AL46" s="2413"/>
      <c r="AM46" s="2413"/>
      <c r="AN46" s="2413"/>
      <c r="AO46" s="2413"/>
      <c r="AP46" s="2413"/>
      <c r="AQ46" s="2413"/>
      <c r="AR46" s="2413"/>
      <c r="AS46" s="2413"/>
      <c r="AT46" s="2413"/>
      <c r="AU46" s="2413"/>
      <c r="AV46" s="2413"/>
      <c r="AW46" s="2413"/>
      <c r="AX46" s="2413"/>
      <c r="AY46" s="2413"/>
      <c r="AZ46" s="2413"/>
      <c r="BA46" s="2413"/>
      <c r="BB46" s="2414"/>
      <c r="BC46"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70"/>
      <c r="BF46" s="670" t="str">
        <f>IF(T46="","",T46)</f>
        <v>Наименование тарифа</v>
      </c>
      <c r="BG46" s="670"/>
      <c r="BH46" s="670"/>
      <c r="BI46" s="1325">
        <v>21</v>
      </c>
    </row>
    <row customHeight="1" ht="22.049999999999997">
      <c r="A47" s="1533" t="s">
        <v>258</v>
      </c>
      <c r="B47" s="1533" t="s">
        <v>259</v>
      </c>
      <c r="C47" s="1533"/>
      <c r="D47" s="1533"/>
      <c r="E47" s="2429"/>
      <c r="F47" s="2428">
        <v>1</v>
      </c>
      <c r="G47" s="1533"/>
      <c r="H47" s="1533"/>
      <c r="I47" s="1533"/>
      <c r="J47" s="1533"/>
      <c r="K47" s="1533"/>
      <c r="L47" s="1534"/>
      <c r="M47" s="1535"/>
      <c r="N47" s="1535"/>
      <c r="O47" s="1535"/>
      <c r="P47" s="1580"/>
      <c r="Q47" s="1581"/>
      <c r="R47" s="523"/>
      <c r="S47" s="1627" t="str">
        <f>INDEX(PT_DIFFERENTIATION_NUM_TER,MATCH(B47,PT_DIFFERENTIATION_TER_ID,0))</f>
        <v>.</v>
      </c>
      <c r="T47" s="478" t="s">
        <v>409</v>
      </c>
      <c r="U47" s="470"/>
      <c r="V47" s="2413"/>
      <c r="W47" s="2413"/>
      <c r="X47" s="2413"/>
      <c r="Y47" s="2413"/>
      <c r="Z47" s="2413"/>
      <c r="AA47" s="2413"/>
      <c r="AB47" s="2413"/>
      <c r="AC47" s="2414"/>
      <c r="AD47" s="2412" t="str">
        <f>INDEX(PT_DIFFERENTIATION_TER,MATCH(B47,PT_DIFFERENTIATION_TER_ID,0))</f>
        <v/>
      </c>
      <c r="AE47" s="2413"/>
      <c r="AF47" s="2413"/>
      <c r="AG47" s="2413"/>
      <c r="AH47" s="2413"/>
      <c r="AI47" s="2413"/>
      <c r="AJ47" s="2413"/>
      <c r="AK47" s="2413"/>
      <c r="AL47" s="2413"/>
      <c r="AM47" s="2413"/>
      <c r="AN47" s="2413"/>
      <c r="AO47" s="2413"/>
      <c r="AP47" s="2413"/>
      <c r="AQ47" s="2413"/>
      <c r="AR47" s="2413"/>
      <c r="AS47" s="2413"/>
      <c r="AT47" s="2413"/>
      <c r="AU47" s="2413"/>
      <c r="AV47" s="2413"/>
      <c r="AW47" s="2413"/>
      <c r="AX47" s="2413"/>
      <c r="AY47" s="2413"/>
      <c r="AZ47" s="2413"/>
      <c r="BA47" s="2413"/>
      <c r="BB47" s="2414"/>
      <c r="BC47" s="1428" t="s">
        <v>410</v>
      </c>
      <c r="BE47" s="670"/>
      <c r="BF47" s="670" t="str">
        <f>IF(T47="","",T47)</f>
        <v>Территория действия тарифа</v>
      </c>
      <c r="BG47" s="670"/>
      <c r="BH47" s="670"/>
      <c r="BI47" s="1325">
        <v>21</v>
      </c>
    </row>
    <row customHeight="1" ht="43.050000000000004">
      <c r="A48" s="1533" t="s">
        <v>258</v>
      </c>
      <c r="B48" s="1533" t="s">
        <v>259</v>
      </c>
      <c r="C48" s="1533" t="s">
        <v>260</v>
      </c>
      <c r="D48" s="1533"/>
      <c r="E48" s="2429"/>
      <c r="F48" s="2429"/>
      <c r="G48" s="2428">
        <v>1</v>
      </c>
      <c r="H48" s="1533"/>
      <c r="I48" s="1533"/>
      <c r="J48" s="1533"/>
      <c r="K48" s="1533"/>
      <c r="L48" s="1534"/>
      <c r="M48" s="1535"/>
      <c r="N48" s="1535"/>
      <c r="O48" s="1535"/>
      <c r="P48" s="1582"/>
      <c r="Q48" s="1581"/>
      <c r="R48" s="523"/>
      <c r="S48" s="1627" t="str">
        <f>INDEX(PT_DIFFERENTIATION_NUM_CS,MATCH(C48,PT_DIFFERENTIATION_CS_ID,0))</f>
        <v>..</v>
      </c>
      <c r="T48" s="479" t="s">
        <v>496</v>
      </c>
      <c r="U48" s="470"/>
      <c r="V48" s="2413"/>
      <c r="W48" s="2413"/>
      <c r="X48" s="2413"/>
      <c r="Y48" s="2413"/>
      <c r="Z48" s="2413"/>
      <c r="AA48" s="2413"/>
      <c r="AB48" s="2413"/>
      <c r="AC48" s="2414"/>
      <c r="AD48" s="2412" t="str">
        <f>INDEX(PT_DIFFERENTIATION_CS,MATCH(C48,PT_DIFFERENTIATION_CS_ID,0))</f>
        <v/>
      </c>
      <c r="AE48" s="2413"/>
      <c r="AF48" s="2413"/>
      <c r="AG48" s="2413"/>
      <c r="AH48" s="2413"/>
      <c r="AI48" s="2413"/>
      <c r="AJ48" s="2413"/>
      <c r="AK48" s="2413"/>
      <c r="AL48" s="2413"/>
      <c r="AM48" s="2413"/>
      <c r="AN48" s="2413"/>
      <c r="AO48" s="2413"/>
      <c r="AP48" s="2413"/>
      <c r="AQ48" s="2413"/>
      <c r="AR48" s="2413"/>
      <c r="AS48" s="2413"/>
      <c r="AT48" s="2413"/>
      <c r="AU48" s="2413"/>
      <c r="AV48" s="2413"/>
      <c r="AW48" s="2413"/>
      <c r="AX48" s="2413"/>
      <c r="AY48" s="2413"/>
      <c r="AZ48" s="2413"/>
      <c r="BA48" s="2413"/>
      <c r="BB48" s="2414"/>
      <c r="BC48" s="1428" t="s">
        <v>497</v>
      </c>
      <c r="BE48" s="670"/>
      <c r="BF48" s="670" t="str">
        <f>IF(T48="","",T48)</f>
        <v>Наименование централизованной системы холодного водоснабжения</v>
      </c>
      <c r="BG48" s="670"/>
      <c r="BH48" s="670"/>
      <c r="BI48" s="1325">
        <v>41</v>
      </c>
    </row>
    <row s="11993" customFormat="1" customHeight="1" ht="0">
      <c r="A49" s="1513" t="s">
        <v>258</v>
      </c>
      <c r="B49" s="1513" t="s">
        <v>259</v>
      </c>
      <c r="C49" s="1513" t="s">
        <v>260</v>
      </c>
      <c r="D49" s="1513" t="s">
        <v>530</v>
      </c>
      <c r="E49" s="2429"/>
      <c r="F49" s="2429"/>
      <c r="G49" s="2429"/>
      <c r="H49" s="2428">
        <v>1</v>
      </c>
      <c r="I49" s="1513"/>
      <c r="J49" s="1513"/>
      <c r="K49" s="1513"/>
      <c r="L49" s="1516"/>
      <c r="M49" s="1485"/>
      <c r="N49" s="1485"/>
      <c r="O49" s="1485"/>
      <c r="P49" s="1667"/>
      <c r="Q49" s="1668"/>
      <c r="R49" s="527"/>
      <c r="S49" s="1212"/>
      <c r="T49" s="1669"/>
      <c r="U49" s="1554"/>
      <c r="V49" s="2467"/>
      <c r="W49" s="2467"/>
      <c r="X49" s="2467"/>
      <c r="Y49" s="2467"/>
      <c r="Z49" s="2467"/>
      <c r="AA49" s="2467"/>
      <c r="AB49" s="2467"/>
      <c r="AC49" s="2468"/>
      <c r="AD49" s="2466"/>
      <c r="AE49" s="2467"/>
      <c r="AF49" s="2467"/>
      <c r="AG49" s="2467"/>
      <c r="AH49" s="2467"/>
      <c r="AI49" s="2467"/>
      <c r="AJ49" s="2467"/>
      <c r="AK49" s="2467"/>
      <c r="AL49" s="2467"/>
      <c r="AM49" s="2467"/>
      <c r="AN49" s="2467"/>
      <c r="AO49" s="2467"/>
      <c r="AP49" s="2467"/>
      <c r="AQ49" s="2467"/>
      <c r="AR49" s="2467"/>
      <c r="AS49" s="2467"/>
      <c r="AT49" s="2467"/>
      <c r="AU49" s="2467"/>
      <c r="AV49" s="2467"/>
      <c r="AW49" s="2467"/>
      <c r="AX49" s="2467"/>
      <c r="AY49" s="2467"/>
      <c r="AZ49" s="2467"/>
      <c r="BA49" s="2467"/>
      <c r="BB49" s="2468"/>
      <c r="BC49" s="1555" t="s">
        <v>414</v>
      </c>
      <c r="BE49" s="670"/>
      <c r="BF49" s="670" t="str">
        <f>IF(T49="","",T49)</f>
        <v/>
      </c>
      <c r="BG49" s="670"/>
      <c r="BH49" s="670"/>
      <c r="BI49" s="681">
        <v>0</v>
      </c>
    </row>
    <row s="11993" customFormat="1" customHeight="1" ht="0">
      <c r="A50" s="1513" t="s">
        <v>258</v>
      </c>
      <c r="B50" s="1513" t="s">
        <v>259</v>
      </c>
      <c r="C50" s="1513" t="s">
        <v>260</v>
      </c>
      <c r="D50" s="1513" t="s">
        <v>530</v>
      </c>
      <c r="E50" s="2429"/>
      <c r="F50" s="2429"/>
      <c r="G50" s="2429"/>
      <c r="H50" s="2429"/>
      <c r="I50" s="2426" t="str">
        <f>S49&amp;".1"</f>
        <v>.1</v>
      </c>
      <c r="J50" s="1513"/>
      <c r="K50" s="1513"/>
      <c r="L50" s="1516" t="s">
        <v>415</v>
      </c>
      <c r="M50" s="680"/>
      <c r="N50" s="680"/>
      <c r="O50" s="680"/>
      <c r="P50" s="2427">
        <v>1</v>
      </c>
      <c r="Q50" s="1632"/>
      <c r="R50" s="526"/>
      <c r="S50" s="1212"/>
      <c r="T50" s="1553"/>
      <c r="U50" s="1554"/>
      <c r="V50" s="2467"/>
      <c r="W50" s="2467"/>
      <c r="X50" s="2467"/>
      <c r="Y50" s="2467"/>
      <c r="Z50" s="2467"/>
      <c r="AA50" s="2467"/>
      <c r="AB50" s="2467"/>
      <c r="AC50" s="2468"/>
      <c r="AD50" s="2466"/>
      <c r="AE50" s="2467"/>
      <c r="AF50" s="2467"/>
      <c r="AG50" s="2467"/>
      <c r="AH50" s="2467"/>
      <c r="AI50" s="2467"/>
      <c r="AJ50" s="2467"/>
      <c r="AK50" s="2467"/>
      <c r="AL50" s="2467"/>
      <c r="AM50" s="2467"/>
      <c r="AN50" s="2467"/>
      <c r="AO50" s="2467"/>
      <c r="AP50" s="2467"/>
      <c r="AQ50" s="2467"/>
      <c r="AR50" s="2467"/>
      <c r="AS50" s="2467"/>
      <c r="AT50" s="2467"/>
      <c r="AU50" s="2467"/>
      <c r="AV50" s="2467"/>
      <c r="AW50" s="2467"/>
      <c r="AX50" s="2467"/>
      <c r="AY50" s="2467"/>
      <c r="AZ50" s="2467"/>
      <c r="BA50" s="2467"/>
      <c r="BB50" s="2468"/>
      <c r="BC50" s="1555"/>
      <c r="BE50" s="670"/>
      <c r="BF50" s="670" t="str">
        <f>IF(T50="","",T50)</f>
        <v/>
      </c>
      <c r="BG50" s="670"/>
      <c r="BH50" s="670"/>
      <c r="BI50" s="681">
        <v>0</v>
      </c>
    </row>
    <row s="11993" customFormat="1" customHeight="1" ht="0">
      <c r="A51" s="1513" t="s">
        <v>258</v>
      </c>
      <c r="B51" s="1513" t="s">
        <v>259</v>
      </c>
      <c r="C51" s="1513" t="s">
        <v>260</v>
      </c>
      <c r="D51" s="1513" t="s">
        <v>530</v>
      </c>
      <c r="E51" s="2429"/>
      <c r="F51" s="2429"/>
      <c r="G51" s="2429"/>
      <c r="H51" s="2429"/>
      <c r="I51" s="2456"/>
      <c r="J51" s="2426" t="str">
        <f>S49&amp;".1"</f>
        <v>.1</v>
      </c>
      <c r="K51" s="1513"/>
      <c r="L51" s="1516"/>
      <c r="M51" s="680"/>
      <c r="N51" s="680"/>
      <c r="O51" s="680"/>
      <c r="P51" s="2427"/>
      <c r="Q51" s="2427">
        <v>1</v>
      </c>
      <c r="R51" s="527"/>
      <c r="S51" s="1212"/>
      <c r="T51" s="1569"/>
      <c r="U51" s="1554"/>
      <c r="V51" s="2467"/>
      <c r="W51" s="2467"/>
      <c r="X51" s="2467"/>
      <c r="Y51" s="2467"/>
      <c r="Z51" s="2467"/>
      <c r="AA51" s="2467"/>
      <c r="AB51" s="2467"/>
      <c r="AC51" s="2468"/>
      <c r="AD51" s="2466"/>
      <c r="AE51" s="2467"/>
      <c r="AF51" s="2467"/>
      <c r="AG51" s="2467"/>
      <c r="AH51" s="2467"/>
      <c r="AI51" s="2467"/>
      <c r="AJ51" s="2467"/>
      <c r="AK51" s="2467"/>
      <c r="AL51" s="2467"/>
      <c r="AM51" s="2467"/>
      <c r="AN51" s="2534"/>
      <c r="AO51" s="2534"/>
      <c r="AP51" s="2467"/>
      <c r="AQ51" s="2467"/>
      <c r="AR51" s="2467"/>
      <c r="AS51" s="2467"/>
      <c r="AT51" s="2467"/>
      <c r="AU51" s="2467"/>
      <c r="AV51" s="2467"/>
      <c r="AW51" s="2467"/>
      <c r="AX51" s="2467"/>
      <c r="AY51" s="2467"/>
      <c r="AZ51" s="2467"/>
      <c r="BA51" s="2467"/>
      <c r="BB51" s="2468"/>
      <c r="BC51" s="1555"/>
      <c r="BE51" s="670"/>
      <c r="BF51" s="670" t="str">
        <f>IF(T51="","",T51)</f>
        <v/>
      </c>
      <c r="BG51" s="670"/>
      <c r="BH51" s="670"/>
      <c r="BI51" s="681">
        <v>0</v>
      </c>
    </row>
    <row customHeight="1" ht="11.549999999999999">
      <c r="A52" s="1533" t="s">
        <v>258</v>
      </c>
      <c r="B52" s="1533" t="s">
        <v>259</v>
      </c>
      <c r="C52" s="1533" t="s">
        <v>260</v>
      </c>
      <c r="D52" s="1533" t="s">
        <v>530</v>
      </c>
      <c r="E52" s="2429"/>
      <c r="F52" s="2429"/>
      <c r="G52" s="2429"/>
      <c r="H52" s="2429"/>
      <c r="I52" s="2456"/>
      <c r="J52" s="2456"/>
      <c r="K52" s="2426" t="str">
        <f>S48&amp;".1"</f>
        <v>...1</v>
      </c>
      <c r="L52" s="1534"/>
      <c r="P52" s="2427"/>
      <c r="Q52" s="2427"/>
      <c r="R52" s="527">
        <v>1</v>
      </c>
      <c r="S52" s="2511" t="str">
        <f>$K52</f>
        <v>...1</v>
      </c>
      <c r="T52" s="2530"/>
      <c r="U52" s="470"/>
      <c r="V52" s="921"/>
      <c r="W52" s="1427"/>
      <c r="X52" s="921"/>
      <c r="Y52" s="1427"/>
      <c r="Z52" s="1904"/>
      <c r="AA52" s="1629" t="s">
        <v>64</v>
      </c>
      <c r="AB52" s="1904"/>
      <c r="AC52" s="1629" t="s">
        <v>64</v>
      </c>
      <c r="AD52" s="2355" t="s">
        <v>64</v>
      </c>
      <c r="AE52" s="2496"/>
      <c r="AF52" s="2375">
        <v>1</v>
      </c>
      <c r="AG52" s="2533"/>
      <c r="AH52" s="2277" t="s">
        <v>64</v>
      </c>
      <c r="AI52" s="2496"/>
      <c r="AJ52" s="2375">
        <v>1</v>
      </c>
      <c r="AK52" s="2497" t="s">
        <v>28</v>
      </c>
      <c r="AL52" s="2277" t="s">
        <v>64</v>
      </c>
      <c r="AM52" s="2362"/>
      <c r="AN52" s="2375">
        <v>1</v>
      </c>
      <c r="AO52" s="2527"/>
      <c r="AP52" s="2528" t="s">
        <v>64</v>
      </c>
      <c r="AQ52" s="481"/>
      <c r="AR52" s="1633">
        <v>1</v>
      </c>
      <c r="AS52" s="1636" t="s">
        <v>28</v>
      </c>
      <c r="AT52" s="921"/>
      <c r="AU52" s="1427"/>
      <c r="AV52" s="921"/>
      <c r="AW52" s="1427"/>
      <c r="AX52" s="1904"/>
      <c r="AY52" s="1629" t="s">
        <v>64</v>
      </c>
      <c r="AZ52" s="1904"/>
      <c r="BA52" s="1629" t="s">
        <v>64</v>
      </c>
      <c r="BB52" s="1518"/>
      <c r="BC52" s="2423" t="s">
        <v>516</v>
      </c>
      <c r="BE52" s="670"/>
      <c r="BF52" s="670" t="str">
        <f>IF(T52="","",T52)</f>
        <v/>
      </c>
      <c r="BG52" s="670"/>
      <c r="BH52" s="670"/>
      <c r="BI52" s="1325">
        <v>11</v>
      </c>
    </row>
    <row customHeight="1" ht="11.549999999999999">
      <c r="A53" s="1533"/>
      <c r="B53" s="1533"/>
      <c r="C53" s="1533"/>
      <c r="D53" s="1533"/>
      <c r="E53" s="2429"/>
      <c r="F53" s="2429"/>
      <c r="G53" s="2429"/>
      <c r="H53" s="2429"/>
      <c r="I53" s="2456"/>
      <c r="J53" s="2456"/>
      <c r="K53" s="2426"/>
      <c r="L53" s="1534"/>
      <c r="P53" s="2427"/>
      <c r="Q53" s="2427"/>
      <c r="R53" s="527"/>
      <c r="S53" s="2512"/>
      <c r="T53" s="2531"/>
      <c r="U53" s="470"/>
      <c r="V53" s="1563"/>
      <c r="W53" s="1666"/>
      <c r="X53" s="1563"/>
      <c r="Y53" s="1666"/>
      <c r="Z53" s="1563"/>
      <c r="AA53" s="1563"/>
      <c r="AB53" s="1563"/>
      <c r="AC53" s="1563"/>
      <c r="AD53" s="2356"/>
      <c r="AE53" s="2496"/>
      <c r="AF53" s="2375"/>
      <c r="AG53" s="2533"/>
      <c r="AH53" s="2277"/>
      <c r="AI53" s="2496"/>
      <c r="AJ53" s="2375"/>
      <c r="AK53" s="2497"/>
      <c r="AL53" s="2277"/>
      <c r="AM53" s="2370"/>
      <c r="AN53" s="2375"/>
      <c r="AO53" s="2527"/>
      <c r="AP53" s="2529"/>
      <c r="AQ53" s="486"/>
      <c r="AR53" s="586"/>
      <c r="AS53" s="586" t="s">
        <v>517</v>
      </c>
      <c r="AT53" s="1563"/>
      <c r="AU53" s="1666"/>
      <c r="AV53" s="1563"/>
      <c r="AW53" s="1666"/>
      <c r="AX53" s="1563"/>
      <c r="AY53" s="1563"/>
      <c r="AZ53" s="1563"/>
      <c r="BA53" s="1563"/>
      <c r="BB53" s="1567"/>
      <c r="BC53" s="2424"/>
      <c r="BE53" s="670"/>
      <c r="BF53" s="670"/>
      <c r="BG53" s="670"/>
      <c r="BH53" s="670"/>
      <c r="BI53" s="1325">
        <v>11</v>
      </c>
    </row>
    <row customHeight="1" ht="11.549999999999999">
      <c r="A54" s="1533" t="s">
        <v>258</v>
      </c>
      <c r="B54" s="1533"/>
      <c r="C54" s="1533"/>
      <c r="D54" s="1533"/>
      <c r="E54" s="2429"/>
      <c r="F54" s="2429"/>
      <c r="G54" s="2429"/>
      <c r="H54" s="2429"/>
      <c r="I54" s="2456"/>
      <c r="J54" s="2456"/>
      <c r="K54" s="2426"/>
      <c r="L54" s="1534"/>
      <c r="P54" s="2427"/>
      <c r="Q54" s="2427"/>
      <c r="R54" s="527"/>
      <c r="S54" s="2512"/>
      <c r="T54" s="2531"/>
      <c r="U54" s="470"/>
      <c r="V54" s="1563"/>
      <c r="W54" s="1666"/>
      <c r="X54" s="1563"/>
      <c r="Y54" s="1666"/>
      <c r="Z54" s="1563"/>
      <c r="AA54" s="1563"/>
      <c r="AB54" s="1563"/>
      <c r="AC54" s="1563"/>
      <c r="AD54" s="2356"/>
      <c r="AE54" s="2496"/>
      <c r="AF54" s="2375"/>
      <c r="AG54" s="2533"/>
      <c r="AH54" s="2277"/>
      <c r="AI54" s="2496"/>
      <c r="AJ54" s="2375"/>
      <c r="AK54" s="2497"/>
      <c r="AL54" s="2277"/>
      <c r="AM54" s="486"/>
      <c r="AN54" s="1670"/>
      <c r="AO54" s="1670" t="s">
        <v>518</v>
      </c>
      <c r="AP54" s="586"/>
      <c r="AQ54" s="586"/>
      <c r="AR54" s="586"/>
      <c r="AS54" s="1563"/>
      <c r="AT54" s="1563"/>
      <c r="AU54" s="1666"/>
      <c r="AV54" s="1563"/>
      <c r="AW54" s="1666"/>
      <c r="AX54" s="1563"/>
      <c r="AY54" s="1563"/>
      <c r="AZ54" s="1563"/>
      <c r="BA54" s="1563"/>
      <c r="BB54" s="1567"/>
      <c r="BC54" s="2424"/>
      <c r="BE54" s="670"/>
      <c r="BF54" s="670"/>
      <c r="BG54" s="670"/>
      <c r="BH54" s="670"/>
      <c r="BI54" s="1325">
        <v>11</v>
      </c>
    </row>
    <row customHeight="1" ht="11.549999999999999">
      <c r="A55" s="1533" t="s">
        <v>258</v>
      </c>
      <c r="B55" s="1533"/>
      <c r="C55" s="1533"/>
      <c r="D55" s="1533"/>
      <c r="E55" s="2429"/>
      <c r="F55" s="2429"/>
      <c r="G55" s="2429"/>
      <c r="H55" s="2429"/>
      <c r="I55" s="2456"/>
      <c r="J55" s="2456"/>
      <c r="K55" s="2426"/>
      <c r="L55" s="1534"/>
      <c r="P55" s="2427"/>
      <c r="Q55" s="2427"/>
      <c r="R55" s="527"/>
      <c r="S55" s="2512"/>
      <c r="T55" s="2531"/>
      <c r="U55" s="470"/>
      <c r="V55" s="1563"/>
      <c r="W55" s="1666"/>
      <c r="X55" s="1563"/>
      <c r="Y55" s="1666"/>
      <c r="Z55" s="1563"/>
      <c r="AA55" s="1563"/>
      <c r="AB55" s="1563"/>
      <c r="AC55" s="1563"/>
      <c r="AD55" s="2356"/>
      <c r="AE55" s="2496"/>
      <c r="AF55" s="2375"/>
      <c r="AG55" s="2533"/>
      <c r="AH55" s="2277"/>
      <c r="AI55" s="464"/>
      <c r="AJ55" s="585"/>
      <c r="AK55" s="483" t="s">
        <v>519</v>
      </c>
      <c r="AL55" s="1563"/>
      <c r="AM55" s="1563"/>
      <c r="AN55" s="1563"/>
      <c r="AO55" s="1563"/>
      <c r="AP55" s="1563"/>
      <c r="AQ55" s="1563"/>
      <c r="AR55" s="1563"/>
      <c r="AS55" s="1563"/>
      <c r="AT55" s="1563"/>
      <c r="AU55" s="1666"/>
      <c r="AV55" s="1563"/>
      <c r="AW55" s="1666"/>
      <c r="AX55" s="1563"/>
      <c r="AY55" s="1563"/>
      <c r="AZ55" s="1563"/>
      <c r="BA55" s="1563"/>
      <c r="BB55" s="1567"/>
      <c r="BC55" s="2424"/>
      <c r="BE55" s="670"/>
      <c r="BF55" s="670"/>
      <c r="BG55" s="670"/>
      <c r="BH55" s="670"/>
      <c r="BI55" s="1325">
        <v>11</v>
      </c>
    </row>
    <row customHeight="1" ht="11.549999999999999">
      <c r="A56" s="1533" t="s">
        <v>258</v>
      </c>
      <c r="B56" s="1533" t="s">
        <v>259</v>
      </c>
      <c r="C56" s="1533" t="s">
        <v>260</v>
      </c>
      <c r="D56" s="1533" t="s">
        <v>530</v>
      </c>
      <c r="E56" s="2429"/>
      <c r="F56" s="2429"/>
      <c r="G56" s="2429"/>
      <c r="H56" s="2429"/>
      <c r="I56" s="2456"/>
      <c r="J56" s="2456"/>
      <c r="K56" s="2426"/>
      <c r="L56" s="1534"/>
      <c r="P56" s="2427"/>
      <c r="Q56" s="2427"/>
      <c r="R56" s="527"/>
      <c r="S56" s="2513"/>
      <c r="T56" s="2532"/>
      <c r="U56" s="470"/>
      <c r="V56" s="1563"/>
      <c r="W56" s="1564" t="str">
        <f>Z52&amp;"-"&amp;AB52</f>
        <v>-</v>
      </c>
      <c r="X56" s="1563"/>
      <c r="Y56" s="1564" t="str">
        <f>AB52&amp;"-"&amp;AD52</f>
        <v>-да</v>
      </c>
      <c r="Z56" s="1563"/>
      <c r="AA56" s="1563"/>
      <c r="AB56" s="1563"/>
      <c r="AC56" s="1563"/>
      <c r="AD56" s="2282"/>
      <c r="AE56" s="482"/>
      <c r="AF56" s="484"/>
      <c r="AG56" s="586" t="s">
        <v>520</v>
      </c>
      <c r="AH56" s="1563"/>
      <c r="AI56" s="1563"/>
      <c r="AJ56" s="1563"/>
      <c r="AK56" s="1563"/>
      <c r="AL56" s="1563"/>
      <c r="AM56" s="1563"/>
      <c r="AN56" s="1563"/>
      <c r="AO56" s="1563"/>
      <c r="AP56" s="1563"/>
      <c r="AQ56" s="1563"/>
      <c r="AR56" s="1563"/>
      <c r="AS56" s="1563"/>
      <c r="AT56" s="1563"/>
      <c r="AU56" s="1564" t="str">
        <f>AX52&amp;"-"&amp;AZ52</f>
        <v>-</v>
      </c>
      <c r="AV56" s="1563"/>
      <c r="AW56" s="1564" t="str">
        <f>AZ52&amp;"-"&amp;BB52</f>
        <v>-</v>
      </c>
      <c r="AX56" s="1563"/>
      <c r="AY56" s="1563"/>
      <c r="AZ56" s="1563"/>
      <c r="BA56" s="1563"/>
      <c r="BB56" s="1566" t="str">
        <f>BE52&amp;"-"&amp;BG52</f>
        <v>-</v>
      </c>
      <c r="BC56" s="2424"/>
      <c r="BE56" s="670"/>
      <c r="BF56" s="670" t="str">
        <f>IF(T56="","",T56)</f>
        <v/>
      </c>
      <c r="BG56" s="670"/>
      <c r="BH56" s="670"/>
      <c r="BI56" s="1325">
        <v>11</v>
      </c>
    </row>
    <row customHeight="1" ht="11.549999999999999">
      <c r="A57" s="1533" t="s">
        <v>258</v>
      </c>
      <c r="B57" s="1533" t="s">
        <v>259</v>
      </c>
      <c r="C57" s="1533" t="s">
        <v>260</v>
      </c>
      <c r="D57" s="1533" t="s">
        <v>530</v>
      </c>
      <c r="E57" s="2429"/>
      <c r="F57" s="2429"/>
      <c r="G57" s="2429"/>
      <c r="H57" s="2429"/>
      <c r="I57" s="2456"/>
      <c r="J57" s="2426"/>
      <c r="K57" s="1533"/>
      <c r="L57" s="1534"/>
      <c r="P57" s="2427"/>
      <c r="Q57" s="2427"/>
      <c r="R57" s="526"/>
      <c r="S57" s="1448"/>
      <c r="T57" s="457" t="s">
        <v>481</v>
      </c>
      <c r="U57" s="537"/>
      <c r="V57" s="537"/>
      <c r="W57" s="537"/>
      <c r="X57" s="537"/>
      <c r="Y57" s="537"/>
      <c r="Z57" s="537"/>
      <c r="AA57" s="537"/>
      <c r="AB57" s="537"/>
      <c r="AC57" s="494"/>
      <c r="AD57" s="1675"/>
      <c r="AE57" s="537"/>
      <c r="AF57" s="537"/>
      <c r="AG57" s="537"/>
      <c r="AH57" s="537"/>
      <c r="AI57" s="537"/>
      <c r="AJ57" s="537"/>
      <c r="AK57" s="537"/>
      <c r="AL57" s="537"/>
      <c r="AM57" s="537"/>
      <c r="AN57" s="537"/>
      <c r="AO57" s="537"/>
      <c r="AP57" s="537"/>
      <c r="AQ57" s="537"/>
      <c r="AR57" s="537"/>
      <c r="AS57" s="537"/>
      <c r="AT57" s="537"/>
      <c r="AU57" s="537"/>
      <c r="AV57" s="537"/>
      <c r="AW57" s="537"/>
      <c r="AX57" s="537"/>
      <c r="AY57" s="537"/>
      <c r="AZ57" s="537"/>
      <c r="BA57" s="537"/>
      <c r="BB57" s="494"/>
      <c r="BC57" s="2425"/>
      <c r="BE57" s="670"/>
      <c r="BF57" s="670" t="str">
        <f>IF(T57="","",T57)</f>
        <v>Добавить строку</v>
      </c>
      <c r="BG57" s="670"/>
      <c r="BH57" s="670"/>
      <c r="BI57" s="1325">
        <v>11</v>
      </c>
    </row>
    <row s="11993" customFormat="1" customHeight="1" ht="0">
      <c r="A58" s="1513" t="s">
        <v>258</v>
      </c>
      <c r="B58" s="1513" t="s">
        <v>259</v>
      </c>
      <c r="C58" s="1513" t="s">
        <v>260</v>
      </c>
      <c r="D58" s="1513" t="s">
        <v>530</v>
      </c>
      <c r="E58" s="2429"/>
      <c r="F58" s="2429"/>
      <c r="G58" s="2429"/>
      <c r="H58" s="2429"/>
      <c r="I58" s="2426"/>
      <c r="J58" s="1513"/>
      <c r="K58" s="1513"/>
      <c r="L58" s="1516"/>
      <c r="M58" s="680"/>
      <c r="N58" s="680"/>
      <c r="O58" s="680"/>
      <c r="P58" s="2427"/>
      <c r="Q58" s="1632"/>
      <c r="R58" s="526"/>
      <c r="S58" s="1556"/>
      <c r="T58" s="1557"/>
      <c r="U58" s="1558"/>
      <c r="V58" s="1558"/>
      <c r="W58" s="1558"/>
      <c r="X58" s="1558"/>
      <c r="Y58" s="1558"/>
      <c r="Z58" s="1558"/>
      <c r="AA58" s="1558"/>
      <c r="AB58" s="1558"/>
      <c r="AC58" s="1558"/>
      <c r="AD58" s="1558"/>
      <c r="AE58" s="1558"/>
      <c r="AF58" s="1558"/>
      <c r="AG58" s="1558"/>
      <c r="AH58" s="1558"/>
      <c r="AI58" s="1558"/>
      <c r="AJ58" s="1558"/>
      <c r="AK58" s="1558"/>
      <c r="AL58" s="1558"/>
      <c r="AM58" s="1558"/>
      <c r="AN58" s="1558"/>
      <c r="AO58" s="1558"/>
      <c r="AP58" s="1558"/>
      <c r="AQ58" s="1558"/>
      <c r="AR58" s="1558"/>
      <c r="AS58" s="1558"/>
      <c r="AT58" s="1558"/>
      <c r="AU58" s="1558"/>
      <c r="AV58" s="1558"/>
      <c r="AW58" s="1558"/>
      <c r="AX58" s="1558"/>
      <c r="AY58" s="1558"/>
      <c r="AZ58" s="1558"/>
      <c r="BA58" s="1558"/>
      <c r="BB58" s="1558"/>
      <c r="BC58" s="1559"/>
      <c r="BE58" s="670"/>
      <c r="BF58" s="670" t="str">
        <f>IF(T58="","",T58)</f>
        <v/>
      </c>
      <c r="BG58" s="670"/>
      <c r="BH58" s="670"/>
      <c r="BI58" s="681">
        <v>0</v>
      </c>
    </row>
    <row s="11993" customFormat="1" customHeight="1" ht="0">
      <c r="A59" s="1513" t="s">
        <v>258</v>
      </c>
      <c r="B59" s="1513" t="s">
        <v>259</v>
      </c>
      <c r="C59" s="1513" t="s">
        <v>260</v>
      </c>
      <c r="D59" s="1513" t="s">
        <v>530</v>
      </c>
      <c r="E59" s="2429"/>
      <c r="F59" s="2429"/>
      <c r="G59" s="2429"/>
      <c r="H59" s="2428"/>
      <c r="I59" s="1513"/>
      <c r="J59" s="1513"/>
      <c r="K59" s="1513"/>
      <c r="L59" s="1516"/>
      <c r="M59" s="1485"/>
      <c r="N59" s="1485"/>
      <c r="O59" s="688"/>
      <c r="P59" s="550"/>
      <c r="Q59" s="1514"/>
      <c r="R59" s="1571"/>
      <c r="S59" s="1556"/>
      <c r="T59" s="1557"/>
      <c r="U59" s="1558"/>
      <c r="V59" s="1558"/>
      <c r="W59" s="1558"/>
      <c r="X59" s="1558"/>
      <c r="Y59" s="1558"/>
      <c r="Z59" s="1558"/>
      <c r="AA59" s="1558"/>
      <c r="AB59" s="1558"/>
      <c r="AC59" s="1558"/>
      <c r="AD59" s="1558"/>
      <c r="AE59" s="1558"/>
      <c r="AF59" s="1558"/>
      <c r="AG59" s="1558"/>
      <c r="AH59" s="1558"/>
      <c r="AI59" s="1558"/>
      <c r="AJ59" s="1558"/>
      <c r="AK59" s="1558"/>
      <c r="AL59" s="1558"/>
      <c r="AM59" s="1558"/>
      <c r="AN59" s="1558"/>
      <c r="AO59" s="1558"/>
      <c r="AP59" s="1558"/>
      <c r="AQ59" s="1558"/>
      <c r="AR59" s="1558"/>
      <c r="AS59" s="1558"/>
      <c r="AT59" s="1558"/>
      <c r="AU59" s="1558"/>
      <c r="AV59" s="1558"/>
      <c r="AW59" s="1558"/>
      <c r="AX59" s="1558"/>
      <c r="AY59" s="1558"/>
      <c r="AZ59" s="1558"/>
      <c r="BA59" s="1558"/>
      <c r="BB59" s="1558"/>
      <c r="BC59" s="1559"/>
      <c r="BE59" s="670"/>
      <c r="BF59" s="670" t="str">
        <f>IF(T59="","",T59)</f>
        <v/>
      </c>
      <c r="BG59" s="670"/>
      <c r="BH59" s="670"/>
      <c r="BI59" s="681">
        <v>0</v>
      </c>
    </row>
    <row s="11993" customFormat="1" customHeight="1" ht="0">
      <c r="A60" s="1513" t="s">
        <v>258</v>
      </c>
      <c r="B60" s="1513" t="s">
        <v>259</v>
      </c>
      <c r="C60" s="1513" t="s">
        <v>260</v>
      </c>
      <c r="D60" s="1484"/>
      <c r="E60" s="2429"/>
      <c r="F60" s="2429"/>
      <c r="G60" s="2428"/>
      <c r="H60" s="1484"/>
      <c r="I60" s="1484"/>
      <c r="J60" s="1484"/>
      <c r="K60" s="1484"/>
      <c r="L60" s="1634"/>
      <c r="M60" s="1485"/>
      <c r="N60" s="1485"/>
      <c r="P60" s="1486"/>
      <c r="Q60" s="1487"/>
      <c r="R60" s="1486"/>
      <c r="S60" s="1492"/>
      <c r="T60" s="1495"/>
      <c r="U60" s="1494"/>
      <c r="V60" s="1494"/>
      <c r="W60" s="1494"/>
      <c r="X60" s="1494"/>
      <c r="Y60" s="1494"/>
      <c r="Z60" s="1494"/>
      <c r="AA60" s="1494"/>
      <c r="AB60" s="1494"/>
      <c r="AC60" s="1494"/>
      <c r="AD60" s="1494"/>
      <c r="AE60" s="1494"/>
      <c r="AF60" s="1494"/>
      <c r="AG60" s="1494"/>
      <c r="AH60" s="1494"/>
      <c r="AI60" s="1494"/>
      <c r="AJ60" s="1494"/>
      <c r="AK60" s="1494"/>
      <c r="AL60" s="1494"/>
      <c r="AM60" s="1494"/>
      <c r="AN60" s="1494"/>
      <c r="AO60" s="1494"/>
      <c r="AP60" s="1494"/>
      <c r="AQ60" s="1494"/>
      <c r="AR60" s="1494"/>
      <c r="AS60" s="1494"/>
      <c r="AT60" s="1494"/>
      <c r="AU60" s="1494"/>
      <c r="AV60" s="1494"/>
      <c r="AW60" s="1494"/>
      <c r="AX60" s="1494"/>
      <c r="AY60" s="1494"/>
      <c r="AZ60" s="1494"/>
      <c r="BA60" s="1494"/>
      <c r="BB60" s="1494"/>
      <c r="BC60" s="1494"/>
      <c r="BE60" s="959"/>
      <c r="BF60" s="959" t="str">
        <f>IF(T60="","",T60)</f>
        <v/>
      </c>
      <c r="BG60" s="959"/>
      <c r="BH60" s="959"/>
      <c r="BI60" s="688">
        <v>0</v>
      </c>
    </row>
    <row s="11993" customFormat="1" customHeight="1" ht="0">
      <c r="A61" s="1513" t="s">
        <v>258</v>
      </c>
      <c r="B61" s="1513" t="s">
        <v>259</v>
      </c>
      <c r="C61" s="1484"/>
      <c r="D61" s="1484"/>
      <c r="E61" s="2429"/>
      <c r="F61" s="2428"/>
      <c r="G61" s="1484"/>
      <c r="H61" s="1484"/>
      <c r="I61" s="1484"/>
      <c r="J61" s="1484"/>
      <c r="K61" s="1484"/>
      <c r="L61" s="1634"/>
      <c r="M61" s="1491"/>
      <c r="N61" s="1491"/>
      <c r="P61" s="1486"/>
      <c r="Q61" s="1487"/>
      <c r="R61" s="1486"/>
      <c r="S61" s="1492"/>
      <c r="T61" s="1495" t="s">
        <v>166</v>
      </c>
      <c r="U61" s="1494"/>
      <c r="V61" s="1494"/>
      <c r="W61" s="1494"/>
      <c r="X61" s="1494"/>
      <c r="Y61" s="1494"/>
      <c r="Z61" s="1494"/>
      <c r="AA61" s="1494"/>
      <c r="AB61" s="1494"/>
      <c r="AC61" s="1494"/>
      <c r="AD61" s="1494"/>
      <c r="AE61" s="1494"/>
      <c r="AF61" s="1494"/>
      <c r="AG61" s="1494"/>
      <c r="AH61" s="1494"/>
      <c r="AI61" s="1494"/>
      <c r="AJ61" s="1494"/>
      <c r="AK61" s="1494"/>
      <c r="AL61" s="1494"/>
      <c r="AM61" s="1494"/>
      <c r="AN61" s="1494"/>
      <c r="AO61" s="1494"/>
      <c r="AP61" s="1494"/>
      <c r="AQ61" s="1494"/>
      <c r="AR61" s="1494"/>
      <c r="AS61" s="1494"/>
      <c r="AT61" s="1494"/>
      <c r="AU61" s="1494"/>
      <c r="AV61" s="1494"/>
      <c r="AW61" s="1494"/>
      <c r="AX61" s="1494"/>
      <c r="AY61" s="1494"/>
      <c r="AZ61" s="1494"/>
      <c r="BA61" s="1494"/>
      <c r="BB61" s="1494"/>
      <c r="BC61" s="1494"/>
      <c r="BE61" s="959"/>
      <c r="BF61" s="959" t="str">
        <f>IF(T61="","",T61)</f>
        <v>Добавить централизованную систему для дифференциации</v>
      </c>
      <c r="BG61" s="959"/>
      <c r="BH61" s="959"/>
      <c r="BI61" s="688">
        <v>0</v>
      </c>
    </row>
    <row s="11993" customFormat="1" customHeight="1" ht="0">
      <c r="A62" s="1513" t="s">
        <v>258</v>
      </c>
      <c r="B62" s="1513"/>
      <c r="C62" s="1513"/>
      <c r="D62" s="1513"/>
      <c r="E62" s="2428"/>
      <c r="F62" s="1513"/>
      <c r="G62" s="1513"/>
      <c r="H62" s="1513"/>
      <c r="I62" s="1513"/>
      <c r="J62" s="1513"/>
      <c r="K62" s="1513"/>
      <c r="L62" s="1516"/>
      <c r="M62" s="1491"/>
      <c r="N62" s="1491"/>
      <c r="O62" s="688"/>
      <c r="P62" s="550"/>
      <c r="Q62" s="1514"/>
      <c r="R62" s="550"/>
      <c r="S62" s="1492"/>
      <c r="T62" s="1495" t="s">
        <v>167</v>
      </c>
      <c r="U62" s="1494"/>
      <c r="V62" s="1494"/>
      <c r="W62" s="1494"/>
      <c r="X62" s="1494"/>
      <c r="Y62" s="1494"/>
      <c r="Z62" s="1494"/>
      <c r="AA62" s="1494"/>
      <c r="AB62" s="1494"/>
      <c r="AC62" s="1494"/>
      <c r="AD62" s="1494"/>
      <c r="AE62" s="1494"/>
      <c r="AF62" s="1494"/>
      <c r="AG62" s="1494"/>
      <c r="AH62" s="1494"/>
      <c r="AI62" s="1494"/>
      <c r="AJ62" s="1494"/>
      <c r="AK62" s="1494"/>
      <c r="AL62" s="1494"/>
      <c r="AM62" s="1494"/>
      <c r="AN62" s="1494"/>
      <c r="AO62" s="1494"/>
      <c r="AP62" s="1494"/>
      <c r="AQ62" s="1494"/>
      <c r="AR62" s="1494"/>
      <c r="AS62" s="1494"/>
      <c r="AT62" s="1494"/>
      <c r="AU62" s="1494"/>
      <c r="AV62" s="1494"/>
      <c r="AW62" s="1494"/>
      <c r="AX62" s="1494"/>
      <c r="AY62" s="1494"/>
      <c r="AZ62" s="1494"/>
      <c r="BA62" s="1494"/>
      <c r="BB62" s="1494"/>
      <c r="BC62" s="1494"/>
      <c r="BE62" s="670"/>
      <c r="BF62" s="670" t="str">
        <f>IF(T62="","",T62)</f>
        <v>Добавить территорию для дифференциации</v>
      </c>
      <c r="BG62" s="670"/>
      <c r="BH62" s="670"/>
      <c r="BI62" s="681">
        <v>0</v>
      </c>
    </row>
    <row s="11993" customFormat="1" customHeight="1" ht="0">
      <c r="A63" s="1484"/>
      <c r="B63" s="1484"/>
      <c r="C63" s="1484"/>
      <c r="D63" s="1484"/>
      <c r="E63" s="1513"/>
      <c r="F63" s="1484"/>
      <c r="G63" s="1484"/>
      <c r="H63" s="1484"/>
      <c r="I63" s="1484"/>
      <c r="J63" s="1484"/>
      <c r="K63" s="1484"/>
      <c r="L63" s="1634"/>
      <c r="M63" s="1491"/>
      <c r="N63" s="1491"/>
      <c r="P63" s="1486"/>
      <c r="Q63" s="1487"/>
      <c r="R63" s="1486"/>
      <c r="S63" s="1492"/>
      <c r="T63" s="1495" t="s">
        <v>168</v>
      </c>
      <c r="U63" s="1494"/>
      <c r="V63" s="1494"/>
      <c r="W63" s="1494"/>
      <c r="X63" s="1494"/>
      <c r="Y63" s="1494"/>
      <c r="Z63" s="1494"/>
      <c r="AA63" s="1494"/>
      <c r="AB63" s="1494"/>
      <c r="AC63" s="1494"/>
      <c r="AD63" s="1494"/>
      <c r="AE63" s="1494"/>
      <c r="AF63" s="1494"/>
      <c r="AG63" s="1494"/>
      <c r="AH63" s="1494"/>
      <c r="AI63" s="1494"/>
      <c r="AJ63" s="1494"/>
      <c r="AK63" s="1494"/>
      <c r="AL63" s="1494"/>
      <c r="AM63" s="1494"/>
      <c r="AN63" s="1494"/>
      <c r="AO63" s="1494"/>
      <c r="AP63" s="1494"/>
      <c r="AQ63" s="1494"/>
      <c r="AR63" s="1494"/>
      <c r="AS63" s="1494"/>
      <c r="AT63" s="1494"/>
      <c r="AU63" s="1494"/>
      <c r="AV63" s="1494"/>
      <c r="AW63" s="1494"/>
      <c r="AX63" s="1494"/>
      <c r="AY63" s="1494"/>
      <c r="AZ63" s="1494"/>
      <c r="BA63" s="1494"/>
      <c r="BB63" s="1494"/>
      <c r="BC63" s="1494"/>
      <c r="BE63" s="959"/>
      <c r="BF63" s="959" t="str">
        <f>IF(T63="","",T63)</f>
        <v>Добавить наименование тарифа</v>
      </c>
      <c r="BG63" s="959"/>
      <c r="BH63" s="959"/>
      <c r="BI63" s="688">
        <v>0</v>
      </c>
    </row>
    <row customHeight="1" ht="11.549999999999999">
      <c r="M64" s="1330"/>
      <c r="N64" s="1330"/>
      <c r="O64" s="707"/>
      <c r="P64" s="1330"/>
      <c r="Q64" s="1330"/>
      <c r="R64" s="1325"/>
      <c r="S64" s="1325"/>
      <c r="BD64" s="1325"/>
      <c r="BE64" s="1325"/>
      <c r="BF64" s="1325"/>
      <c r="BG64" s="1325"/>
      <c r="BH64" s="1325"/>
      <c r="BI64" s="1325">
        <v>11</v>
      </c>
    </row>
    <row customHeight="1" ht="19.95">
      <c r="O65" s="707"/>
      <c r="S65" s="1423"/>
      <c r="T65" s="2455"/>
      <c r="U65" s="2455"/>
      <c r="V65" s="2455"/>
      <c r="W65" s="2455"/>
      <c r="X65" s="2455"/>
      <c r="Y65" s="2455"/>
      <c r="Z65" s="2455"/>
      <c r="AA65" s="2455"/>
      <c r="AB65" s="2455"/>
      <c r="AC65" s="2455"/>
      <c r="AD65" s="2455"/>
      <c r="AE65" s="2455"/>
      <c r="AF65" s="2455"/>
      <c r="AG65" s="2455"/>
      <c r="AH65" s="2455"/>
      <c r="AI65" s="2455"/>
      <c r="AJ65" s="2455"/>
      <c r="AK65" s="2455"/>
      <c r="AL65" s="2455"/>
      <c r="AM65" s="2455"/>
      <c r="AN65" s="2455"/>
      <c r="AO65" s="2455"/>
      <c r="AP65" s="2455"/>
      <c r="AQ65" s="2455"/>
      <c r="AR65" s="2455"/>
      <c r="AS65" s="2455"/>
      <c r="AT65" s="2455"/>
      <c r="AU65" s="2455"/>
      <c r="AV65" s="2455"/>
      <c r="AW65" s="2455"/>
      <c r="AX65" s="2455"/>
      <c r="AY65" s="2455"/>
      <c r="AZ65" s="2455"/>
      <c r="BA65" s="2455"/>
      <c r="BB65" s="2455"/>
      <c r="BC65" s="2455"/>
      <c r="BI65" s="1325">
        <v>19</v>
      </c>
    </row>
    <row customHeight="1" ht="14.699999999999998">
      <c r="O66" s="707"/>
      <c r="T66" s="1619"/>
      <c r="U66" s="1619"/>
      <c r="V66" s="1619"/>
      <c r="W66" s="1619"/>
      <c r="X66" s="1619"/>
      <c r="Y66" s="1619"/>
      <c r="Z66" s="1619"/>
      <c r="AA66" s="1619"/>
      <c r="AB66" s="1619"/>
      <c r="AC66" s="1619"/>
      <c r="AD66" s="1619"/>
      <c r="AE66" s="1619"/>
      <c r="AF66" s="1619"/>
      <c r="AG66" s="1619"/>
      <c r="AH66" s="1619"/>
      <c r="AI66" s="1619"/>
      <c r="AJ66" s="1619"/>
      <c r="AK66" s="1619"/>
      <c r="AL66" s="1619"/>
      <c r="AM66" s="1619"/>
      <c r="AN66" s="1619"/>
      <c r="AO66" s="1619"/>
      <c r="AP66" s="1619"/>
      <c r="AQ66" s="1619"/>
      <c r="AR66" s="1619"/>
      <c r="AS66" s="1619"/>
      <c r="AT66" s="1619"/>
      <c r="AU66" s="1619"/>
      <c r="AV66" s="1619"/>
      <c r="AW66" s="1619"/>
      <c r="AX66" s="1619"/>
      <c r="AY66" s="1619"/>
      <c r="AZ66" s="1619"/>
      <c r="BA66" s="1619"/>
      <c r="BB66" s="1619"/>
      <c r="BC66" s="1619"/>
      <c r="BI66" s="1325">
        <v>14</v>
      </c>
    </row>
    <row customHeight="1" ht="19.95">
      <c r="O67" s="707"/>
      <c r="S67" s="1423"/>
      <c r="T67" s="2455"/>
      <c r="U67" s="2455"/>
      <c r="V67" s="2455"/>
      <c r="W67" s="2455"/>
      <c r="X67" s="2455"/>
      <c r="Y67" s="2455"/>
      <c r="Z67" s="2455"/>
      <c r="AA67" s="2455"/>
      <c r="AB67" s="2455"/>
      <c r="AC67" s="2455"/>
      <c r="AD67" s="2455"/>
      <c r="AE67" s="2455"/>
      <c r="AF67" s="2455"/>
      <c r="AG67" s="2455"/>
      <c r="AH67" s="2455"/>
      <c r="AI67" s="2455"/>
      <c r="AJ67" s="2455"/>
      <c r="AK67" s="2455"/>
      <c r="AL67" s="2455"/>
      <c r="AM67" s="2455"/>
      <c r="AN67" s="2455"/>
      <c r="AO67" s="2455"/>
      <c r="AP67" s="2455"/>
      <c r="AQ67" s="2455"/>
      <c r="AR67" s="2455"/>
      <c r="AS67" s="2455"/>
      <c r="AT67" s="2455"/>
      <c r="AU67" s="2455"/>
      <c r="AV67" s="2455"/>
      <c r="AW67" s="2455"/>
      <c r="AX67" s="2455"/>
      <c r="AY67" s="2455"/>
      <c r="AZ67" s="2455"/>
      <c r="BA67" s="2455"/>
      <c r="BB67" s="2455"/>
      <c r="BC67" s="2455"/>
      <c r="BI67" s="1325">
        <v>19</v>
      </c>
    </row>
    <row customHeight="1" ht="14.699999999999998">
      <c r="O68" s="707"/>
      <c r="BI68" s="1325">
        <v>14</v>
      </c>
    </row>
    <row customHeight="1" ht="14.25" hidden="1">
      <c r="A69" s="1330" t="s">
        <v>85</v>
      </c>
      <c r="B69" s="1330">
        <v>0</v>
      </c>
      <c r="C69" s="1330">
        <v>0</v>
      </c>
      <c r="D69" s="1330">
        <v>0</v>
      </c>
      <c r="E69" s="1330">
        <v>0</v>
      </c>
      <c r="F69" s="1330">
        <v>0</v>
      </c>
      <c r="G69" s="1330">
        <v>0</v>
      </c>
      <c r="H69" s="1330">
        <v>0</v>
      </c>
      <c r="I69" s="1330">
        <v>0</v>
      </c>
      <c r="J69" s="1330">
        <v>0</v>
      </c>
      <c r="K69" s="1330">
        <v>0</v>
      </c>
      <c r="L69" s="1631">
        <v>0</v>
      </c>
      <c r="M69" s="1532">
        <v>0</v>
      </c>
      <c r="N69" s="1532">
        <v>0</v>
      </c>
      <c r="O69" s="1532">
        <v>0</v>
      </c>
      <c r="P69" s="1532">
        <v>0</v>
      </c>
      <c r="Q69" s="1541">
        <v>0</v>
      </c>
      <c r="R69" s="514">
        <v>3</v>
      </c>
      <c r="S69" s="751">
        <v>12</v>
      </c>
      <c r="T69" s="1325">
        <v>31</v>
      </c>
      <c r="U69" s="1325">
        <v>0</v>
      </c>
      <c r="V69" s="1325">
        <v>0</v>
      </c>
      <c r="W69" s="1325">
        <v>0</v>
      </c>
      <c r="X69" s="1325">
        <v>0</v>
      </c>
      <c r="Y69" s="1325">
        <v>0</v>
      </c>
      <c r="Z69" s="1325">
        <v>0</v>
      </c>
      <c r="AA69" s="1325">
        <v>0</v>
      </c>
      <c r="AB69" s="1325">
        <v>0</v>
      </c>
      <c r="AC69" s="1325">
        <v>0</v>
      </c>
      <c r="AD69" s="1325">
        <v>3</v>
      </c>
      <c r="AE69" s="1325">
        <v>3</v>
      </c>
      <c r="AF69" s="1325">
        <v>3</v>
      </c>
      <c r="AG69" s="1325">
        <v>24</v>
      </c>
      <c r="AH69" s="1325">
        <v>3</v>
      </c>
      <c r="AI69" s="1325">
        <v>3</v>
      </c>
      <c r="AJ69" s="1325">
        <v>3</v>
      </c>
      <c r="AK69" s="1325">
        <v>24</v>
      </c>
      <c r="AL69" s="1325">
        <v>3</v>
      </c>
      <c r="AM69" s="1325">
        <v>3</v>
      </c>
      <c r="AN69" s="1325">
        <v>3</v>
      </c>
      <c r="AO69" s="1325">
        <v>18</v>
      </c>
      <c r="AP69" s="1325">
        <v>3</v>
      </c>
      <c r="AQ69" s="1325">
        <v>3</v>
      </c>
      <c r="AR69" s="1325">
        <v>3</v>
      </c>
      <c r="AS69" s="1325">
        <v>18</v>
      </c>
      <c r="AT69" s="1325">
        <v>21</v>
      </c>
      <c r="AU69" s="1325">
        <v>21</v>
      </c>
      <c r="AV69" s="1325">
        <v>21</v>
      </c>
      <c r="AW69" s="1325">
        <v>21</v>
      </c>
      <c r="AX69" s="1325">
        <v>11</v>
      </c>
      <c r="AY69" s="1325">
        <v>3</v>
      </c>
      <c r="AZ69" s="1325">
        <v>11</v>
      </c>
      <c r="BA69" s="1325">
        <v>0</v>
      </c>
      <c r="BB69" s="1325">
        <v>4</v>
      </c>
      <c r="BC69" s="1325">
        <v>115</v>
      </c>
      <c r="BD69" s="681">
        <v>10</v>
      </c>
      <c r="BE69" s="681">
        <v>10</v>
      </c>
      <c r="BF69" s="681">
        <v>10</v>
      </c>
      <c r="BG69" s="681">
        <v>10</v>
      </c>
      <c r="BH69" s="681">
        <v>10</v>
      </c>
      <c r="BI69" s="132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159917-E8FF-D726-4A2C-0A97F3D304D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992" width="10.57421875" hidden="1"/>
    <col min="2" max="2" style="11992" width="11.00390625" hidden="1" customWidth="1"/>
    <col min="3" max="3" style="11992" width="10.57421875" hidden="1"/>
    <col min="4" max="4" style="11992" width="11.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4.140625" hidden="1" customWidth="1"/>
    <col min="10" max="10" style="11992" width="9.8515625" hidden="1" customWidth="1"/>
    <col min="11" max="11" style="11992" width="14.7109375" hidden="1" customWidth="1"/>
    <col min="12" max="12" style="13388" width="19.140625" hidden="1" customWidth="1"/>
    <col min="13" max="14" style="13389" width="12.28125" hidden="1" customWidth="1"/>
    <col min="15" max="15" style="13389" width="23.421875" hidden="1" customWidth="1"/>
    <col min="16" max="16" style="13390" width="3.00390625" customWidth="1"/>
    <col min="17" max="18" style="13391" width="3.00390625" customWidth="1"/>
    <col min="19" max="19" style="13392" width="12.00390625" customWidth="1"/>
    <col min="20" max="20" style="11913" width="35.00390625" customWidth="1"/>
    <col min="21" max="21" style="11913" width="0.140625" customWidth="1"/>
    <col min="22" max="24" style="11913" width="24.7109375" hidden="1" customWidth="1"/>
    <col min="25" max="25" style="11913" width="11.7109375" hidden="1" customWidth="1"/>
    <col min="26" max="26" style="11913" width="3.7109375" hidden="1" customWidth="1"/>
    <col min="27" max="27" style="11913" width="11.7109375" hidden="1" customWidth="1"/>
    <col min="28" max="28" style="11913" width="8.57421875" hidden="1" customWidth="1"/>
    <col min="29" max="29" style="11913" width="24.7109375" customWidth="1"/>
    <col min="30" max="31" style="11913" width="24.00390625" customWidth="1"/>
    <col min="32" max="32" style="11913" width="11.00390625" customWidth="1"/>
    <col min="33" max="33" style="11913" width="3.7109375" customWidth="1"/>
    <col min="34" max="34" style="11913" width="11.00390625" customWidth="1"/>
    <col min="35" max="35" style="11913" width="8.57421875" hidden="1" customWidth="1"/>
    <col min="36" max="36" style="11913" width="4.00390625" customWidth="1"/>
    <col min="37" max="37" style="11913" width="115.00390625" customWidth="1"/>
    <col min="38" max="42" style="11993" width="10.00390625" customWidth="1"/>
    <col min="43" max="43" style="11913" width="10.57421875" hidden="1"/>
  </cols>
  <sheetData>
    <row customHeight="1" ht="22.5" hidden="1">
      <c r="X1" s="497"/>
      <c r="Y1" s="497"/>
      <c r="AE1" s="497"/>
      <c r="AF1" s="497"/>
      <c r="AQ1" s="1325" t="s">
        <v>14</v>
      </c>
    </row>
    <row customHeight="1" ht="23.25" hidden="1">
      <c r="A2" s="1533"/>
      <c r="B2" s="1533"/>
      <c r="C2" s="1533"/>
      <c r="D2" s="1533"/>
      <c r="E2" s="2428">
        <v>1</v>
      </c>
      <c r="F2" s="1533"/>
      <c r="G2" s="1533"/>
      <c r="H2" s="1533"/>
      <c r="I2" s="1533"/>
      <c r="J2" s="1533"/>
      <c r="K2" s="1533"/>
      <c r="L2" s="1534"/>
      <c r="M2" s="1535"/>
      <c r="N2" s="1535"/>
      <c r="O2" s="1535"/>
      <c r="P2" s="531"/>
      <c r="Q2" s="530"/>
      <c r="R2" s="525"/>
      <c r="S2" s="1663">
        <f>INDEX(PT_DIFFERENTIATION_NUM_NTAR,MATCH(A2,PT_DIFFERENTIATION_NTAR_ID,0))</f>
      </c>
      <c r="T2" s="468" t="s">
        <v>126</v>
      </c>
      <c r="U2" s="470"/>
      <c r="V2" s="2412"/>
      <c r="W2" s="2413"/>
      <c r="X2" s="2413"/>
      <c r="Y2" s="2413"/>
      <c r="Z2" s="2413"/>
      <c r="AA2" s="2413"/>
      <c r="AB2" s="2414"/>
      <c r="AC2" s="2412">
        <f>INDEX(PT_DIFFERENTIATION_NTAR,MATCH(A2,PT_DIFFERENTIATION_NTAR_ID,0))</f>
      </c>
      <c r="AD2" s="2413"/>
      <c r="AE2" s="2413"/>
      <c r="AF2" s="2413"/>
      <c r="AG2" s="2413"/>
      <c r="AH2" s="2413"/>
      <c r="AI2" s="2413"/>
      <c r="AJ2" s="2414"/>
      <c r="AK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70"/>
      <c r="AN2" s="670" t="str">
        <f>IF(T2="","",T2)</f>
        <v>Наименование тарифа</v>
      </c>
      <c r="AO2" s="670"/>
      <c r="AP2" s="670"/>
      <c r="AQ2" s="1325">
        <v>0</v>
      </c>
    </row>
    <row customHeight="1" ht="23.25" hidden="1">
      <c r="A3" s="1533"/>
      <c r="B3" s="1533"/>
      <c r="C3" s="1533"/>
      <c r="D3" s="1533"/>
      <c r="E3" s="2429"/>
      <c r="F3" s="2428">
        <v>1</v>
      </c>
      <c r="G3" s="1533"/>
      <c r="H3" s="1533"/>
      <c r="I3" s="1533"/>
      <c r="J3" s="1533"/>
      <c r="K3" s="1533"/>
      <c r="L3" s="1534"/>
      <c r="M3" s="1535"/>
      <c r="N3" s="1535"/>
      <c r="O3" s="1535"/>
      <c r="P3" s="1657"/>
      <c r="Q3" s="522"/>
      <c r="R3" s="523"/>
      <c r="S3" s="1663">
        <f>INDEX(PT_DIFFERENTIATION_NUM_TER,MATCH(B3,PT_DIFFERENTIATION_TER_ID,0))</f>
      </c>
      <c r="T3" s="478" t="s">
        <v>409</v>
      </c>
      <c r="U3" s="470"/>
      <c r="V3" s="2412"/>
      <c r="W3" s="2413"/>
      <c r="X3" s="2413"/>
      <c r="Y3" s="2413"/>
      <c r="Z3" s="2413"/>
      <c r="AA3" s="2413"/>
      <c r="AB3" s="2414"/>
      <c r="AC3" s="2412">
        <f>INDEX(PT_DIFFERENTIATION_TER,MATCH(B3,PT_DIFFERENTIATION_TER_ID,0))</f>
      </c>
      <c r="AD3" s="2413"/>
      <c r="AE3" s="2413"/>
      <c r="AF3" s="2413"/>
      <c r="AG3" s="2413"/>
      <c r="AH3" s="2413"/>
      <c r="AI3" s="2413"/>
      <c r="AJ3" s="2414"/>
      <c r="AK3" s="1428" t="s">
        <v>410</v>
      </c>
      <c r="AM3" s="670"/>
      <c r="AN3" s="670" t="str">
        <f>IF(T3="","",T3)</f>
        <v>Территория действия тарифа</v>
      </c>
      <c r="AO3" s="670"/>
      <c r="AP3" s="670"/>
      <c r="AQ3" s="1325">
        <v>0</v>
      </c>
    </row>
    <row customHeight="1" ht="23.25" hidden="1">
      <c r="A4" s="1533"/>
      <c r="B4" s="1533"/>
      <c r="C4" s="1533"/>
      <c r="D4" s="1533"/>
      <c r="E4" s="2429"/>
      <c r="F4" s="2429"/>
      <c r="G4" s="2428">
        <v>1</v>
      </c>
      <c r="H4" s="1533"/>
      <c r="I4" s="1533"/>
      <c r="J4" s="1533"/>
      <c r="K4" s="1533"/>
      <c r="L4" s="1534"/>
      <c r="M4" s="1535"/>
      <c r="N4" s="1535"/>
      <c r="O4" s="1535"/>
      <c r="P4" s="524"/>
      <c r="Q4" s="522"/>
      <c r="R4" s="523"/>
      <c r="S4" s="1663">
        <f>INDEX(PT_DIFFERENTIATION_NUM_CS,MATCH(C4,PT_DIFFERENTIATION_CS_ID,0))</f>
      </c>
      <c r="T4" s="479" t="s">
        <v>531</v>
      </c>
      <c r="U4" s="470"/>
      <c r="V4" s="2412"/>
      <c r="W4" s="2413"/>
      <c r="X4" s="2413"/>
      <c r="Y4" s="2413"/>
      <c r="Z4" s="2413"/>
      <c r="AA4" s="2413"/>
      <c r="AB4" s="2414"/>
      <c r="AC4" s="2412">
        <f>INDEX(PT_DIFFERENTIATION_CS,MATCH(C4,PT_DIFFERENTIATION_CS_ID,0))</f>
      </c>
      <c r="AD4" s="2413"/>
      <c r="AE4" s="2413"/>
      <c r="AF4" s="2413"/>
      <c r="AG4" s="2413"/>
      <c r="AH4" s="2413"/>
      <c r="AI4" s="2413"/>
      <c r="AJ4" s="2414"/>
      <c r="AK4" s="1428" t="s">
        <v>532</v>
      </c>
      <c r="AM4" s="670"/>
      <c r="AN4" s="670" t="str">
        <f>IF(T4="","",T4)</f>
        <v>Наименование централизованной системы водоотведения</v>
      </c>
      <c r="AO4" s="670"/>
      <c r="AP4" s="670"/>
      <c r="AQ4" s="1325">
        <v>0</v>
      </c>
    </row>
    <row customHeight="1" ht="23.25" hidden="1">
      <c r="A5" s="1533"/>
      <c r="B5" s="1533"/>
      <c r="C5" s="1533"/>
      <c r="D5" s="1533"/>
      <c r="E5" s="2429"/>
      <c r="F5" s="2429"/>
      <c r="G5" s="2429"/>
      <c r="H5" s="2429"/>
      <c r="I5" s="2426">
        <f>S4&amp;".1"</f>
      </c>
      <c r="J5" s="1533"/>
      <c r="K5" s="1533"/>
      <c r="L5" s="1534"/>
      <c r="P5" s="2427">
        <v>1</v>
      </c>
      <c r="Q5" s="1651"/>
      <c r="R5" s="526"/>
      <c r="S5" s="1663">
        <f>$I5</f>
      </c>
      <c r="T5" s="455" t="s">
        <v>498</v>
      </c>
      <c r="U5" s="470"/>
      <c r="V5" s="2520"/>
      <c r="W5" s="2521"/>
      <c r="X5" s="2521"/>
      <c r="Y5" s="2521"/>
      <c r="Z5" s="2521"/>
      <c r="AA5" s="2521"/>
      <c r="AB5" s="2522"/>
      <c r="AC5" s="2523"/>
      <c r="AD5" s="2524"/>
      <c r="AE5" s="2524"/>
      <c r="AF5" s="2524"/>
      <c r="AG5" s="2524"/>
      <c r="AH5" s="2524"/>
      <c r="AI5" s="2524"/>
      <c r="AJ5" s="2525"/>
      <c r="AK5" s="1428" t="s">
        <v>499</v>
      </c>
      <c r="AM5" s="670"/>
      <c r="AN5" s="670" t="str">
        <f>IF(T5="","",T5)</f>
        <v>Наименование признака дифференциации</v>
      </c>
      <c r="AO5" s="670"/>
      <c r="AP5" s="670"/>
      <c r="AQ5" s="1325">
        <v>0</v>
      </c>
    </row>
    <row customHeight="1" ht="23.25" hidden="1">
      <c r="A6" s="1533"/>
      <c r="B6" s="1533"/>
      <c r="C6" s="1533"/>
      <c r="D6" s="1533"/>
      <c r="E6" s="2429"/>
      <c r="F6" s="2429"/>
      <c r="G6" s="2429"/>
      <c r="H6" s="2429"/>
      <c r="I6" s="2456"/>
      <c r="J6" s="2426">
        <f>I5&amp;".1"</f>
      </c>
      <c r="K6" s="1533"/>
      <c r="L6" s="1534" t="s">
        <v>418</v>
      </c>
      <c r="P6" s="2427"/>
      <c r="Q6" s="2427">
        <v>1</v>
      </c>
      <c r="R6" s="527"/>
      <c r="S6" s="1663">
        <f>$J6</f>
      </c>
      <c r="T6" s="456" t="s">
        <v>419</v>
      </c>
      <c r="U6" s="470"/>
      <c r="V6" s="2415"/>
      <c r="W6" s="2416"/>
      <c r="X6" s="2416"/>
      <c r="Y6" s="2416"/>
      <c r="Z6" s="2416"/>
      <c r="AA6" s="2416"/>
      <c r="AB6" s="2417"/>
      <c r="AC6" s="2415"/>
      <c r="AD6" s="2416"/>
      <c r="AE6" s="2416"/>
      <c r="AF6" s="2416"/>
      <c r="AG6" s="2416"/>
      <c r="AH6" s="2416"/>
      <c r="AI6" s="2416"/>
      <c r="AJ6" s="2417"/>
      <c r="AK6" s="1477" t="s">
        <v>500</v>
      </c>
      <c r="AM6" s="670"/>
      <c r="AN6" s="670" t="str">
        <f>IF(T6="","",T6)</f>
        <v>Группа потребителей</v>
      </c>
      <c r="AO6" s="670"/>
      <c r="AP6" s="670"/>
      <c r="AQ6" s="1325">
        <v>0</v>
      </c>
    </row>
    <row customHeight="1" ht="23.25" hidden="1">
      <c r="A7" s="1533"/>
      <c r="B7" s="1533"/>
      <c r="C7" s="1533"/>
      <c r="D7" s="1533"/>
      <c r="E7" s="2429"/>
      <c r="F7" s="2429"/>
      <c r="G7" s="2429"/>
      <c r="H7" s="2429"/>
      <c r="I7" s="2456"/>
      <c r="J7" s="2456"/>
      <c r="K7" s="2426">
        <f>J6&amp;".1"</f>
      </c>
      <c r="L7" s="1534"/>
      <c r="P7" s="2427"/>
      <c r="Q7" s="2427"/>
      <c r="R7" s="527">
        <v>1</v>
      </c>
      <c r="S7" s="1663">
        <f>$K7</f>
      </c>
      <c r="T7" s="1607"/>
      <c r="U7" s="470"/>
      <c r="V7" s="921"/>
      <c r="W7" s="921"/>
      <c r="X7" s="1427"/>
      <c r="Y7" s="2435"/>
      <c r="Z7" s="2277" t="s">
        <v>64</v>
      </c>
      <c r="AA7" s="2435"/>
      <c r="AB7" s="2277" t="s">
        <v>64</v>
      </c>
      <c r="AC7" s="921"/>
      <c r="AD7" s="921"/>
      <c r="AE7" s="1427"/>
      <c r="AF7" s="2435"/>
      <c r="AG7" s="2277" t="s">
        <v>64</v>
      </c>
      <c r="AH7" s="2457"/>
      <c r="AI7" s="2277" t="s">
        <v>64</v>
      </c>
      <c r="AJ7" s="1608"/>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1">
        <f>STRCHECKDATE(V8:AJ8)</f>
      </c>
      <c r="AM7" s="670"/>
      <c r="AN7" s="670" t="str">
        <f>IF(T7="","",T7)</f>
        <v/>
      </c>
      <c r="AO7" s="670"/>
      <c r="AP7" s="670"/>
      <c r="AQ7" s="1325">
        <v>0</v>
      </c>
    </row>
    <row customHeight="1" ht="14.25" hidden="1">
      <c r="A8" s="1533"/>
      <c r="B8" s="1533"/>
      <c r="C8" s="1533"/>
      <c r="D8" s="1533"/>
      <c r="E8" s="2429"/>
      <c r="F8" s="2429"/>
      <c r="G8" s="2429"/>
      <c r="H8" s="2429"/>
      <c r="I8" s="2456"/>
      <c r="J8" s="2456"/>
      <c r="K8" s="2426"/>
      <c r="L8" s="1534"/>
      <c r="P8" s="2427"/>
      <c r="Q8" s="2427"/>
      <c r="R8" s="527"/>
      <c r="S8" s="1660"/>
      <c r="T8" s="470"/>
      <c r="U8" s="470"/>
      <c r="V8" s="495"/>
      <c r="W8" s="495"/>
      <c r="X8" s="498" t="str">
        <f>Y7&amp;"-"&amp;AA7</f>
        <v>-</v>
      </c>
      <c r="Y8" s="2436"/>
      <c r="Z8" s="2277"/>
      <c r="AA8" s="2436"/>
      <c r="AB8" s="2277"/>
      <c r="AC8" s="495"/>
      <c r="AD8" s="495"/>
      <c r="AE8" s="498" t="str">
        <f>AF7&amp;"-"&amp;AH7</f>
        <v>-</v>
      </c>
      <c r="AF8" s="2436"/>
      <c r="AG8" s="2277"/>
      <c r="AH8" s="2458"/>
      <c r="AI8" s="2277"/>
      <c r="AJ8" s="1609"/>
      <c r="AK8" s="2519"/>
      <c r="AM8" s="670"/>
      <c r="AN8" s="670" t="str">
        <f>IF(T8="","",T8)</f>
        <v/>
      </c>
      <c r="AO8" s="670"/>
      <c r="AP8" s="670"/>
      <c r="AQ8" s="1325">
        <v>0</v>
      </c>
    </row>
    <row customHeight="1" ht="21" hidden="1">
      <c r="A9" s="1533"/>
      <c r="B9" s="1533"/>
      <c r="C9" s="1533"/>
      <c r="D9" s="1533"/>
      <c r="E9" s="2429"/>
      <c r="F9" s="2429"/>
      <c r="G9" s="2429"/>
      <c r="H9" s="2429"/>
      <c r="I9" s="2456"/>
      <c r="J9" s="2426"/>
      <c r="K9" s="1533"/>
      <c r="L9" s="1534"/>
      <c r="P9" s="2427"/>
      <c r="Q9" s="2427"/>
      <c r="R9" s="526"/>
      <c r="S9" s="1448"/>
      <c r="T9" s="457" t="s">
        <v>501</v>
      </c>
      <c r="U9" s="537"/>
      <c r="V9" s="537"/>
      <c r="W9" s="537"/>
      <c r="X9" s="537"/>
      <c r="Y9" s="537"/>
      <c r="Z9" s="537"/>
      <c r="AA9" s="537"/>
      <c r="AB9" s="537"/>
      <c r="AC9" s="537"/>
      <c r="AD9" s="537"/>
      <c r="AE9" s="537"/>
      <c r="AF9" s="537"/>
      <c r="AG9" s="537"/>
      <c r="AH9" s="537"/>
      <c r="AI9" s="537"/>
      <c r="AJ9" s="537"/>
      <c r="AK9" s="1428" t="s">
        <v>502</v>
      </c>
      <c r="AM9" s="670"/>
      <c r="AN9" s="670" t="str">
        <f>IF(T9="","",T9)</f>
        <v>Добавить значение признака дифференциации</v>
      </c>
      <c r="AO9" s="670"/>
      <c r="AP9" s="670"/>
      <c r="AQ9" s="1325">
        <v>0</v>
      </c>
    </row>
    <row customHeight="1" ht="21" hidden="1">
      <c r="A10" s="1533"/>
      <c r="B10" s="1533"/>
      <c r="C10" s="1533"/>
      <c r="D10" s="1533"/>
      <c r="E10" s="2429"/>
      <c r="F10" s="2429"/>
      <c r="G10" s="2429"/>
      <c r="H10" s="2429"/>
      <c r="I10" s="2426"/>
      <c r="J10" s="1533"/>
      <c r="K10" s="1533"/>
      <c r="L10" s="1534"/>
      <c r="P10" s="2427"/>
      <c r="Q10" s="1651"/>
      <c r="R10" s="526"/>
      <c r="S10" s="1448"/>
      <c r="T10" s="535" t="s">
        <v>424</v>
      </c>
      <c r="U10" s="537"/>
      <c r="V10" s="537"/>
      <c r="W10" s="537"/>
      <c r="X10" s="537"/>
      <c r="Y10" s="537"/>
      <c r="Z10" s="537"/>
      <c r="AA10" s="537"/>
      <c r="AB10" s="536"/>
      <c r="AC10" s="537"/>
      <c r="AD10" s="537"/>
      <c r="AE10" s="537"/>
      <c r="AF10" s="537"/>
      <c r="AG10" s="537"/>
      <c r="AH10" s="537"/>
      <c r="AI10" s="536"/>
      <c r="AJ10" s="537"/>
      <c r="AK10" s="1610"/>
      <c r="AM10" s="670"/>
      <c r="AN10" s="670" t="str">
        <f>IF(T10="","",T10)</f>
        <v>Добавить группу потребителей</v>
      </c>
      <c r="AO10" s="670"/>
      <c r="AP10" s="670"/>
      <c r="AQ10" s="1325">
        <v>0</v>
      </c>
    </row>
    <row customHeight="1" ht="21" hidden="1">
      <c r="A11" s="1533"/>
      <c r="B11" s="1533"/>
      <c r="C11" s="1533"/>
      <c r="D11" s="1533"/>
      <c r="E11" s="2429"/>
      <c r="F11" s="2429"/>
      <c r="G11" s="2429"/>
      <c r="H11" s="2428"/>
      <c r="I11" s="1533"/>
      <c r="J11" s="1533"/>
      <c r="K11" s="1533"/>
      <c r="L11" s="1534"/>
      <c r="M11" s="1535"/>
      <c r="N11" s="1535"/>
      <c r="O11" s="707"/>
      <c r="P11" s="530"/>
      <c r="Q11" s="545"/>
      <c r="R11" s="525"/>
      <c r="S11" s="1448"/>
      <c r="T11" s="542" t="s">
        <v>503</v>
      </c>
      <c r="U11" s="537"/>
      <c r="V11" s="537"/>
      <c r="W11" s="537"/>
      <c r="X11" s="537"/>
      <c r="Y11" s="537"/>
      <c r="Z11" s="537"/>
      <c r="AA11" s="537"/>
      <c r="AB11" s="536"/>
      <c r="AC11" s="537"/>
      <c r="AD11" s="537"/>
      <c r="AE11" s="537"/>
      <c r="AF11" s="537"/>
      <c r="AG11" s="537"/>
      <c r="AH11" s="537"/>
      <c r="AI11" s="536"/>
      <c r="AJ11" s="537"/>
      <c r="AK11" s="473"/>
      <c r="AM11" s="670"/>
      <c r="AN11" s="670" t="str">
        <f>IF(T11="","",T11)</f>
        <v>Добавить наименование признака дифференциации</v>
      </c>
      <c r="AO11" s="670"/>
      <c r="AP11" s="670"/>
      <c r="AQ11" s="1325">
        <v>0</v>
      </c>
    </row>
    <row s="11993" customFormat="1" customHeight="1" ht="14.25" hidden="1">
      <c r="A12" s="1513"/>
      <c r="B12" s="1513"/>
      <c r="C12" s="1484"/>
      <c r="D12" s="1484"/>
      <c r="E12" s="2429"/>
      <c r="F12" s="2428"/>
      <c r="G12" s="1484"/>
      <c r="H12" s="1484"/>
      <c r="I12" s="1484"/>
      <c r="J12" s="1484"/>
      <c r="K12" s="1484"/>
      <c r="L12" s="1664"/>
      <c r="M12" s="1491"/>
      <c r="N12" s="1491"/>
      <c r="P12" s="1486"/>
      <c r="Q12" s="1487"/>
      <c r="R12" s="1486"/>
      <c r="S12" s="1492"/>
      <c r="T12" s="1495" t="s">
        <v>166</v>
      </c>
      <c r="U12" s="1494"/>
      <c r="V12" s="1494"/>
      <c r="W12" s="1494"/>
      <c r="X12" s="1494"/>
      <c r="Y12" s="1494"/>
      <c r="Z12" s="1494"/>
      <c r="AA12" s="1494"/>
      <c r="AB12" s="1494"/>
      <c r="AC12" s="1494"/>
      <c r="AD12" s="1494"/>
      <c r="AE12" s="1494"/>
      <c r="AF12" s="1494"/>
      <c r="AG12" s="1494"/>
      <c r="AH12" s="1494"/>
      <c r="AI12" s="1494"/>
      <c r="AJ12" s="1494"/>
      <c r="AK12" s="1494"/>
      <c r="AM12" s="959"/>
      <c r="AN12" s="959" t="str">
        <f>IF(T12="","",T12)</f>
        <v>Добавить централизованную систему для дифференциации</v>
      </c>
      <c r="AO12" s="959"/>
      <c r="AP12" s="959"/>
      <c r="AQ12" s="688">
        <v>0</v>
      </c>
    </row>
    <row s="11993" customFormat="1" customHeight="1" ht="14.25" hidden="1">
      <c r="A13" s="1513"/>
      <c r="B13" s="1513"/>
      <c r="C13" s="1513"/>
      <c r="D13" s="1513"/>
      <c r="E13" s="2428"/>
      <c r="F13" s="1513"/>
      <c r="G13" s="1513"/>
      <c r="H13" s="1513"/>
      <c r="I13" s="1513"/>
      <c r="J13" s="1513"/>
      <c r="K13" s="1513"/>
      <c r="L13" s="1516"/>
      <c r="M13" s="1491"/>
      <c r="N13" s="1491"/>
      <c r="O13" s="688"/>
      <c r="P13" s="550"/>
      <c r="Q13" s="1514"/>
      <c r="R13" s="550"/>
      <c r="S13" s="1492"/>
      <c r="T13" s="1495" t="s">
        <v>167</v>
      </c>
      <c r="U13" s="1494"/>
      <c r="V13" s="1494"/>
      <c r="W13" s="1494"/>
      <c r="X13" s="1494"/>
      <c r="Y13" s="1494"/>
      <c r="Z13" s="1494"/>
      <c r="AA13" s="1494"/>
      <c r="AB13" s="1494"/>
      <c r="AC13" s="1494"/>
      <c r="AD13" s="1494"/>
      <c r="AE13" s="1494"/>
      <c r="AF13" s="1494"/>
      <c r="AG13" s="1494"/>
      <c r="AH13" s="1494"/>
      <c r="AI13" s="1494"/>
      <c r="AJ13" s="1494"/>
      <c r="AK13" s="1494"/>
      <c r="AM13" s="670"/>
      <c r="AN13" s="670" t="str">
        <f>IF(T13="","",T13)</f>
        <v>Добавить территорию для дифференциации</v>
      </c>
      <c r="AO13" s="670"/>
      <c r="AP13" s="670"/>
      <c r="AQ13" s="681">
        <v>0</v>
      </c>
    </row>
    <row customHeight="1" ht="14.25" hidden="1">
      <c r="AB14" s="497"/>
      <c r="AI14" s="497"/>
      <c r="AQ14" s="1325">
        <v>0</v>
      </c>
    </row>
    <row customHeight="1" ht="14.25" hidden="1">
      <c r="AC15" s="1530"/>
      <c r="AD15" s="1530"/>
      <c r="AE15" s="1531"/>
      <c r="AF15" s="2437"/>
      <c r="AG15" s="2438" t="s">
        <v>64</v>
      </c>
      <c r="AH15" s="2437"/>
      <c r="AI15" s="2438" t="s">
        <v>64</v>
      </c>
      <c r="AQ15" s="1325">
        <v>0</v>
      </c>
    </row>
    <row customHeight="1" ht="14.25" hidden="1">
      <c r="AC16" s="1530"/>
      <c r="AD16" s="1530"/>
      <c r="AE16" s="498" t="str">
        <f>AF15&amp;"-"&amp;AH15</f>
        <v>-</v>
      </c>
      <c r="AF16" s="2438"/>
      <c r="AG16" s="2438"/>
      <c r="AH16" s="2438"/>
      <c r="AI16" s="2438"/>
      <c r="AQ16" s="1325">
        <v>0</v>
      </c>
    </row>
    <row customHeight="1" ht="14.25" hidden="1">
      <c r="AI17" s="497"/>
      <c r="AQ17" s="1325">
        <v>0</v>
      </c>
    </row>
    <row s="11992" customFormat="1" customHeight="1" ht="22.5" hidden="1">
      <c r="L18" s="1648"/>
      <c r="M18" s="1532"/>
      <c r="N18" s="1532"/>
      <c r="O18" s="1537" t="s">
        <v>426</v>
      </c>
      <c r="P18" s="1532"/>
      <c r="Q18" s="1541"/>
      <c r="R18" s="1541"/>
      <c r="S18" s="899"/>
      <c r="Y18" s="1537"/>
      <c r="AA18" s="1537"/>
      <c r="AB18" s="1536"/>
      <c r="AF18" s="1537"/>
      <c r="AH18" s="1537"/>
      <c r="AI18" s="1536"/>
      <c r="AL18" s="681"/>
      <c r="AM18" s="681"/>
      <c r="AN18" s="681"/>
      <c r="AO18" s="681"/>
      <c r="AP18" s="681"/>
      <c r="AQ18" s="1330">
        <v>0</v>
      </c>
    </row>
    <row s="11992" customFormat="1" customHeight="1" ht="14.25" hidden="1">
      <c r="L19" s="1648"/>
      <c r="M19" s="1532"/>
      <c r="N19" s="1532"/>
      <c r="O19" s="1532"/>
      <c r="P19" s="1532"/>
      <c r="Q19" s="1541"/>
      <c r="R19" s="1541"/>
      <c r="S19" s="899"/>
      <c r="AB19" s="1536"/>
      <c r="AI19" s="1536"/>
      <c r="AL19" s="681"/>
      <c r="AM19" s="681"/>
      <c r="AN19" s="681"/>
      <c r="AO19" s="681"/>
      <c r="AP19" s="681"/>
      <c r="AQ19" s="1330">
        <v>0</v>
      </c>
    </row>
    <row s="11992" customFormat="1" customHeight="1" ht="12" hidden="1">
      <c r="L20" s="1648"/>
      <c r="M20" s="1532"/>
      <c r="N20" s="1532"/>
      <c r="O20" s="1534" t="s">
        <v>427</v>
      </c>
      <c r="P20" s="1532"/>
      <c r="Q20" s="1612"/>
      <c r="R20" s="1612"/>
      <c r="S20" s="899"/>
      <c r="T20" s="1330" t="s">
        <v>428</v>
      </c>
      <c r="Z20" s="356" t="s">
        <v>429</v>
      </c>
      <c r="AB20" s="356" t="s">
        <v>430</v>
      </c>
      <c r="AC20" s="1330" t="s">
        <v>428</v>
      </c>
      <c r="AG20" s="356" t="s">
        <v>431</v>
      </c>
      <c r="AI20" s="356" t="s">
        <v>430</v>
      </c>
      <c r="AQ20" s="1330">
        <v>0</v>
      </c>
    </row>
    <row customHeight="1" ht="14.25" hidden="1">
      <c r="O21" s="1534"/>
      <c r="AQ21" s="1325">
        <v>0</v>
      </c>
    </row>
    <row customHeight="1" ht="14.25" hidden="1">
      <c r="O22" s="1534"/>
      <c r="AQ22" s="1325">
        <v>0</v>
      </c>
    </row>
    <row customHeight="1" ht="14.699999999999998">
      <c r="Q23" s="546"/>
      <c r="R23" s="546"/>
      <c r="S23" s="1445"/>
      <c r="T23" s="533"/>
      <c r="U23" s="533"/>
      <c r="V23" s="679"/>
      <c r="W23" s="679"/>
      <c r="X23" s="679"/>
      <c r="Y23" s="679"/>
      <c r="Z23" s="679"/>
      <c r="AA23" s="679"/>
      <c r="AB23" s="679"/>
      <c r="AC23" s="679"/>
      <c r="AD23" s="679"/>
      <c r="AE23" s="679"/>
      <c r="AF23" s="679"/>
      <c r="AG23" s="679"/>
      <c r="AH23" s="679"/>
      <c r="AI23" s="679"/>
      <c r="AQ23" s="1325">
        <v>14</v>
      </c>
    </row>
    <row customHeight="1" ht="14.699999999999998">
      <c r="Q24" s="546"/>
      <c r="R24" s="546"/>
      <c r="S24" s="241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418"/>
      <c r="U24" s="2418"/>
      <c r="V24" s="2418"/>
      <c r="W24" s="2418"/>
      <c r="X24" s="2418"/>
      <c r="Y24" s="2418"/>
      <c r="Z24" s="2418"/>
      <c r="AA24" s="2418"/>
      <c r="AB24" s="2418"/>
      <c r="AC24" s="2418"/>
      <c r="AD24" s="2418"/>
      <c r="AE24" s="2418"/>
      <c r="AF24" s="2418"/>
      <c r="AG24" s="2418"/>
      <c r="AH24" s="2418"/>
      <c r="AI24" s="1413"/>
      <c r="AQ24" s="1325">
        <v>14</v>
      </c>
    </row>
    <row customHeight="1" ht="14.699999999999998">
      <c r="Q25" s="546"/>
      <c r="R25" s="546"/>
      <c r="S25" s="2419" t="str">
        <f>IF(org=0,"Не определено",org)</f>
        <v>Филиал "Шатурская ГРЭС" ПАО "Юнипро"</v>
      </c>
      <c r="T25" s="2419"/>
      <c r="U25" s="2419"/>
      <c r="V25" s="2419"/>
      <c r="W25" s="2419"/>
      <c r="X25" s="2419"/>
      <c r="Y25" s="2419"/>
      <c r="Z25" s="2419"/>
      <c r="AA25" s="2419"/>
      <c r="AB25" s="2419"/>
      <c r="AC25" s="2419"/>
      <c r="AD25" s="2419"/>
      <c r="AE25" s="2419"/>
      <c r="AF25" s="2419"/>
      <c r="AG25" s="2419"/>
      <c r="AH25" s="2419"/>
      <c r="AI25" s="1413"/>
      <c r="AQ25" s="1325">
        <v>14</v>
      </c>
    </row>
    <row customHeight="1" ht="14.25">
      <c r="Q26" s="546"/>
      <c r="R26" s="546"/>
      <c r="S26" s="1445"/>
      <c r="T26" s="533"/>
      <c r="U26" s="533"/>
      <c r="V26" s="492"/>
      <c r="W26" s="492"/>
      <c r="X26" s="492"/>
      <c r="Y26" s="492"/>
      <c r="Z26" s="492"/>
      <c r="AA26" s="492"/>
      <c r="AB26" s="492"/>
      <c r="AC26" s="492"/>
      <c r="AD26" s="492"/>
      <c r="AE26" s="492"/>
      <c r="AF26" s="492"/>
      <c r="AG26" s="492"/>
      <c r="AH26" s="492"/>
      <c r="AI26" s="492"/>
      <c r="AJ26" s="679"/>
      <c r="AQ26" s="1325">
        <v>0</v>
      </c>
    </row>
    <row s="12119" customFormat="1" customHeight="1" ht="25.5">
      <c r="A27" s="1538"/>
      <c r="B27" s="1538"/>
      <c r="C27" s="1538"/>
      <c r="D27" s="1538"/>
      <c r="E27" s="1538"/>
      <c r="F27" s="1538"/>
      <c r="G27" s="1538"/>
      <c r="H27" s="1538"/>
      <c r="I27" s="1538"/>
      <c r="J27" s="1538"/>
      <c r="K27" s="1538"/>
      <c r="L27" s="1539"/>
      <c r="M27" s="1538"/>
      <c r="N27" s="1538"/>
      <c r="O27" s="1538"/>
      <c r="S27" s="2420" t="s">
        <v>42</v>
      </c>
      <c r="T27" s="2420"/>
      <c r="U27" s="1542"/>
      <c r="V27" s="2421" t="str">
        <f>IF(TITLE_NAME_OR_PR_CHANGE="",IF(TITLE_NAME_OR_PR="","",TITLE_NAME_OR_PR),TITLE_NAME_OR_PR_CHANGE)</f>
        <v>Комитет по ценам и тарифам Московской области</v>
      </c>
      <c r="W27" s="2421"/>
      <c r="X27" s="2421"/>
      <c r="Y27" s="2421"/>
      <c r="Z27" s="2421"/>
      <c r="AA27" s="2421"/>
      <c r="AB27" s="496"/>
      <c r="AC27" s="2421" t="str">
        <f>IF(TITLE_NAME_OR_PR_CHANGE="",IF(TITLE_NAME_OR_PR="","",TITLE_NAME_OR_PR),TITLE_NAME_OR_PR_CHANGE)</f>
        <v>Комитет по ценам и тарифам Московской области</v>
      </c>
      <c r="AD27" s="2421"/>
      <c r="AE27" s="2421"/>
      <c r="AF27" s="2421"/>
      <c r="AG27" s="2421"/>
      <c r="AH27" s="2421"/>
      <c r="AI27" s="496"/>
      <c r="AJ27" s="496"/>
      <c r="AK27" s="450"/>
      <c r="AL27" s="538"/>
      <c r="AM27" s="538"/>
      <c r="AN27" s="538"/>
      <c r="AO27" s="538"/>
      <c r="AP27" s="538"/>
      <c r="AQ27" s="588">
        <v>0</v>
      </c>
    </row>
    <row s="12119" customFormat="1" customHeight="1" ht="18.75">
      <c r="A28" s="1538"/>
      <c r="B28" s="1538"/>
      <c r="C28" s="1538"/>
      <c r="D28" s="1538"/>
      <c r="E28" s="1538"/>
      <c r="F28" s="1538"/>
      <c r="G28" s="1538"/>
      <c r="H28" s="1538"/>
      <c r="I28" s="1538"/>
      <c r="J28" s="1538"/>
      <c r="K28" s="1538"/>
      <c r="L28" s="1539"/>
      <c r="M28" s="1538"/>
      <c r="N28" s="1538"/>
      <c r="O28" s="1538"/>
      <c r="S28" s="2420" t="s">
        <v>432</v>
      </c>
      <c r="T28" s="2420"/>
      <c r="U28" s="1542"/>
      <c r="V28" s="2434" t="str">
        <f>IF(TITLE_DATE_PR_CHANGE="",IF(TITLE_DATE_PR="","",TITLE_DATE_PR),TITLE_DATE_PR_CHANGE)</f>
        <v>45646.459814814814</v>
      </c>
      <c r="W28" s="2434"/>
      <c r="X28" s="2434"/>
      <c r="Y28" s="2434"/>
      <c r="Z28" s="2434"/>
      <c r="AA28" s="2434"/>
      <c r="AB28" s="496"/>
      <c r="AC28" s="2434" t="str">
        <f>IF(TITLE_DATE_PR_CHANGE="",IF(TITLE_DATE_PR="","",TITLE_DATE_PR),TITLE_DATE_PR_CHANGE)</f>
        <v>45646.459814814814</v>
      </c>
      <c r="AD28" s="2434"/>
      <c r="AE28" s="2434"/>
      <c r="AF28" s="2434"/>
      <c r="AG28" s="2434"/>
      <c r="AH28" s="2434"/>
      <c r="AI28" s="496"/>
      <c r="AJ28" s="496"/>
      <c r="AK28" s="450"/>
      <c r="AL28" s="538"/>
      <c r="AM28" s="538"/>
      <c r="AN28" s="538"/>
      <c r="AO28" s="538"/>
      <c r="AP28" s="538"/>
      <c r="AQ28" s="588">
        <v>0</v>
      </c>
    </row>
    <row s="12119" customFormat="1" customHeight="1" ht="18.75">
      <c r="A29" s="1538"/>
      <c r="B29" s="1538"/>
      <c r="C29" s="1538"/>
      <c r="D29" s="1538"/>
      <c r="E29" s="1538"/>
      <c r="F29" s="1538"/>
      <c r="G29" s="1538"/>
      <c r="H29" s="1538"/>
      <c r="I29" s="1538"/>
      <c r="J29" s="1538"/>
      <c r="K29" s="1538"/>
      <c r="L29" s="1539"/>
      <c r="M29" s="1538"/>
      <c r="N29" s="1538"/>
      <c r="O29" s="1538"/>
      <c r="S29" s="2420" t="s">
        <v>433</v>
      </c>
      <c r="T29" s="2420"/>
      <c r="U29" s="1542"/>
      <c r="V29" s="2421" t="str">
        <f>IF(TITLE_NUMBER_PR_CHANGE="",IF(TITLE_NUMBER_PR="","",TITLE_NUMBER_PR),TITLE_NUMBER_PR_CHANGE)</f>
        <v>329-Р</v>
      </c>
      <c r="W29" s="2421"/>
      <c r="X29" s="2421"/>
      <c r="Y29" s="2421"/>
      <c r="Z29" s="2421"/>
      <c r="AA29" s="2421"/>
      <c r="AB29" s="496"/>
      <c r="AC29" s="2421" t="str">
        <f>IF(TITLE_NUMBER_PR_CHANGE="",IF(TITLE_NUMBER_PR="","",TITLE_NUMBER_PR),TITLE_NUMBER_PR_CHANGE)</f>
        <v>329-Р</v>
      </c>
      <c r="AD29" s="2421"/>
      <c r="AE29" s="2421"/>
      <c r="AF29" s="2421"/>
      <c r="AG29" s="2421"/>
      <c r="AH29" s="2421"/>
      <c r="AI29" s="496"/>
      <c r="AJ29" s="496"/>
      <c r="AK29" s="450"/>
      <c r="AL29" s="538"/>
      <c r="AM29" s="538"/>
      <c r="AN29" s="538"/>
      <c r="AO29" s="538"/>
      <c r="AP29" s="538"/>
      <c r="AQ29" s="588">
        <v>0</v>
      </c>
    </row>
    <row s="12119" customFormat="1" customHeight="1" ht="18.75">
      <c r="A30" s="1538"/>
      <c r="B30" s="1538"/>
      <c r="C30" s="1538"/>
      <c r="D30" s="1538"/>
      <c r="E30" s="1538"/>
      <c r="F30" s="1538"/>
      <c r="G30" s="1538"/>
      <c r="H30" s="1538"/>
      <c r="I30" s="1538"/>
      <c r="J30" s="1538"/>
      <c r="K30" s="1538"/>
      <c r="L30" s="1539"/>
      <c r="M30" s="1538"/>
      <c r="N30" s="1538"/>
      <c r="O30" s="1538"/>
      <c r="S30" s="2420" t="s">
        <v>44</v>
      </c>
      <c r="T30" s="2420"/>
      <c r="U30" s="1542"/>
      <c r="V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421"/>
      <c r="X30" s="2421"/>
      <c r="Y30" s="2421"/>
      <c r="Z30" s="2421"/>
      <c r="AA30" s="2421"/>
      <c r="AB30" s="496"/>
      <c r="AC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421"/>
      <c r="AE30" s="2421"/>
      <c r="AF30" s="2421"/>
      <c r="AG30" s="2421"/>
      <c r="AH30" s="2421"/>
      <c r="AI30" s="496"/>
      <c r="AJ30" s="496"/>
      <c r="AK30" s="450"/>
      <c r="AL30" s="538"/>
      <c r="AM30" s="538"/>
      <c r="AN30" s="538"/>
      <c r="AO30" s="538"/>
      <c r="AP30" s="538"/>
      <c r="AQ30" s="588">
        <v>0</v>
      </c>
    </row>
    <row customHeight="1" ht="14.25" hidden="1">
      <c r="Q31" s="546"/>
      <c r="R31" s="546"/>
      <c r="S31" s="1445"/>
      <c r="T31" s="533"/>
      <c r="U31" s="533"/>
      <c r="V31" s="492"/>
      <c r="W31" s="492"/>
      <c r="X31" s="492"/>
      <c r="Y31" s="492"/>
      <c r="Z31" s="492"/>
      <c r="AA31" s="492"/>
      <c r="AB31" s="492"/>
      <c r="AC31" s="492"/>
      <c r="AD31" s="492"/>
      <c r="AE31" s="492"/>
      <c r="AF31" s="492"/>
      <c r="AG31" s="492"/>
      <c r="AH31" s="492"/>
      <c r="AI31" s="492"/>
      <c r="AJ31" s="679"/>
      <c r="AQ31" s="1325">
        <v>0</v>
      </c>
    </row>
    <row s="12119" customFormat="1" customHeight="1" ht="18.75" hidden="1">
      <c r="A32" s="1538"/>
      <c r="B32" s="1538"/>
      <c r="C32" s="1538"/>
      <c r="D32" s="1538"/>
      <c r="E32" s="1538"/>
      <c r="F32" s="1538"/>
      <c r="G32" s="1538"/>
      <c r="H32" s="1538"/>
      <c r="I32" s="1538"/>
      <c r="J32" s="1538"/>
      <c r="K32" s="1538"/>
      <c r="L32" s="1539"/>
      <c r="M32" s="1538"/>
      <c r="N32" s="1538"/>
      <c r="O32" s="1538"/>
      <c r="S32" s="2420" t="s">
        <v>434</v>
      </c>
      <c r="T32" s="2420"/>
      <c r="U32" s="1542"/>
      <c r="V32" s="2434" t="str">
        <f>IF(TITLE_DATE_PR_CHANGE="",IF(TITLE_DATE_PR="","",TITLE_DATE_PR),TITLE_DATE_PR_CHANGE)</f>
        <v>45646.459814814814</v>
      </c>
      <c r="W32" s="2434"/>
      <c r="X32" s="2434"/>
      <c r="Y32" s="2434"/>
      <c r="Z32" s="2434"/>
      <c r="AA32" s="2434"/>
      <c r="AB32" s="496"/>
      <c r="AC32" s="2434" t="str">
        <f>IF(TITLE_DATE_PR_CHANGE="",IF(TITLE_DATE_PR="","",TITLE_DATE_PR),TITLE_DATE_PR_CHANGE)</f>
        <v>45646.459814814814</v>
      </c>
      <c r="AD32" s="2434"/>
      <c r="AE32" s="2434"/>
      <c r="AF32" s="2434"/>
      <c r="AG32" s="2434"/>
      <c r="AH32" s="2434"/>
      <c r="AI32" s="496"/>
      <c r="AJ32" s="496"/>
      <c r="AK32" s="450"/>
      <c r="AL32" s="538"/>
      <c r="AM32" s="538"/>
      <c r="AN32" s="538"/>
      <c r="AO32" s="538"/>
      <c r="AP32" s="538"/>
      <c r="AQ32" s="588">
        <v>0</v>
      </c>
    </row>
    <row s="12119" customFormat="1" customHeight="1" ht="18.75" hidden="1">
      <c r="A33" s="1538"/>
      <c r="B33" s="1538"/>
      <c r="C33" s="1538"/>
      <c r="D33" s="1538"/>
      <c r="E33" s="1538"/>
      <c r="F33" s="1538"/>
      <c r="G33" s="1538"/>
      <c r="H33" s="1538"/>
      <c r="I33" s="1538"/>
      <c r="J33" s="1538"/>
      <c r="K33" s="1538"/>
      <c r="L33" s="1539"/>
      <c r="M33" s="1538"/>
      <c r="N33" s="1538"/>
      <c r="O33" s="1538"/>
      <c r="S33" s="2420" t="s">
        <v>435</v>
      </c>
      <c r="T33" s="2420"/>
      <c r="U33" s="1542"/>
      <c r="V33" s="2421" t="str">
        <f>IF(TITLE_NUMBER_PR_CHANGE="",IF(TITLE_NUMBER_PR="","",TITLE_NUMBER_PR),TITLE_NUMBER_PR_CHANGE)</f>
        <v>329-Р</v>
      </c>
      <c r="W33" s="2421"/>
      <c r="X33" s="2421"/>
      <c r="Y33" s="2421"/>
      <c r="Z33" s="2421"/>
      <c r="AA33" s="2421"/>
      <c r="AB33" s="496"/>
      <c r="AC33" s="2421" t="str">
        <f>IF(TITLE_NUMBER_PR_CHANGE="",IF(TITLE_NUMBER_PR="","",TITLE_NUMBER_PR),TITLE_NUMBER_PR_CHANGE)</f>
        <v>329-Р</v>
      </c>
      <c r="AD33" s="2421"/>
      <c r="AE33" s="2421"/>
      <c r="AF33" s="2421"/>
      <c r="AG33" s="2421"/>
      <c r="AH33" s="2421"/>
      <c r="AI33" s="496"/>
      <c r="AJ33" s="496"/>
      <c r="AK33" s="450"/>
      <c r="AL33" s="538"/>
      <c r="AM33" s="538"/>
      <c r="AN33" s="538"/>
      <c r="AO33" s="538"/>
      <c r="AP33" s="538"/>
      <c r="AQ33" s="588">
        <v>0</v>
      </c>
    </row>
    <row s="12119" customFormat="1" customHeight="1" ht="1.05">
      <c r="A34" s="1538"/>
      <c r="B34" s="1538"/>
      <c r="C34" s="1538"/>
      <c r="D34" s="1538"/>
      <c r="E34" s="1538"/>
      <c r="F34" s="1538"/>
      <c r="G34" s="1538"/>
      <c r="H34" s="1538"/>
      <c r="I34" s="1538"/>
      <c r="J34" s="1538"/>
      <c r="K34" s="1538"/>
      <c r="L34" s="1539"/>
      <c r="M34" s="1538"/>
      <c r="N34" s="1538"/>
      <c r="O34" s="1538"/>
      <c r="S34" s="493"/>
      <c r="T34" s="493"/>
      <c r="U34" s="1658"/>
      <c r="V34" s="496"/>
      <c r="W34" s="496"/>
      <c r="X34" s="496"/>
      <c r="Y34" s="496"/>
      <c r="Z34" s="496"/>
      <c r="AA34" s="496"/>
      <c r="AB34" s="448" t="s">
        <v>436</v>
      </c>
      <c r="AC34" s="496"/>
      <c r="AD34" s="496"/>
      <c r="AE34" s="496"/>
      <c r="AF34" s="496"/>
      <c r="AG34" s="496"/>
      <c r="AH34" s="496"/>
      <c r="AI34" s="448" t="s">
        <v>436</v>
      </c>
      <c r="AL34" s="538"/>
      <c r="AM34" s="538"/>
      <c r="AN34" s="538"/>
      <c r="AO34" s="538"/>
      <c r="AP34" s="538"/>
      <c r="AQ34" s="588">
        <v>1</v>
      </c>
    </row>
    <row customHeight="1" ht="14.699999999999998">
      <c r="Q35" s="546"/>
      <c r="R35" s="546"/>
      <c r="S35" s="1445"/>
      <c r="T35" s="533"/>
      <c r="U35" s="1414"/>
      <c r="V35" s="2422"/>
      <c r="W35" s="2422"/>
      <c r="X35" s="2422"/>
      <c r="Y35" s="2422"/>
      <c r="Z35" s="2422"/>
      <c r="AA35" s="2422"/>
      <c r="AB35" s="2422"/>
      <c r="AC35" s="2422"/>
      <c r="AD35" s="2422"/>
      <c r="AE35" s="2422"/>
      <c r="AF35" s="2422"/>
      <c r="AG35" s="2422"/>
      <c r="AH35" s="2422"/>
      <c r="AI35" s="2422"/>
      <c r="AQ35" s="1325">
        <v>14</v>
      </c>
    </row>
    <row customHeight="1" ht="14.699999999999998">
      <c r="Q36" s="546"/>
      <c r="R36" s="546"/>
      <c r="S36" s="2297" t="s">
        <v>312</v>
      </c>
      <c r="T36" s="2297"/>
      <c r="U36" s="2297"/>
      <c r="V36" s="2297"/>
      <c r="W36" s="2297"/>
      <c r="X36" s="2297"/>
      <c r="Y36" s="2297"/>
      <c r="Z36" s="2297"/>
      <c r="AA36" s="2297"/>
      <c r="AB36" s="2297"/>
      <c r="AC36" s="2297"/>
      <c r="AD36" s="2297"/>
      <c r="AE36" s="2297"/>
      <c r="AF36" s="2297"/>
      <c r="AG36" s="2297"/>
      <c r="AH36" s="2297"/>
      <c r="AI36" s="2297"/>
      <c r="AJ36" s="2297"/>
      <c r="AK36" s="2297" t="s">
        <v>313</v>
      </c>
      <c r="AQ36" s="1325">
        <v>14</v>
      </c>
    </row>
    <row customHeight="1" ht="14.699999999999998">
      <c r="Q37" s="546"/>
      <c r="R37" s="546"/>
      <c r="S37" s="2443" t="s">
        <v>91</v>
      </c>
      <c r="T37" s="2379" t="s">
        <v>438</v>
      </c>
      <c r="U37" s="471"/>
      <c r="V37" s="2444" t="s">
        <v>439</v>
      </c>
      <c r="W37" s="2445"/>
      <c r="X37" s="2445"/>
      <c r="Y37" s="2445"/>
      <c r="Z37" s="2445"/>
      <c r="AA37" s="2446"/>
      <c r="AB37" s="2447" t="s">
        <v>440</v>
      </c>
      <c r="AC37" s="2444" t="s">
        <v>439</v>
      </c>
      <c r="AD37" s="2445"/>
      <c r="AE37" s="2445"/>
      <c r="AF37" s="2445"/>
      <c r="AG37" s="2445"/>
      <c r="AH37" s="2446"/>
      <c r="AI37" s="2447" t="s">
        <v>441</v>
      </c>
      <c r="AJ37" s="2450" t="s">
        <v>442</v>
      </c>
      <c r="AK37" s="2297"/>
      <c r="AQ37" s="1325">
        <v>14</v>
      </c>
    </row>
    <row customHeight="1" ht="35.699999999999996">
      <c r="Q38" s="546"/>
      <c r="R38" s="546"/>
      <c r="S38" s="2443"/>
      <c r="T38" s="2379"/>
      <c r="U38" s="1201"/>
      <c r="V38" s="1653" t="s">
        <v>504</v>
      </c>
      <c r="W38" s="2432" t="s">
        <v>445</v>
      </c>
      <c r="X38" s="2433"/>
      <c r="Y38" s="2432" t="s">
        <v>446</v>
      </c>
      <c r="Z38" s="2439"/>
      <c r="AA38" s="2433"/>
      <c r="AB38" s="2448"/>
      <c r="AC38" s="1653" t="s">
        <v>504</v>
      </c>
      <c r="AD38" s="2432" t="s">
        <v>445</v>
      </c>
      <c r="AE38" s="2433"/>
      <c r="AF38" s="2432" t="s">
        <v>446</v>
      </c>
      <c r="AG38" s="2439"/>
      <c r="AH38" s="2433"/>
      <c r="AI38" s="2448"/>
      <c r="AJ38" s="2451"/>
      <c r="AK38" s="2297"/>
      <c r="AQ38" s="1325">
        <v>34</v>
      </c>
    </row>
    <row customHeight="1" ht="90.3">
      <c r="A39" s="1540"/>
      <c r="B39" s="1540" t="s">
        <v>138</v>
      </c>
      <c r="C39" s="1540" t="s">
        <v>139</v>
      </c>
      <c r="D39" s="1540" t="s">
        <v>140</v>
      </c>
      <c r="E39" s="1534" t="s">
        <v>447</v>
      </c>
      <c r="F39" s="1534" t="s">
        <v>448</v>
      </c>
      <c r="G39" s="1534" t="s">
        <v>449</v>
      </c>
      <c r="H39" s="1534"/>
      <c r="I39" s="1534" t="s">
        <v>505</v>
      </c>
      <c r="J39" s="1534" t="s">
        <v>452</v>
      </c>
      <c r="K39" s="1534" t="s">
        <v>506</v>
      </c>
      <c r="L39" s="1534" t="s">
        <v>427</v>
      </c>
      <c r="Q39" s="546"/>
      <c r="R39" s="546"/>
      <c r="S39" s="2443"/>
      <c r="T39" s="2379"/>
      <c r="U39" s="472"/>
      <c r="V39" s="1653" t="s">
        <v>533</v>
      </c>
      <c r="W39" s="1392" t="s">
        <v>534</v>
      </c>
      <c r="X39" s="1392" t="s">
        <v>509</v>
      </c>
      <c r="Y39" s="1659" t="s">
        <v>456</v>
      </c>
      <c r="Z39" s="2440" t="s">
        <v>457</v>
      </c>
      <c r="AA39" s="2441"/>
      <c r="AB39" s="2449"/>
      <c r="AC39" s="1653" t="s">
        <v>533</v>
      </c>
      <c r="AD39" s="1392" t="s">
        <v>534</v>
      </c>
      <c r="AE39" s="1392" t="s">
        <v>509</v>
      </c>
      <c r="AF39" s="1659" t="s">
        <v>456</v>
      </c>
      <c r="AG39" s="2440" t="s">
        <v>457</v>
      </c>
      <c r="AH39" s="2441"/>
      <c r="AI39" s="2449"/>
      <c r="AJ39" s="2452"/>
      <c r="AK39" s="2297"/>
      <c r="AQ39" s="1325">
        <v>86</v>
      </c>
    </row>
    <row s="12668" customFormat="1" customHeight="1" ht="11.25" hidden="1">
      <c r="A40" s="1540"/>
      <c r="B40" s="1540"/>
      <c r="C40" s="1540"/>
      <c r="D40" s="1540"/>
      <c r="E40" s="1540"/>
      <c r="F40" s="1540"/>
      <c r="G40" s="1540"/>
      <c r="H40" s="1540"/>
      <c r="I40" s="1540"/>
      <c r="J40" s="1540"/>
      <c r="K40" s="1540"/>
      <c r="L40" s="1534"/>
      <c r="M40" s="1532"/>
      <c r="N40" s="1532"/>
      <c r="O40" s="1532"/>
      <c r="P40" s="1416"/>
      <c r="Q40" s="1417"/>
      <c r="R40" s="1424">
        <v>1</v>
      </c>
      <c r="S40" s="1447" t="s">
        <v>112</v>
      </c>
      <c r="T40" s="1425" t="s">
        <v>113</v>
      </c>
      <c r="U40" s="1415" t="str">
        <f>OFFSET(U40,0,-1)</f>
        <v>2</v>
      </c>
      <c r="V40" s="1652">
        <f>OFFSET(V40,0,-1)+1</f>
        <v>3</v>
      </c>
      <c r="W40" s="1652">
        <f>OFFSET(W40,0,-1)+1</f>
        <v>4</v>
      </c>
      <c r="X40" s="1652">
        <f>OFFSET(X40,0,-1)+1</f>
        <v>5</v>
      </c>
      <c r="Y40" s="1652">
        <f>OFFSET(Y40,0,-1)+1</f>
        <v>6</v>
      </c>
      <c r="Z40" s="2442">
        <f>OFFSET(Z40,0,-1)+1</f>
        <v>7</v>
      </c>
      <c r="AA40" s="2442"/>
      <c r="AB40" s="1652">
        <f>OFFSET(AB40,0,-2)+1</f>
        <v>8</v>
      </c>
      <c r="AC40" s="1652">
        <f>OFFSET(AC40,0,-1)+1</f>
        <v>9</v>
      </c>
      <c r="AD40" s="1652">
        <f>OFFSET(AD40,0,-1)+1</f>
        <v>10</v>
      </c>
      <c r="AE40" s="1652">
        <f>OFFSET(AE40,0,-1)+1</f>
        <v>11</v>
      </c>
      <c r="AF40" s="1652">
        <f>OFFSET(AF40,0,-1)+1</f>
        <v>12</v>
      </c>
      <c r="AG40" s="2442">
        <f>OFFSET(AG40,0,-1)+1</f>
        <v>13</v>
      </c>
      <c r="AH40" s="2442"/>
      <c r="AI40" s="1652">
        <f>OFFSET(AI40,0,-2)+1</f>
        <v>14</v>
      </c>
      <c r="AJ40" s="1415">
        <f>OFFSET(AJ40,0,-1)</f>
        <v>14</v>
      </c>
      <c r="AK40" s="1652">
        <f>OFFSET(AK40,0,-1)+1</f>
        <v>15</v>
      </c>
      <c r="AL40" s="681"/>
      <c r="AM40" s="681"/>
      <c r="AN40" s="681"/>
      <c r="AO40" s="681"/>
      <c r="AP40" s="681"/>
      <c r="AQ40" s="666">
        <v>0</v>
      </c>
    </row>
    <row customHeight="1" ht="24">
      <c r="A41" s="1533" t="s">
        <v>278</v>
      </c>
      <c r="B41" s="1533"/>
      <c r="C41" s="1533"/>
      <c r="D41" s="1533"/>
      <c r="E41" s="2428">
        <v>1</v>
      </c>
      <c r="F41" s="1533"/>
      <c r="G41" s="1533"/>
      <c r="H41" s="1533"/>
      <c r="I41" s="1533"/>
      <c r="J41" s="1533"/>
      <c r="K41" s="1533"/>
      <c r="L41" s="1534"/>
      <c r="M41" s="1535"/>
      <c r="N41" s="1535"/>
      <c r="O41" s="1535"/>
      <c r="P41" s="531"/>
      <c r="Q41" s="530"/>
      <c r="R41" s="525"/>
      <c r="S41" s="1663">
        <f>INDEX(PT_DIFFERENTIATION_NUM_NTAR,MATCH(A41,PT_DIFFERENTIATION_NTAR_ID,0))</f>
        <v>0</v>
      </c>
      <c r="T41" s="468" t="s">
        <v>126</v>
      </c>
      <c r="U41" s="470"/>
      <c r="V41" s="2412"/>
      <c r="W41" s="2413"/>
      <c r="X41" s="2413"/>
      <c r="Y41" s="2413"/>
      <c r="Z41" s="2413"/>
      <c r="AA41" s="2413"/>
      <c r="AB41" s="2414"/>
      <c r="AC41" s="2412" t="str">
        <f>INDEX(PT_DIFFERENTIATION_NTAR,MATCH(A41,PT_DIFFERENTIATION_NTAR_ID,0))</f>
        <v/>
      </c>
      <c r="AD41" s="2413"/>
      <c r="AE41" s="2413"/>
      <c r="AF41" s="2413"/>
      <c r="AG41" s="2413"/>
      <c r="AH41" s="2413"/>
      <c r="AI41" s="2413"/>
      <c r="AJ41" s="2414"/>
      <c r="AK41"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70"/>
      <c r="AN41" s="670" t="str">
        <f>IF(T41="","",T41)</f>
        <v>Наименование тарифа</v>
      </c>
      <c r="AO41" s="670"/>
      <c r="AP41" s="670"/>
      <c r="AQ41" s="1325">
        <v>23</v>
      </c>
    </row>
    <row customHeight="1" ht="24">
      <c r="A42" s="1533" t="s">
        <v>278</v>
      </c>
      <c r="B42" s="1533" t="s">
        <v>279</v>
      </c>
      <c r="C42" s="1533"/>
      <c r="D42" s="1533"/>
      <c r="E42" s="2429"/>
      <c r="F42" s="2428">
        <v>1</v>
      </c>
      <c r="G42" s="1533"/>
      <c r="H42" s="1533"/>
      <c r="I42" s="1533"/>
      <c r="J42" s="1533"/>
      <c r="K42" s="1533"/>
      <c r="L42" s="1534"/>
      <c r="M42" s="1535"/>
      <c r="N42" s="1535"/>
      <c r="O42" s="1535"/>
      <c r="P42" s="1657"/>
      <c r="Q42" s="522"/>
      <c r="R42" s="523"/>
      <c r="S42" s="1663" t="str">
        <f>INDEX(PT_DIFFERENTIATION_NUM_TER,MATCH(B42,PT_DIFFERENTIATION_TER_ID,0))</f>
        <v>.</v>
      </c>
      <c r="T42" s="478" t="s">
        <v>409</v>
      </c>
      <c r="U42" s="470"/>
      <c r="V42" s="2412"/>
      <c r="W42" s="2413"/>
      <c r="X42" s="2413"/>
      <c r="Y42" s="2413"/>
      <c r="Z42" s="2413"/>
      <c r="AA42" s="2413"/>
      <c r="AB42" s="2414"/>
      <c r="AC42" s="2412" t="str">
        <f>INDEX(PT_DIFFERENTIATION_TER,MATCH(B42,PT_DIFFERENTIATION_TER_ID,0))</f>
        <v/>
      </c>
      <c r="AD42" s="2413"/>
      <c r="AE42" s="2413"/>
      <c r="AF42" s="2413"/>
      <c r="AG42" s="2413"/>
      <c r="AH42" s="2413"/>
      <c r="AI42" s="2413"/>
      <c r="AJ42" s="2414"/>
      <c r="AK42" s="1428" t="s">
        <v>410</v>
      </c>
      <c r="AM42" s="670"/>
      <c r="AN42" s="670" t="str">
        <f>IF(T42="","",T42)</f>
        <v>Территория действия тарифа</v>
      </c>
      <c r="AO42" s="670"/>
      <c r="AP42" s="670"/>
      <c r="AQ42" s="1325">
        <v>23</v>
      </c>
    </row>
    <row customHeight="1" ht="24">
      <c r="A43" s="1533" t="s">
        <v>278</v>
      </c>
      <c r="B43" s="1533" t="s">
        <v>279</v>
      </c>
      <c r="C43" s="1533" t="s">
        <v>280</v>
      </c>
      <c r="D43" s="1533"/>
      <c r="E43" s="2429"/>
      <c r="F43" s="2429"/>
      <c r="G43" s="2428">
        <v>1</v>
      </c>
      <c r="H43" s="1533"/>
      <c r="I43" s="1533"/>
      <c r="J43" s="1533"/>
      <c r="K43" s="1533"/>
      <c r="L43" s="1534"/>
      <c r="M43" s="1535"/>
      <c r="N43" s="1535"/>
      <c r="O43" s="1535"/>
      <c r="P43" s="524"/>
      <c r="Q43" s="522"/>
      <c r="R43" s="523"/>
      <c r="S43" s="1663" t="str">
        <f>INDEX(PT_DIFFERENTIATION_NUM_CS,MATCH(C43,PT_DIFFERENTIATION_CS_ID,0))</f>
        <v>..</v>
      </c>
      <c r="T43" s="479" t="s">
        <v>531</v>
      </c>
      <c r="U43" s="470"/>
      <c r="V43" s="2412"/>
      <c r="W43" s="2413"/>
      <c r="X43" s="2413"/>
      <c r="Y43" s="2413"/>
      <c r="Z43" s="2413"/>
      <c r="AA43" s="2413"/>
      <c r="AB43" s="2414"/>
      <c r="AC43" s="2412" t="str">
        <f>INDEX(PT_DIFFERENTIATION_CS,MATCH(C43,PT_DIFFERENTIATION_CS_ID,0))</f>
        <v/>
      </c>
      <c r="AD43" s="2413"/>
      <c r="AE43" s="2413"/>
      <c r="AF43" s="2413"/>
      <c r="AG43" s="2413"/>
      <c r="AH43" s="2413"/>
      <c r="AI43" s="2413"/>
      <c r="AJ43" s="2414"/>
      <c r="AK43" s="1428" t="s">
        <v>532</v>
      </c>
      <c r="AM43" s="670"/>
      <c r="AN43" s="670" t="str">
        <f>IF(T43="","",T43)</f>
        <v>Наименование централизованной системы водоотведения</v>
      </c>
      <c r="AO43" s="670"/>
      <c r="AP43" s="670"/>
      <c r="AQ43" s="1325">
        <v>23</v>
      </c>
    </row>
    <row customHeight="1" ht="24">
      <c r="A44" s="1533" t="s">
        <v>278</v>
      </c>
      <c r="B44" s="1533" t="s">
        <v>279</v>
      </c>
      <c r="C44" s="1533" t="s">
        <v>280</v>
      </c>
      <c r="D44" s="1533" t="s">
        <v>535</v>
      </c>
      <c r="E44" s="2429"/>
      <c r="F44" s="2429"/>
      <c r="G44" s="2429"/>
      <c r="H44" s="2429"/>
      <c r="I44" s="2426" t="str">
        <f>S43&amp;".1"</f>
        <v>...1</v>
      </c>
      <c r="J44" s="1533"/>
      <c r="K44" s="1533"/>
      <c r="L44" s="1534"/>
      <c r="P44" s="2427">
        <v>1</v>
      </c>
      <c r="Q44" s="1651"/>
      <c r="R44" s="526"/>
      <c r="S44" s="1663" t="str">
        <f>$I44</f>
        <v>...1</v>
      </c>
      <c r="T44" s="455" t="s">
        <v>498</v>
      </c>
      <c r="U44" s="470"/>
      <c r="V44" s="2520"/>
      <c r="W44" s="2521"/>
      <c r="X44" s="2521"/>
      <c r="Y44" s="2521"/>
      <c r="Z44" s="2521"/>
      <c r="AA44" s="2521"/>
      <c r="AB44" s="2522"/>
      <c r="AC44" s="2523"/>
      <c r="AD44" s="2524"/>
      <c r="AE44" s="2524"/>
      <c r="AF44" s="2524"/>
      <c r="AG44" s="2524"/>
      <c r="AH44" s="2524"/>
      <c r="AI44" s="2524"/>
      <c r="AJ44" s="2525"/>
      <c r="AK44" s="1428" t="s">
        <v>499</v>
      </c>
      <c r="AM44" s="670"/>
      <c r="AN44" s="670" t="str">
        <f>IF(T44="","",T44)</f>
        <v>Наименование признака дифференциации</v>
      </c>
      <c r="AO44" s="670"/>
      <c r="AP44" s="670"/>
      <c r="AQ44" s="1325">
        <v>23</v>
      </c>
    </row>
    <row customHeight="1" ht="24">
      <c r="A45" s="1533" t="s">
        <v>278</v>
      </c>
      <c r="B45" s="1533" t="s">
        <v>279</v>
      </c>
      <c r="C45" s="1533" t="s">
        <v>280</v>
      </c>
      <c r="D45" s="1533" t="s">
        <v>535</v>
      </c>
      <c r="E45" s="2429"/>
      <c r="F45" s="2429"/>
      <c r="G45" s="2429"/>
      <c r="H45" s="2429"/>
      <c r="I45" s="2456"/>
      <c r="J45" s="2426" t="str">
        <f>I44&amp;".1"</f>
        <v>...1.1</v>
      </c>
      <c r="K45" s="1533"/>
      <c r="L45" s="1534" t="s">
        <v>418</v>
      </c>
      <c r="P45" s="2427"/>
      <c r="Q45" s="2427">
        <v>1</v>
      </c>
      <c r="R45" s="527"/>
      <c r="S45" s="1663" t="str">
        <f>$J45</f>
        <v>...1.1</v>
      </c>
      <c r="T45" s="456" t="s">
        <v>419</v>
      </c>
      <c r="U45" s="470"/>
      <c r="V45" s="2415"/>
      <c r="W45" s="2416"/>
      <c r="X45" s="2416"/>
      <c r="Y45" s="2416"/>
      <c r="Z45" s="2416"/>
      <c r="AA45" s="2416"/>
      <c r="AB45" s="2417"/>
      <c r="AC45" s="2415"/>
      <c r="AD45" s="2416"/>
      <c r="AE45" s="2416"/>
      <c r="AF45" s="2416"/>
      <c r="AG45" s="2416"/>
      <c r="AH45" s="2416"/>
      <c r="AI45" s="2416"/>
      <c r="AJ45" s="2417"/>
      <c r="AK45" s="1477" t="s">
        <v>500</v>
      </c>
      <c r="AM45" s="670"/>
      <c r="AN45" s="670" t="str">
        <f>IF(T45="","",T45)</f>
        <v>Группа потребителей</v>
      </c>
      <c r="AO45" s="670"/>
      <c r="AP45" s="670"/>
      <c r="AQ45" s="1325">
        <v>23</v>
      </c>
    </row>
    <row customHeight="1" ht="24">
      <c r="A46" s="1533" t="s">
        <v>278</v>
      </c>
      <c r="B46" s="1533" t="s">
        <v>279</v>
      </c>
      <c r="C46" s="1533" t="s">
        <v>280</v>
      </c>
      <c r="D46" s="1533" t="s">
        <v>535</v>
      </c>
      <c r="E46" s="2429"/>
      <c r="F46" s="2429"/>
      <c r="G46" s="2429"/>
      <c r="H46" s="2429"/>
      <c r="I46" s="2456"/>
      <c r="J46" s="2456"/>
      <c r="K46" s="2426" t="str">
        <f>J45&amp;".1"</f>
        <v>...1.1.1</v>
      </c>
      <c r="L46" s="1534"/>
      <c r="P46" s="2427"/>
      <c r="Q46" s="2427"/>
      <c r="R46" s="527">
        <v>1</v>
      </c>
      <c r="S46" s="1663" t="str">
        <f>$K46</f>
        <v>...1.1.1</v>
      </c>
      <c r="T46" s="1607"/>
      <c r="U46" s="470"/>
      <c r="V46" s="1530"/>
      <c r="W46" s="1530"/>
      <c r="X46" s="1531"/>
      <c r="Y46" s="2437"/>
      <c r="Z46" s="2438" t="s">
        <v>64</v>
      </c>
      <c r="AA46" s="2437"/>
      <c r="AB46" s="2438" t="s">
        <v>64</v>
      </c>
      <c r="AC46" s="921"/>
      <c r="AD46" s="921"/>
      <c r="AE46" s="1427"/>
      <c r="AF46" s="2435"/>
      <c r="AG46" s="2277" t="s">
        <v>64</v>
      </c>
      <c r="AH46" s="2457"/>
      <c r="AI46" s="2277" t="s">
        <v>19</v>
      </c>
      <c r="AJ46" s="1608"/>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1">
        <f>STRCHECKDATE(V47:AJ47)</f>
      </c>
      <c r="AM46" s="670"/>
      <c r="AN46" s="670" t="str">
        <f>IF(T46="","",T46)</f>
        <v/>
      </c>
      <c r="AO46" s="670"/>
      <c r="AP46" s="670"/>
      <c r="AQ46" s="1325">
        <v>23</v>
      </c>
    </row>
    <row customHeight="1" ht="0">
      <c r="A47" s="1533" t="s">
        <v>278</v>
      </c>
      <c r="B47" s="1533" t="s">
        <v>279</v>
      </c>
      <c r="C47" s="1533" t="s">
        <v>280</v>
      </c>
      <c r="D47" s="1533" t="s">
        <v>535</v>
      </c>
      <c r="E47" s="2429"/>
      <c r="F47" s="2429"/>
      <c r="G47" s="2429"/>
      <c r="H47" s="2429"/>
      <c r="I47" s="2456"/>
      <c r="J47" s="2456"/>
      <c r="K47" s="2426"/>
      <c r="L47" s="1534"/>
      <c r="P47" s="2427"/>
      <c r="Q47" s="2427"/>
      <c r="R47" s="527"/>
      <c r="S47" s="1660"/>
      <c r="T47" s="470"/>
      <c r="U47" s="470"/>
      <c r="V47" s="1530"/>
      <c r="W47" s="1530"/>
      <c r="X47" s="498" t="str">
        <f>Y46&amp;"-"&amp;AA46</f>
        <v>-</v>
      </c>
      <c r="Y47" s="2438"/>
      <c r="Z47" s="2438"/>
      <c r="AA47" s="2438"/>
      <c r="AB47" s="2438"/>
      <c r="AC47" s="495"/>
      <c r="AD47" s="495"/>
      <c r="AE47" s="498" t="str">
        <f>AF46&amp;"-"&amp;AH46</f>
        <v>-</v>
      </c>
      <c r="AF47" s="2436"/>
      <c r="AG47" s="2277"/>
      <c r="AH47" s="2458"/>
      <c r="AI47" s="2277"/>
      <c r="AJ47" s="1609"/>
      <c r="AK47" s="2519"/>
      <c r="AM47" s="670"/>
      <c r="AN47" s="670" t="str">
        <f>IF(T47="","",T47)</f>
        <v/>
      </c>
      <c r="AO47" s="670"/>
      <c r="AP47" s="670"/>
      <c r="AQ47" s="1325">
        <v>0</v>
      </c>
    </row>
    <row customHeight="1" ht="21">
      <c r="A48" s="1533" t="s">
        <v>278</v>
      </c>
      <c r="B48" s="1533" t="s">
        <v>279</v>
      </c>
      <c r="C48" s="1533" t="s">
        <v>280</v>
      </c>
      <c r="D48" s="1533" t="s">
        <v>535</v>
      </c>
      <c r="E48" s="2429"/>
      <c r="F48" s="2429"/>
      <c r="G48" s="2429"/>
      <c r="H48" s="2429"/>
      <c r="I48" s="2456"/>
      <c r="J48" s="2426"/>
      <c r="K48" s="1533"/>
      <c r="L48" s="1534"/>
      <c r="P48" s="2427"/>
      <c r="Q48" s="2427"/>
      <c r="R48" s="526"/>
      <c r="S48" s="1448"/>
      <c r="T48" s="457" t="s">
        <v>501</v>
      </c>
      <c r="U48" s="537"/>
      <c r="V48" s="537"/>
      <c r="W48" s="537"/>
      <c r="X48" s="537"/>
      <c r="Y48" s="537"/>
      <c r="Z48" s="537"/>
      <c r="AA48" s="537"/>
      <c r="AB48" s="537"/>
      <c r="AC48" s="537"/>
      <c r="AD48" s="537"/>
      <c r="AE48" s="537"/>
      <c r="AF48" s="537"/>
      <c r="AG48" s="537"/>
      <c r="AH48" s="537"/>
      <c r="AI48" s="537"/>
      <c r="AJ48" s="537"/>
      <c r="AK48" s="1428" t="s">
        <v>502</v>
      </c>
      <c r="AM48" s="670"/>
      <c r="AN48" s="670" t="str">
        <f>IF(T48="","",T48)</f>
        <v>Добавить значение признака дифференциации</v>
      </c>
      <c r="AO48" s="670"/>
      <c r="AP48" s="670"/>
      <c r="AQ48" s="1325">
        <v>20</v>
      </c>
    </row>
    <row customHeight="1" ht="22.049999999999997">
      <c r="A49" s="1533" t="s">
        <v>278</v>
      </c>
      <c r="B49" s="1533" t="s">
        <v>279</v>
      </c>
      <c r="C49" s="1533" t="s">
        <v>280</v>
      </c>
      <c r="D49" s="1533" t="s">
        <v>535</v>
      </c>
      <c r="E49" s="2429"/>
      <c r="F49" s="2429"/>
      <c r="G49" s="2429"/>
      <c r="H49" s="2429"/>
      <c r="I49" s="2426"/>
      <c r="J49" s="1533"/>
      <c r="K49" s="1533"/>
      <c r="L49" s="1534"/>
      <c r="P49" s="2427"/>
      <c r="Q49" s="1651"/>
      <c r="R49" s="526"/>
      <c r="S49" s="1448"/>
      <c r="T49" s="535" t="s">
        <v>424</v>
      </c>
      <c r="U49" s="537"/>
      <c r="V49" s="537"/>
      <c r="W49" s="537"/>
      <c r="X49" s="537"/>
      <c r="Y49" s="537"/>
      <c r="Z49" s="537"/>
      <c r="AA49" s="537"/>
      <c r="AB49" s="536"/>
      <c r="AC49" s="537"/>
      <c r="AD49" s="537"/>
      <c r="AE49" s="537"/>
      <c r="AF49" s="537"/>
      <c r="AG49" s="537"/>
      <c r="AH49" s="537"/>
      <c r="AI49" s="536"/>
      <c r="AJ49" s="537"/>
      <c r="AK49" s="1610"/>
      <c r="AM49" s="670"/>
      <c r="AN49" s="670" t="str">
        <f>IF(T49="","",T49)</f>
        <v>Добавить группу потребителей</v>
      </c>
      <c r="AO49" s="670"/>
      <c r="AP49" s="670"/>
      <c r="AQ49" s="1325">
        <v>21</v>
      </c>
    </row>
    <row customHeight="1" ht="22.049999999999997">
      <c r="A50" s="1533" t="s">
        <v>278</v>
      </c>
      <c r="B50" s="1533" t="s">
        <v>279</v>
      </c>
      <c r="C50" s="1533" t="s">
        <v>280</v>
      </c>
      <c r="D50" s="1533" t="s">
        <v>535</v>
      </c>
      <c r="E50" s="2429"/>
      <c r="F50" s="2429"/>
      <c r="G50" s="2429"/>
      <c r="H50" s="2428"/>
      <c r="I50" s="1533"/>
      <c r="J50" s="1533"/>
      <c r="K50" s="1533"/>
      <c r="L50" s="1534"/>
      <c r="M50" s="1535"/>
      <c r="N50" s="1535"/>
      <c r="O50" s="707"/>
      <c r="P50" s="530"/>
      <c r="Q50" s="545"/>
      <c r="R50" s="525"/>
      <c r="S50" s="1448"/>
      <c r="T50" s="542" t="s">
        <v>503</v>
      </c>
      <c r="U50" s="537"/>
      <c r="V50" s="537"/>
      <c r="W50" s="537"/>
      <c r="X50" s="537"/>
      <c r="Y50" s="537"/>
      <c r="Z50" s="537"/>
      <c r="AA50" s="537"/>
      <c r="AB50" s="536"/>
      <c r="AC50" s="537"/>
      <c r="AD50" s="537"/>
      <c r="AE50" s="537"/>
      <c r="AF50" s="537"/>
      <c r="AG50" s="537"/>
      <c r="AH50" s="537"/>
      <c r="AI50" s="536"/>
      <c r="AJ50" s="537"/>
      <c r="AK50" s="473"/>
      <c r="AM50" s="670"/>
      <c r="AN50" s="670" t="str">
        <f>IF(T50="","",T50)</f>
        <v>Добавить наименование признака дифференциации</v>
      </c>
      <c r="AO50" s="670"/>
      <c r="AP50" s="670"/>
      <c r="AQ50" s="1325">
        <v>21</v>
      </c>
    </row>
    <row s="11993" customFormat="1" customHeight="1" ht="0">
      <c r="A51" s="1513" t="s">
        <v>278</v>
      </c>
      <c r="B51" s="1513" t="s">
        <v>279</v>
      </c>
      <c r="C51" s="1484"/>
      <c r="D51" s="1484"/>
      <c r="E51" s="2429"/>
      <c r="F51" s="2428"/>
      <c r="G51" s="1484"/>
      <c r="H51" s="1484"/>
      <c r="I51" s="1484"/>
      <c r="J51" s="1484"/>
      <c r="K51" s="1484"/>
      <c r="L51" s="1664"/>
      <c r="M51" s="1491"/>
      <c r="N51" s="1491"/>
      <c r="P51" s="1486"/>
      <c r="Q51" s="1487"/>
      <c r="R51" s="1486"/>
      <c r="S51" s="1492"/>
      <c r="T51" s="1495" t="s">
        <v>166</v>
      </c>
      <c r="U51" s="1494"/>
      <c r="V51" s="1494"/>
      <c r="W51" s="1494"/>
      <c r="X51" s="1494"/>
      <c r="Y51" s="1494"/>
      <c r="Z51" s="1494"/>
      <c r="AA51" s="1494"/>
      <c r="AB51" s="1494"/>
      <c r="AC51" s="1494"/>
      <c r="AD51" s="1494"/>
      <c r="AE51" s="1494"/>
      <c r="AF51" s="1494"/>
      <c r="AG51" s="1494"/>
      <c r="AH51" s="1494"/>
      <c r="AI51" s="1494"/>
      <c r="AJ51" s="1494"/>
      <c r="AK51" s="1494"/>
      <c r="AM51" s="959"/>
      <c r="AN51" s="959" t="str">
        <f>IF(T51="","",T51)</f>
        <v>Добавить централизованную систему для дифференциации</v>
      </c>
      <c r="AO51" s="959"/>
      <c r="AP51" s="959"/>
      <c r="AQ51" s="688">
        <v>0</v>
      </c>
    </row>
    <row s="11993" customFormat="1" customHeight="1" ht="0">
      <c r="A52" s="1513" t="s">
        <v>278</v>
      </c>
      <c r="B52" s="1513"/>
      <c r="C52" s="1513"/>
      <c r="D52" s="1513"/>
      <c r="E52" s="2428"/>
      <c r="F52" s="1513"/>
      <c r="G52" s="1513"/>
      <c r="H52" s="1513"/>
      <c r="I52" s="1513"/>
      <c r="J52" s="1513"/>
      <c r="K52" s="1513"/>
      <c r="L52" s="1516"/>
      <c r="M52" s="1491"/>
      <c r="N52" s="1491"/>
      <c r="O52" s="688"/>
      <c r="P52" s="550"/>
      <c r="Q52" s="1514"/>
      <c r="R52" s="550"/>
      <c r="S52" s="1492"/>
      <c r="T52" s="1495" t="s">
        <v>167</v>
      </c>
      <c r="U52" s="1494"/>
      <c r="V52" s="1494"/>
      <c r="W52" s="1494"/>
      <c r="X52" s="1494"/>
      <c r="Y52" s="1494"/>
      <c r="Z52" s="1494"/>
      <c r="AA52" s="1494"/>
      <c r="AB52" s="1494"/>
      <c r="AC52" s="1494"/>
      <c r="AD52" s="1494"/>
      <c r="AE52" s="1494"/>
      <c r="AF52" s="1494"/>
      <c r="AG52" s="1494"/>
      <c r="AH52" s="1494"/>
      <c r="AI52" s="1494"/>
      <c r="AJ52" s="1494"/>
      <c r="AK52" s="1494"/>
      <c r="AM52" s="670"/>
      <c r="AN52" s="670" t="str">
        <f>IF(T52="","",T52)</f>
        <v>Добавить территорию для дифференциации</v>
      </c>
      <c r="AO52" s="670"/>
      <c r="AP52" s="670"/>
      <c r="AQ52" s="681">
        <v>0</v>
      </c>
    </row>
    <row s="11993" customFormat="1" customHeight="1" ht="0">
      <c r="A53" s="1484"/>
      <c r="B53" s="1484"/>
      <c r="C53" s="1484"/>
      <c r="D53" s="1484"/>
      <c r="E53" s="1513"/>
      <c r="F53" s="1484"/>
      <c r="G53" s="1484"/>
      <c r="H53" s="1484"/>
      <c r="I53" s="1484"/>
      <c r="J53" s="1484"/>
      <c r="K53" s="1484"/>
      <c r="L53" s="1664"/>
      <c r="M53" s="1491"/>
      <c r="N53" s="1491"/>
      <c r="P53" s="1486"/>
      <c r="Q53" s="1487"/>
      <c r="R53" s="1486"/>
      <c r="S53" s="1492"/>
      <c r="T53" s="1495" t="s">
        <v>168</v>
      </c>
      <c r="U53" s="1494"/>
      <c r="V53" s="1494"/>
      <c r="W53" s="1494"/>
      <c r="X53" s="1494"/>
      <c r="Y53" s="1494"/>
      <c r="Z53" s="1494"/>
      <c r="AA53" s="1494"/>
      <c r="AB53" s="1494"/>
      <c r="AC53" s="1494"/>
      <c r="AD53" s="1494"/>
      <c r="AE53" s="1494"/>
      <c r="AF53" s="1494"/>
      <c r="AG53" s="1494"/>
      <c r="AH53" s="1494"/>
      <c r="AI53" s="1494"/>
      <c r="AJ53" s="1494"/>
      <c r="AK53" s="1494"/>
      <c r="AM53" s="959"/>
      <c r="AN53" s="959" t="str">
        <f>IF(T53="","",T53)</f>
        <v>Добавить наименование тарифа</v>
      </c>
      <c r="AO53" s="959"/>
      <c r="AP53" s="959"/>
      <c r="AQ53" s="688">
        <v>0</v>
      </c>
    </row>
    <row customHeight="1" ht="11.549999999999999">
      <c r="M54" s="1330"/>
      <c r="N54" s="1330"/>
      <c r="O54" s="707"/>
      <c r="P54" s="1325"/>
      <c r="Q54" s="1325"/>
      <c r="R54" s="1325"/>
      <c r="S54" s="1325"/>
      <c r="AL54" s="1325"/>
      <c r="AM54" s="1325"/>
      <c r="AN54" s="1325"/>
      <c r="AO54" s="1325"/>
      <c r="AP54" s="1325"/>
      <c r="AQ54" s="1325">
        <v>11</v>
      </c>
    </row>
    <row customHeight="1" ht="14.699999999999998">
      <c r="O55" s="707"/>
      <c r="S55" s="1423"/>
      <c r="T55" s="2455"/>
      <c r="U55" s="2455"/>
      <c r="V55" s="2455"/>
      <c r="W55" s="2455"/>
      <c r="X55" s="2455"/>
      <c r="Y55" s="2455"/>
      <c r="Z55" s="2455"/>
      <c r="AA55" s="2455"/>
      <c r="AB55" s="2455"/>
      <c r="AC55" s="2455"/>
      <c r="AD55" s="2455"/>
      <c r="AE55" s="2455"/>
      <c r="AF55" s="2455"/>
      <c r="AG55" s="2455"/>
      <c r="AH55" s="2455"/>
      <c r="AI55" s="2455"/>
      <c r="AJ55" s="2455"/>
      <c r="AK55" s="2455"/>
      <c r="AQ55" s="1325">
        <v>14</v>
      </c>
    </row>
    <row customHeight="1" ht="14.699999999999998">
      <c r="O56" s="707"/>
      <c r="AQ56" s="1325">
        <v>14</v>
      </c>
    </row>
    <row customHeight="1" ht="14.699999999999998">
      <c r="O57" s="707"/>
      <c r="S57" s="1423"/>
      <c r="T57" s="2455"/>
      <c r="U57" s="2455"/>
      <c r="V57" s="2455"/>
      <c r="W57" s="2455"/>
      <c r="X57" s="2455"/>
      <c r="Y57" s="2455"/>
      <c r="Z57" s="2455"/>
      <c r="AA57" s="2455"/>
      <c r="AB57" s="2455"/>
      <c r="AC57" s="2455"/>
      <c r="AD57" s="2455"/>
      <c r="AE57" s="2455"/>
      <c r="AF57" s="2455"/>
      <c r="AG57" s="2455"/>
      <c r="AH57" s="2455"/>
      <c r="AI57" s="2455"/>
      <c r="AJ57" s="2455"/>
      <c r="AK57" s="2455"/>
      <c r="AQ57" s="1325">
        <v>14</v>
      </c>
    </row>
    <row customHeight="1" ht="22.5" hidden="1">
      <c r="A58" s="1330" t="s">
        <v>85</v>
      </c>
      <c r="B58" s="1330">
        <v>0</v>
      </c>
      <c r="C58" s="1330">
        <v>0</v>
      </c>
      <c r="D58" s="1330">
        <v>0</v>
      </c>
      <c r="E58" s="1330">
        <v>0</v>
      </c>
      <c r="F58" s="1330">
        <v>0</v>
      </c>
      <c r="G58" s="1330">
        <v>0</v>
      </c>
      <c r="H58" s="1330">
        <v>0</v>
      </c>
      <c r="I58" s="1330">
        <v>0</v>
      </c>
      <c r="J58" s="1330">
        <v>0</v>
      </c>
      <c r="K58" s="1330">
        <v>0</v>
      </c>
      <c r="L58" s="1648">
        <v>0</v>
      </c>
      <c r="M58" s="1532">
        <v>0</v>
      </c>
      <c r="N58" s="1532">
        <v>0</v>
      </c>
      <c r="O58" s="1532">
        <v>0</v>
      </c>
      <c r="P58" s="1643">
        <v>3</v>
      </c>
      <c r="Q58" s="514">
        <v>3</v>
      </c>
      <c r="R58" s="514">
        <v>3</v>
      </c>
      <c r="S58" s="751">
        <v>12</v>
      </c>
      <c r="T58" s="1325">
        <v>35</v>
      </c>
      <c r="U58" s="1325">
        <v>0</v>
      </c>
      <c r="V58" s="1325">
        <v>0</v>
      </c>
      <c r="W58" s="1325">
        <v>0</v>
      </c>
      <c r="X58" s="1325">
        <v>0</v>
      </c>
      <c r="Y58" s="1325">
        <v>0</v>
      </c>
      <c r="Z58" s="1325">
        <v>0</v>
      </c>
      <c r="AA58" s="1325">
        <v>0</v>
      </c>
      <c r="AB58" s="1325">
        <v>0</v>
      </c>
      <c r="AC58" s="1325">
        <v>24</v>
      </c>
      <c r="AD58" s="1325">
        <v>24</v>
      </c>
      <c r="AE58" s="1325">
        <v>24</v>
      </c>
      <c r="AF58" s="1325">
        <v>11</v>
      </c>
      <c r="AG58" s="1325">
        <v>3</v>
      </c>
      <c r="AH58" s="1325">
        <v>11</v>
      </c>
      <c r="AI58" s="1325">
        <v>0</v>
      </c>
      <c r="AJ58" s="1325">
        <v>4</v>
      </c>
      <c r="AK58" s="1325">
        <v>115</v>
      </c>
      <c r="AL58" s="681">
        <v>10</v>
      </c>
      <c r="AM58" s="681">
        <v>10</v>
      </c>
      <c r="AN58" s="681">
        <v>10</v>
      </c>
      <c r="AO58" s="681">
        <v>10</v>
      </c>
      <c r="AP58" s="681">
        <v>10</v>
      </c>
      <c r="AQ58" s="132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7DC302-4C7F-FEF9-A777-CAC34D604A0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992" width="10.57421875" hidden="1"/>
    <col min="2" max="2" style="11992" width="11.00390625" hidden="1" customWidth="1"/>
    <col min="3" max="3" style="11992" width="10.57421875" hidden="1"/>
    <col min="4" max="4" style="11992" width="11.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4.140625" hidden="1" customWidth="1"/>
    <col min="10" max="10" style="11992" width="9.8515625" hidden="1" customWidth="1"/>
    <col min="11" max="11" style="11992" width="14.7109375" hidden="1" customWidth="1"/>
    <col min="12" max="12" style="13388" width="19.140625" hidden="1" customWidth="1"/>
    <col min="13" max="14" style="13389" width="12.28125" hidden="1" customWidth="1"/>
    <col min="15" max="15" style="13389" width="23.421875" hidden="1" customWidth="1"/>
    <col min="16" max="16" style="13390" width="3.00390625" customWidth="1"/>
    <col min="17" max="18" style="13391" width="3.00390625" customWidth="1"/>
    <col min="19" max="19" style="13392" width="12.00390625" customWidth="1"/>
    <col min="20" max="20" style="11913" width="35.00390625" customWidth="1"/>
    <col min="21" max="21" style="11913" width="0.140625" customWidth="1"/>
    <col min="22" max="24" style="11913" width="24.7109375" hidden="1" customWidth="1"/>
    <col min="25" max="25" style="11913" width="11.7109375" hidden="1" customWidth="1"/>
    <col min="26" max="26" style="11913" width="3.7109375" hidden="1" customWidth="1"/>
    <col min="27" max="27" style="11913" width="11.7109375" hidden="1" customWidth="1"/>
    <col min="28" max="28" style="11913" width="8.57421875" hidden="1" customWidth="1"/>
    <col min="29" max="29" style="11913" width="24.7109375" customWidth="1"/>
    <col min="30" max="31" style="11913" width="24.00390625" customWidth="1"/>
    <col min="32" max="32" style="11913" width="11.00390625" customWidth="1"/>
    <col min="33" max="33" style="11913" width="3.7109375" customWidth="1"/>
    <col min="34" max="34" style="11913" width="11.00390625" customWidth="1"/>
    <col min="35" max="35" style="11913" width="8.57421875" hidden="1" customWidth="1"/>
    <col min="36" max="36" style="11913" width="4.00390625" customWidth="1"/>
    <col min="37" max="37" style="11913" width="115.00390625" customWidth="1"/>
    <col min="38" max="42" style="11993" width="10.00390625" customWidth="1"/>
    <col min="43" max="43" style="11913" width="10.57421875" hidden="1"/>
  </cols>
  <sheetData>
    <row customHeight="1" ht="22.5" hidden="1">
      <c r="X1" s="497"/>
      <c r="Y1" s="497"/>
      <c r="AE1" s="497"/>
      <c r="AF1" s="497"/>
      <c r="AQ1" s="1325" t="s">
        <v>14</v>
      </c>
    </row>
    <row customHeight="1" ht="23.25" hidden="1">
      <c r="A2" s="1533"/>
      <c r="B2" s="1533"/>
      <c r="C2" s="1533"/>
      <c r="D2" s="1533"/>
      <c r="E2" s="2428">
        <v>1</v>
      </c>
      <c r="F2" s="1533"/>
      <c r="G2" s="1533"/>
      <c r="H2" s="1533"/>
      <c r="I2" s="1533"/>
      <c r="J2" s="1533"/>
      <c r="K2" s="1533"/>
      <c r="L2" s="1534"/>
      <c r="M2" s="1535"/>
      <c r="N2" s="1535"/>
      <c r="O2" s="1535"/>
      <c r="P2" s="531"/>
      <c r="Q2" s="530"/>
      <c r="R2" s="525"/>
      <c r="S2" s="1663">
        <f>INDEX(PT_DIFFERENTIATION_NUM_NTAR,MATCH(A2,PT_DIFFERENTIATION_NTAR_ID,0))</f>
      </c>
      <c r="T2" s="468" t="s">
        <v>126</v>
      </c>
      <c r="U2" s="470"/>
      <c r="V2" s="2412"/>
      <c r="W2" s="2413"/>
      <c r="X2" s="2413"/>
      <c r="Y2" s="2413"/>
      <c r="Z2" s="2413"/>
      <c r="AA2" s="2413"/>
      <c r="AB2" s="2414"/>
      <c r="AC2" s="2412">
        <f>INDEX(PT_DIFFERENTIATION_NTAR,MATCH(A2,PT_DIFFERENTIATION_NTAR_ID,0))</f>
      </c>
      <c r="AD2" s="2413"/>
      <c r="AE2" s="2413"/>
      <c r="AF2" s="2413"/>
      <c r="AG2" s="2413"/>
      <c r="AH2" s="2413"/>
      <c r="AI2" s="2413"/>
      <c r="AJ2" s="2414"/>
      <c r="AK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670"/>
      <c r="AN2" s="670" t="str">
        <f>IF(T2="","",T2)</f>
        <v>Наименование тарифа</v>
      </c>
      <c r="AO2" s="670"/>
      <c r="AP2" s="670"/>
      <c r="AQ2" s="1325">
        <v>0</v>
      </c>
    </row>
    <row customHeight="1" ht="23.25" hidden="1">
      <c r="A3" s="1533"/>
      <c r="B3" s="1533"/>
      <c r="C3" s="1533"/>
      <c r="D3" s="1533"/>
      <c r="E3" s="2429"/>
      <c r="F3" s="2428">
        <v>1</v>
      </c>
      <c r="G3" s="1533"/>
      <c r="H3" s="1533"/>
      <c r="I3" s="1533"/>
      <c r="J3" s="1533"/>
      <c r="K3" s="1533"/>
      <c r="L3" s="1534"/>
      <c r="M3" s="1535"/>
      <c r="N3" s="1535"/>
      <c r="O3" s="1535"/>
      <c r="P3" s="1657"/>
      <c r="Q3" s="522"/>
      <c r="R3" s="523"/>
      <c r="S3" s="1663">
        <f>INDEX(PT_DIFFERENTIATION_NUM_TER,MATCH(B3,PT_DIFFERENTIATION_TER_ID,0))</f>
      </c>
      <c r="T3" s="478" t="s">
        <v>409</v>
      </c>
      <c r="U3" s="470"/>
      <c r="V3" s="2412"/>
      <c r="W3" s="2413"/>
      <c r="X3" s="2413"/>
      <c r="Y3" s="2413"/>
      <c r="Z3" s="2413"/>
      <c r="AA3" s="2413"/>
      <c r="AB3" s="2414"/>
      <c r="AC3" s="2412">
        <f>INDEX(PT_DIFFERENTIATION_TER,MATCH(B3,PT_DIFFERENTIATION_TER_ID,0))</f>
      </c>
      <c r="AD3" s="2413"/>
      <c r="AE3" s="2413"/>
      <c r="AF3" s="2413"/>
      <c r="AG3" s="2413"/>
      <c r="AH3" s="2413"/>
      <c r="AI3" s="2413"/>
      <c r="AJ3" s="2414"/>
      <c r="AK3" s="1428" t="s">
        <v>410</v>
      </c>
      <c r="AM3" s="670"/>
      <c r="AN3" s="670" t="str">
        <f>IF(T3="","",T3)</f>
        <v>Территория действия тарифа</v>
      </c>
      <c r="AO3" s="670"/>
      <c r="AP3" s="670"/>
      <c r="AQ3" s="1325">
        <v>0</v>
      </c>
    </row>
    <row customHeight="1" ht="23.25" hidden="1">
      <c r="A4" s="1533"/>
      <c r="B4" s="1533"/>
      <c r="C4" s="1533"/>
      <c r="D4" s="1533"/>
      <c r="E4" s="2429"/>
      <c r="F4" s="2429"/>
      <c r="G4" s="2428">
        <v>1</v>
      </c>
      <c r="H4" s="1533"/>
      <c r="I4" s="1533"/>
      <c r="J4" s="1533"/>
      <c r="K4" s="1533"/>
      <c r="L4" s="1534"/>
      <c r="M4" s="1535"/>
      <c r="N4" s="1535"/>
      <c r="O4" s="1535"/>
      <c r="P4" s="524"/>
      <c r="Q4" s="522"/>
      <c r="R4" s="523"/>
      <c r="S4" s="1663">
        <f>INDEX(PT_DIFFERENTIATION_NUM_CS,MATCH(C4,PT_DIFFERENTIATION_CS_ID,0))</f>
      </c>
      <c r="T4" s="479" t="s">
        <v>531</v>
      </c>
      <c r="U4" s="470"/>
      <c r="V4" s="2412"/>
      <c r="W4" s="2413"/>
      <c r="X4" s="2413"/>
      <c r="Y4" s="2413"/>
      <c r="Z4" s="2413"/>
      <c r="AA4" s="2413"/>
      <c r="AB4" s="2414"/>
      <c r="AC4" s="2412">
        <f>INDEX(PT_DIFFERENTIATION_CS,MATCH(C4,PT_DIFFERENTIATION_CS_ID,0))</f>
      </c>
      <c r="AD4" s="2413"/>
      <c r="AE4" s="2413"/>
      <c r="AF4" s="2413"/>
      <c r="AG4" s="2413"/>
      <c r="AH4" s="2413"/>
      <c r="AI4" s="2413"/>
      <c r="AJ4" s="2414"/>
      <c r="AK4" s="1428" t="s">
        <v>532</v>
      </c>
      <c r="AM4" s="670"/>
      <c r="AN4" s="670" t="str">
        <f>IF(T4="","",T4)</f>
        <v>Наименование централизованной системы водоотведения</v>
      </c>
      <c r="AO4" s="670"/>
      <c r="AP4" s="670"/>
      <c r="AQ4" s="1325">
        <v>0</v>
      </c>
    </row>
    <row customHeight="1" ht="23.25" hidden="1">
      <c r="A5" s="1533"/>
      <c r="B5" s="1533"/>
      <c r="C5" s="1533"/>
      <c r="D5" s="1533"/>
      <c r="E5" s="2429"/>
      <c r="F5" s="2429"/>
      <c r="G5" s="2429"/>
      <c r="H5" s="2429"/>
      <c r="I5" s="2426">
        <f>S4&amp;".1"</f>
      </c>
      <c r="J5" s="1533"/>
      <c r="K5" s="1533"/>
      <c r="L5" s="1534"/>
      <c r="P5" s="2427">
        <v>1</v>
      </c>
      <c r="Q5" s="1651"/>
      <c r="R5" s="526"/>
      <c r="S5" s="1663">
        <f>$I5</f>
      </c>
      <c r="T5" s="455" t="s">
        <v>498</v>
      </c>
      <c r="U5" s="470"/>
      <c r="V5" s="2520"/>
      <c r="W5" s="2521"/>
      <c r="X5" s="2521"/>
      <c r="Y5" s="2521"/>
      <c r="Z5" s="2521"/>
      <c r="AA5" s="2521"/>
      <c r="AB5" s="2522"/>
      <c r="AC5" s="2523"/>
      <c r="AD5" s="2524"/>
      <c r="AE5" s="2524"/>
      <c r="AF5" s="2524"/>
      <c r="AG5" s="2524"/>
      <c r="AH5" s="2524"/>
      <c r="AI5" s="2524"/>
      <c r="AJ5" s="2525"/>
      <c r="AK5" s="1428" t="s">
        <v>499</v>
      </c>
      <c r="AM5" s="670"/>
      <c r="AN5" s="670" t="str">
        <f>IF(T5="","",T5)</f>
        <v>Наименование признака дифференциации</v>
      </c>
      <c r="AO5" s="670"/>
      <c r="AP5" s="670"/>
      <c r="AQ5" s="1325">
        <v>0</v>
      </c>
    </row>
    <row customHeight="1" ht="23.25" hidden="1">
      <c r="A6" s="1533"/>
      <c r="B6" s="1533"/>
      <c r="C6" s="1533"/>
      <c r="D6" s="1533"/>
      <c r="E6" s="2429"/>
      <c r="F6" s="2429"/>
      <c r="G6" s="2429"/>
      <c r="H6" s="2429"/>
      <c r="I6" s="2456"/>
      <c r="J6" s="2426">
        <f>I5&amp;".1"</f>
      </c>
      <c r="K6" s="1533"/>
      <c r="L6" s="1534" t="s">
        <v>418</v>
      </c>
      <c r="P6" s="2427"/>
      <c r="Q6" s="2427">
        <v>1</v>
      </c>
      <c r="R6" s="527"/>
      <c r="S6" s="1663">
        <f>$J6</f>
      </c>
      <c r="T6" s="456" t="s">
        <v>419</v>
      </c>
      <c r="U6" s="470"/>
      <c r="V6" s="2415"/>
      <c r="W6" s="2416"/>
      <c r="X6" s="2416"/>
      <c r="Y6" s="2416"/>
      <c r="Z6" s="2416"/>
      <c r="AA6" s="2416"/>
      <c r="AB6" s="2417"/>
      <c r="AC6" s="2415"/>
      <c r="AD6" s="2416"/>
      <c r="AE6" s="2416"/>
      <c r="AF6" s="2416"/>
      <c r="AG6" s="2416"/>
      <c r="AH6" s="2416"/>
      <c r="AI6" s="2416"/>
      <c r="AJ6" s="2417"/>
      <c r="AK6" s="1477" t="s">
        <v>500</v>
      </c>
      <c r="AM6" s="670"/>
      <c r="AN6" s="670" t="str">
        <f>IF(T6="","",T6)</f>
        <v>Группа потребителей</v>
      </c>
      <c r="AO6" s="670"/>
      <c r="AP6" s="670"/>
      <c r="AQ6" s="1325">
        <v>0</v>
      </c>
    </row>
    <row customHeight="1" ht="23.25" hidden="1">
      <c r="A7" s="1533"/>
      <c r="B7" s="1533"/>
      <c r="C7" s="1533"/>
      <c r="D7" s="1533"/>
      <c r="E7" s="2429"/>
      <c r="F7" s="2429"/>
      <c r="G7" s="2429"/>
      <c r="H7" s="2429"/>
      <c r="I7" s="2456"/>
      <c r="J7" s="2456"/>
      <c r="K7" s="2426">
        <f>J6&amp;".1"</f>
      </c>
      <c r="L7" s="1534"/>
      <c r="P7" s="2427"/>
      <c r="Q7" s="2427"/>
      <c r="R7" s="527">
        <v>1</v>
      </c>
      <c r="S7" s="1663">
        <f>$K7</f>
      </c>
      <c r="T7" s="1607"/>
      <c r="U7" s="470"/>
      <c r="V7" s="921"/>
      <c r="W7" s="921"/>
      <c r="X7" s="1427"/>
      <c r="Y7" s="2435"/>
      <c r="Z7" s="2277" t="s">
        <v>64</v>
      </c>
      <c r="AA7" s="2435"/>
      <c r="AB7" s="2277" t="s">
        <v>64</v>
      </c>
      <c r="AC7" s="921"/>
      <c r="AD7" s="921"/>
      <c r="AE7" s="1427"/>
      <c r="AF7" s="2435"/>
      <c r="AG7" s="2277" t="s">
        <v>64</v>
      </c>
      <c r="AH7" s="2457"/>
      <c r="AI7" s="2277" t="s">
        <v>64</v>
      </c>
      <c r="AJ7" s="1608"/>
      <c r="AK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681">
        <f>STRCHECKDATE(V8:AJ8)</f>
      </c>
      <c r="AM7" s="670"/>
      <c r="AN7" s="670" t="str">
        <f>IF(T7="","",T7)</f>
        <v/>
      </c>
      <c r="AO7" s="670"/>
      <c r="AP7" s="670"/>
      <c r="AQ7" s="1325">
        <v>0</v>
      </c>
    </row>
    <row customHeight="1" ht="14.25" hidden="1">
      <c r="A8" s="1533"/>
      <c r="B8" s="1533"/>
      <c r="C8" s="1533"/>
      <c r="D8" s="1533"/>
      <c r="E8" s="2429"/>
      <c r="F8" s="2429"/>
      <c r="G8" s="2429"/>
      <c r="H8" s="2429"/>
      <c r="I8" s="2456"/>
      <c r="J8" s="2456"/>
      <c r="K8" s="2426"/>
      <c r="L8" s="1534"/>
      <c r="P8" s="2427"/>
      <c r="Q8" s="2427"/>
      <c r="R8" s="527"/>
      <c r="S8" s="1660"/>
      <c r="T8" s="470"/>
      <c r="U8" s="470"/>
      <c r="V8" s="495"/>
      <c r="W8" s="495"/>
      <c r="X8" s="498" t="str">
        <f>Y7&amp;"-"&amp;AA7</f>
        <v>-</v>
      </c>
      <c r="Y8" s="2436"/>
      <c r="Z8" s="2277"/>
      <c r="AA8" s="2436"/>
      <c r="AB8" s="2277"/>
      <c r="AC8" s="495"/>
      <c r="AD8" s="495"/>
      <c r="AE8" s="498" t="str">
        <f>AF7&amp;"-"&amp;AH7</f>
        <v>-</v>
      </c>
      <c r="AF8" s="2436"/>
      <c r="AG8" s="2277"/>
      <c r="AH8" s="2458"/>
      <c r="AI8" s="2277"/>
      <c r="AJ8" s="1609"/>
      <c r="AK8" s="2519"/>
      <c r="AM8" s="670"/>
      <c r="AN8" s="670" t="str">
        <f>IF(T8="","",T8)</f>
        <v/>
      </c>
      <c r="AO8" s="670"/>
      <c r="AP8" s="670"/>
      <c r="AQ8" s="1325">
        <v>0</v>
      </c>
    </row>
    <row customHeight="1" ht="21" hidden="1">
      <c r="A9" s="1533"/>
      <c r="B9" s="1533"/>
      <c r="C9" s="1533"/>
      <c r="D9" s="1533"/>
      <c r="E9" s="2429"/>
      <c r="F9" s="2429"/>
      <c r="G9" s="2429"/>
      <c r="H9" s="2429"/>
      <c r="I9" s="2456"/>
      <c r="J9" s="2426"/>
      <c r="K9" s="1533"/>
      <c r="L9" s="1534"/>
      <c r="P9" s="2427"/>
      <c r="Q9" s="2427"/>
      <c r="R9" s="526"/>
      <c r="S9" s="1448"/>
      <c r="T9" s="457" t="s">
        <v>501</v>
      </c>
      <c r="U9" s="537"/>
      <c r="V9" s="537"/>
      <c r="W9" s="537"/>
      <c r="X9" s="537"/>
      <c r="Y9" s="537"/>
      <c r="Z9" s="537"/>
      <c r="AA9" s="537"/>
      <c r="AB9" s="537"/>
      <c r="AC9" s="537"/>
      <c r="AD9" s="537"/>
      <c r="AE9" s="537"/>
      <c r="AF9" s="537"/>
      <c r="AG9" s="537"/>
      <c r="AH9" s="537"/>
      <c r="AI9" s="537"/>
      <c r="AJ9" s="537"/>
      <c r="AK9" s="1428" t="s">
        <v>502</v>
      </c>
      <c r="AM9" s="670"/>
      <c r="AN9" s="670" t="str">
        <f>IF(T9="","",T9)</f>
        <v>Добавить значение признака дифференциации</v>
      </c>
      <c r="AO9" s="670"/>
      <c r="AP9" s="670"/>
      <c r="AQ9" s="1325">
        <v>0</v>
      </c>
    </row>
    <row customHeight="1" ht="21" hidden="1">
      <c r="A10" s="1533"/>
      <c r="B10" s="1533"/>
      <c r="C10" s="1533"/>
      <c r="D10" s="1533"/>
      <c r="E10" s="2429"/>
      <c r="F10" s="2429"/>
      <c r="G10" s="2429"/>
      <c r="H10" s="2429"/>
      <c r="I10" s="2426"/>
      <c r="J10" s="1533"/>
      <c r="K10" s="1533"/>
      <c r="L10" s="1534"/>
      <c r="P10" s="2427"/>
      <c r="Q10" s="1651"/>
      <c r="R10" s="526"/>
      <c r="S10" s="1448"/>
      <c r="T10" s="535" t="s">
        <v>424</v>
      </c>
      <c r="U10" s="537"/>
      <c r="V10" s="537"/>
      <c r="W10" s="537"/>
      <c r="X10" s="537"/>
      <c r="Y10" s="537"/>
      <c r="Z10" s="537"/>
      <c r="AA10" s="537"/>
      <c r="AB10" s="536"/>
      <c r="AC10" s="537"/>
      <c r="AD10" s="537"/>
      <c r="AE10" s="537"/>
      <c r="AF10" s="537"/>
      <c r="AG10" s="537"/>
      <c r="AH10" s="537"/>
      <c r="AI10" s="536"/>
      <c r="AJ10" s="537"/>
      <c r="AK10" s="1610"/>
      <c r="AM10" s="670"/>
      <c r="AN10" s="670" t="str">
        <f>IF(T10="","",T10)</f>
        <v>Добавить группу потребителей</v>
      </c>
      <c r="AO10" s="670"/>
      <c r="AP10" s="670"/>
      <c r="AQ10" s="1325">
        <v>0</v>
      </c>
    </row>
    <row customHeight="1" ht="21" hidden="1">
      <c r="A11" s="1533"/>
      <c r="B11" s="1533"/>
      <c r="C11" s="1533"/>
      <c r="D11" s="1533"/>
      <c r="E11" s="2429"/>
      <c r="F11" s="2429"/>
      <c r="G11" s="2429"/>
      <c r="H11" s="2428"/>
      <c r="I11" s="1533"/>
      <c r="J11" s="1533"/>
      <c r="K11" s="1533"/>
      <c r="L11" s="1534"/>
      <c r="M11" s="1535"/>
      <c r="N11" s="1535"/>
      <c r="O11" s="707"/>
      <c r="P11" s="530"/>
      <c r="Q11" s="545"/>
      <c r="R11" s="525"/>
      <c r="S11" s="1448"/>
      <c r="T11" s="542" t="s">
        <v>503</v>
      </c>
      <c r="U11" s="537"/>
      <c r="V11" s="537"/>
      <c r="W11" s="537"/>
      <c r="X11" s="537"/>
      <c r="Y11" s="537"/>
      <c r="Z11" s="537"/>
      <c r="AA11" s="537"/>
      <c r="AB11" s="536"/>
      <c r="AC11" s="537"/>
      <c r="AD11" s="537"/>
      <c r="AE11" s="537"/>
      <c r="AF11" s="537"/>
      <c r="AG11" s="537"/>
      <c r="AH11" s="537"/>
      <c r="AI11" s="536"/>
      <c r="AJ11" s="537"/>
      <c r="AK11" s="473"/>
      <c r="AM11" s="670"/>
      <c r="AN11" s="670" t="str">
        <f>IF(T11="","",T11)</f>
        <v>Добавить наименование признака дифференциации</v>
      </c>
      <c r="AO11" s="670"/>
      <c r="AP11" s="670"/>
      <c r="AQ11" s="1325">
        <v>0</v>
      </c>
    </row>
    <row s="11993" customFormat="1" customHeight="1" ht="14.25" hidden="1">
      <c r="A12" s="1513"/>
      <c r="B12" s="1513"/>
      <c r="C12" s="1484"/>
      <c r="D12" s="1484"/>
      <c r="E12" s="2429"/>
      <c r="F12" s="2428"/>
      <c r="G12" s="1484"/>
      <c r="H12" s="1484"/>
      <c r="I12" s="1484"/>
      <c r="J12" s="1484"/>
      <c r="K12" s="1484"/>
      <c r="L12" s="1664"/>
      <c r="M12" s="1491"/>
      <c r="N12" s="1491"/>
      <c r="P12" s="1486"/>
      <c r="Q12" s="1487"/>
      <c r="R12" s="1486"/>
      <c r="S12" s="1492"/>
      <c r="T12" s="1495" t="s">
        <v>166</v>
      </c>
      <c r="U12" s="1494"/>
      <c r="V12" s="1494"/>
      <c r="W12" s="1494"/>
      <c r="X12" s="1494"/>
      <c r="Y12" s="1494"/>
      <c r="Z12" s="1494"/>
      <c r="AA12" s="1494"/>
      <c r="AB12" s="1494"/>
      <c r="AC12" s="1494"/>
      <c r="AD12" s="1494"/>
      <c r="AE12" s="1494"/>
      <c r="AF12" s="1494"/>
      <c r="AG12" s="1494"/>
      <c r="AH12" s="1494"/>
      <c r="AI12" s="1494"/>
      <c r="AJ12" s="1494"/>
      <c r="AK12" s="1494"/>
      <c r="AM12" s="959"/>
      <c r="AN12" s="959" t="str">
        <f>IF(T12="","",T12)</f>
        <v>Добавить централизованную систему для дифференциации</v>
      </c>
      <c r="AO12" s="959"/>
      <c r="AP12" s="959"/>
      <c r="AQ12" s="688">
        <v>0</v>
      </c>
    </row>
    <row s="11993" customFormat="1" customHeight="1" ht="14.25" hidden="1">
      <c r="A13" s="1513"/>
      <c r="B13" s="1513"/>
      <c r="C13" s="1513"/>
      <c r="D13" s="1513"/>
      <c r="E13" s="2428"/>
      <c r="F13" s="1513"/>
      <c r="G13" s="1513"/>
      <c r="H13" s="1513"/>
      <c r="I13" s="1513"/>
      <c r="J13" s="1513"/>
      <c r="K13" s="1513"/>
      <c r="L13" s="1516"/>
      <c r="M13" s="1491"/>
      <c r="N13" s="1491"/>
      <c r="O13" s="688"/>
      <c r="P13" s="550"/>
      <c r="Q13" s="1514"/>
      <c r="R13" s="550"/>
      <c r="S13" s="1492"/>
      <c r="T13" s="1495" t="s">
        <v>167</v>
      </c>
      <c r="U13" s="1494"/>
      <c r="V13" s="1494"/>
      <c r="W13" s="1494"/>
      <c r="X13" s="1494"/>
      <c r="Y13" s="1494"/>
      <c r="Z13" s="1494"/>
      <c r="AA13" s="1494"/>
      <c r="AB13" s="1494"/>
      <c r="AC13" s="1494"/>
      <c r="AD13" s="1494"/>
      <c r="AE13" s="1494"/>
      <c r="AF13" s="1494"/>
      <c r="AG13" s="1494"/>
      <c r="AH13" s="1494"/>
      <c r="AI13" s="1494"/>
      <c r="AJ13" s="1494"/>
      <c r="AK13" s="1494"/>
      <c r="AM13" s="670"/>
      <c r="AN13" s="670" t="str">
        <f>IF(T13="","",T13)</f>
        <v>Добавить территорию для дифференциации</v>
      </c>
      <c r="AO13" s="670"/>
      <c r="AP13" s="670"/>
      <c r="AQ13" s="681">
        <v>0</v>
      </c>
    </row>
    <row customHeight="1" ht="14.25" hidden="1">
      <c r="AB14" s="497"/>
      <c r="AI14" s="497"/>
      <c r="AQ14" s="1325">
        <v>0</v>
      </c>
    </row>
    <row customHeight="1" ht="14.25" hidden="1">
      <c r="AC15" s="1530"/>
      <c r="AD15" s="1530"/>
      <c r="AE15" s="1531"/>
      <c r="AF15" s="2437"/>
      <c r="AG15" s="2438" t="s">
        <v>64</v>
      </c>
      <c r="AH15" s="2437"/>
      <c r="AI15" s="2438" t="s">
        <v>64</v>
      </c>
      <c r="AQ15" s="1325">
        <v>0</v>
      </c>
    </row>
    <row customHeight="1" ht="14.25" hidden="1">
      <c r="AC16" s="1530"/>
      <c r="AD16" s="1530"/>
      <c r="AE16" s="498" t="str">
        <f>AF15&amp;"-"&amp;AH15</f>
        <v>-</v>
      </c>
      <c r="AF16" s="2438"/>
      <c r="AG16" s="2438"/>
      <c r="AH16" s="2438"/>
      <c r="AI16" s="2438"/>
      <c r="AQ16" s="1325">
        <v>0</v>
      </c>
    </row>
    <row customHeight="1" ht="14.25" hidden="1">
      <c r="AI17" s="497"/>
      <c r="AQ17" s="1325">
        <v>0</v>
      </c>
    </row>
    <row s="11992" customFormat="1" customHeight="1" ht="22.5" hidden="1">
      <c r="L18" s="1648"/>
      <c r="M18" s="1532"/>
      <c r="N18" s="1532"/>
      <c r="O18" s="1537" t="s">
        <v>426</v>
      </c>
      <c r="P18" s="1532"/>
      <c r="Q18" s="1541"/>
      <c r="R18" s="1541"/>
      <c r="S18" s="899"/>
      <c r="Y18" s="1537"/>
      <c r="AA18" s="1537"/>
      <c r="AB18" s="1536"/>
      <c r="AF18" s="1537"/>
      <c r="AH18" s="1537"/>
      <c r="AI18" s="1536"/>
      <c r="AL18" s="681"/>
      <c r="AM18" s="681"/>
      <c r="AN18" s="681"/>
      <c r="AO18" s="681"/>
      <c r="AP18" s="681"/>
      <c r="AQ18" s="1330">
        <v>0</v>
      </c>
    </row>
    <row s="11992" customFormat="1" customHeight="1" ht="14.25" hidden="1">
      <c r="L19" s="1648"/>
      <c r="M19" s="1532"/>
      <c r="N19" s="1532"/>
      <c r="O19" s="1532"/>
      <c r="P19" s="1532"/>
      <c r="Q19" s="1541"/>
      <c r="R19" s="1541"/>
      <c r="S19" s="899"/>
      <c r="AB19" s="1536"/>
      <c r="AI19" s="1536"/>
      <c r="AL19" s="681"/>
      <c r="AM19" s="681"/>
      <c r="AN19" s="681"/>
      <c r="AO19" s="681"/>
      <c r="AP19" s="681"/>
      <c r="AQ19" s="1330">
        <v>0</v>
      </c>
    </row>
    <row s="11992" customFormat="1" customHeight="1" ht="12" hidden="1">
      <c r="L20" s="1648"/>
      <c r="M20" s="1532"/>
      <c r="N20" s="1532"/>
      <c r="O20" s="1534" t="s">
        <v>427</v>
      </c>
      <c r="P20" s="1532"/>
      <c r="Q20" s="1612"/>
      <c r="R20" s="1612"/>
      <c r="S20" s="899"/>
      <c r="T20" s="1330" t="s">
        <v>428</v>
      </c>
      <c r="Z20" s="356" t="s">
        <v>429</v>
      </c>
      <c r="AB20" s="356" t="s">
        <v>430</v>
      </c>
      <c r="AC20" s="1330" t="s">
        <v>428</v>
      </c>
      <c r="AG20" s="356" t="s">
        <v>431</v>
      </c>
      <c r="AI20" s="356" t="s">
        <v>430</v>
      </c>
      <c r="AQ20" s="1330">
        <v>0</v>
      </c>
    </row>
    <row customHeight="1" ht="14.25" hidden="1">
      <c r="O21" s="1534"/>
      <c r="AQ21" s="1325">
        <v>0</v>
      </c>
    </row>
    <row customHeight="1" ht="14.25" hidden="1">
      <c r="O22" s="1534"/>
      <c r="AQ22" s="1325">
        <v>0</v>
      </c>
    </row>
    <row customHeight="1" ht="14.699999999999998">
      <c r="Q23" s="546"/>
      <c r="R23" s="546"/>
      <c r="S23" s="1445"/>
      <c r="T23" s="533"/>
      <c r="U23" s="533"/>
      <c r="V23" s="679"/>
      <c r="W23" s="679"/>
      <c r="X23" s="679"/>
      <c r="Y23" s="679"/>
      <c r="Z23" s="679"/>
      <c r="AA23" s="679"/>
      <c r="AB23" s="679"/>
      <c r="AC23" s="679"/>
      <c r="AD23" s="679"/>
      <c r="AE23" s="679"/>
      <c r="AF23" s="679"/>
      <c r="AG23" s="679"/>
      <c r="AH23" s="679"/>
      <c r="AI23" s="679"/>
      <c r="AQ23" s="1325">
        <v>14</v>
      </c>
    </row>
    <row customHeight="1" ht="14.699999999999998">
      <c r="Q24" s="546"/>
      <c r="R24" s="546"/>
      <c r="S24" s="2418"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418"/>
      <c r="U24" s="2418"/>
      <c r="V24" s="2418"/>
      <c r="W24" s="2418"/>
      <c r="X24" s="2418"/>
      <c r="Y24" s="2418"/>
      <c r="Z24" s="2418"/>
      <c r="AA24" s="2418"/>
      <c r="AB24" s="2418"/>
      <c r="AC24" s="2418"/>
      <c r="AD24" s="2418"/>
      <c r="AE24" s="2418"/>
      <c r="AF24" s="2418"/>
      <c r="AG24" s="2418"/>
      <c r="AH24" s="2418"/>
      <c r="AI24" s="1413"/>
      <c r="AQ24" s="1325">
        <v>14</v>
      </c>
    </row>
    <row customHeight="1" ht="14.699999999999998">
      <c r="Q25" s="546"/>
      <c r="R25" s="546"/>
      <c r="S25" s="2419" t="str">
        <f>IF(org=0,"Не определено",org)</f>
        <v>Филиал "Шатурская ГРЭС" ПАО "Юнипро"</v>
      </c>
      <c r="T25" s="2419"/>
      <c r="U25" s="2419"/>
      <c r="V25" s="2419"/>
      <c r="W25" s="2419"/>
      <c r="X25" s="2419"/>
      <c r="Y25" s="2419"/>
      <c r="Z25" s="2419"/>
      <c r="AA25" s="2419"/>
      <c r="AB25" s="2419"/>
      <c r="AC25" s="2419"/>
      <c r="AD25" s="2419"/>
      <c r="AE25" s="2419"/>
      <c r="AF25" s="2419"/>
      <c r="AG25" s="2419"/>
      <c r="AH25" s="2419"/>
      <c r="AI25" s="1413"/>
      <c r="AQ25" s="1325">
        <v>14</v>
      </c>
    </row>
    <row customHeight="1" ht="14.25">
      <c r="Q26" s="546"/>
      <c r="R26" s="546"/>
      <c r="S26" s="1445"/>
      <c r="T26" s="533"/>
      <c r="U26" s="533"/>
      <c r="V26" s="492"/>
      <c r="W26" s="492"/>
      <c r="X26" s="492"/>
      <c r="Y26" s="492"/>
      <c r="Z26" s="492"/>
      <c r="AA26" s="492"/>
      <c r="AB26" s="492"/>
      <c r="AC26" s="492"/>
      <c r="AD26" s="492"/>
      <c r="AE26" s="492"/>
      <c r="AF26" s="492"/>
      <c r="AG26" s="492"/>
      <c r="AH26" s="492"/>
      <c r="AI26" s="492"/>
      <c r="AJ26" s="679"/>
      <c r="AQ26" s="1325">
        <v>0</v>
      </c>
    </row>
    <row s="12119" customFormat="1" customHeight="1" ht="25.5">
      <c r="A27" s="1538"/>
      <c r="B27" s="1538"/>
      <c r="C27" s="1538"/>
      <c r="D27" s="1538"/>
      <c r="E27" s="1538"/>
      <c r="F27" s="1538"/>
      <c r="G27" s="1538"/>
      <c r="H27" s="1538"/>
      <c r="I27" s="1538"/>
      <c r="J27" s="1538"/>
      <c r="K27" s="1538"/>
      <c r="L27" s="1539"/>
      <c r="M27" s="1538"/>
      <c r="N27" s="1538"/>
      <c r="O27" s="1538"/>
      <c r="S27" s="2420" t="s">
        <v>42</v>
      </c>
      <c r="T27" s="2420"/>
      <c r="U27" s="1542"/>
      <c r="V27" s="2421" t="str">
        <f>IF(TITLE_NAME_OR_PR_CHANGE="",IF(TITLE_NAME_OR_PR="","",TITLE_NAME_OR_PR),TITLE_NAME_OR_PR_CHANGE)</f>
        <v>Комитет по ценам и тарифам Московской области</v>
      </c>
      <c r="W27" s="2421"/>
      <c r="X27" s="2421"/>
      <c r="Y27" s="2421"/>
      <c r="Z27" s="2421"/>
      <c r="AA27" s="2421"/>
      <c r="AB27" s="496"/>
      <c r="AC27" s="2421" t="str">
        <f>IF(TITLE_NAME_OR_PR_CHANGE="",IF(TITLE_NAME_OR_PR="","",TITLE_NAME_OR_PR),TITLE_NAME_OR_PR_CHANGE)</f>
        <v>Комитет по ценам и тарифам Московской области</v>
      </c>
      <c r="AD27" s="2421"/>
      <c r="AE27" s="2421"/>
      <c r="AF27" s="2421"/>
      <c r="AG27" s="2421"/>
      <c r="AH27" s="2421"/>
      <c r="AI27" s="496"/>
      <c r="AJ27" s="496"/>
      <c r="AK27" s="450"/>
      <c r="AL27" s="538"/>
      <c r="AM27" s="538"/>
      <c r="AN27" s="538"/>
      <c r="AO27" s="538"/>
      <c r="AP27" s="538"/>
      <c r="AQ27" s="588">
        <v>0</v>
      </c>
    </row>
    <row s="12119" customFormat="1" customHeight="1" ht="18.75">
      <c r="A28" s="1538"/>
      <c r="B28" s="1538"/>
      <c r="C28" s="1538"/>
      <c r="D28" s="1538"/>
      <c r="E28" s="1538"/>
      <c r="F28" s="1538"/>
      <c r="G28" s="1538"/>
      <c r="H28" s="1538"/>
      <c r="I28" s="1538"/>
      <c r="J28" s="1538"/>
      <c r="K28" s="1538"/>
      <c r="L28" s="1539"/>
      <c r="M28" s="1538"/>
      <c r="N28" s="1538"/>
      <c r="O28" s="1538"/>
      <c r="S28" s="2420" t="s">
        <v>432</v>
      </c>
      <c r="T28" s="2420"/>
      <c r="U28" s="1542"/>
      <c r="V28" s="2434" t="str">
        <f>IF(TITLE_DATE_PR_CHANGE="",IF(TITLE_DATE_PR="","",TITLE_DATE_PR),TITLE_DATE_PR_CHANGE)</f>
        <v>45646.459814814814</v>
      </c>
      <c r="W28" s="2434"/>
      <c r="X28" s="2434"/>
      <c r="Y28" s="2434"/>
      <c r="Z28" s="2434"/>
      <c r="AA28" s="2434"/>
      <c r="AB28" s="496"/>
      <c r="AC28" s="2434" t="str">
        <f>IF(TITLE_DATE_PR_CHANGE="",IF(TITLE_DATE_PR="","",TITLE_DATE_PR),TITLE_DATE_PR_CHANGE)</f>
        <v>45646.459814814814</v>
      </c>
      <c r="AD28" s="2434"/>
      <c r="AE28" s="2434"/>
      <c r="AF28" s="2434"/>
      <c r="AG28" s="2434"/>
      <c r="AH28" s="2434"/>
      <c r="AI28" s="496"/>
      <c r="AJ28" s="496"/>
      <c r="AK28" s="450"/>
      <c r="AL28" s="538"/>
      <c r="AM28" s="538"/>
      <c r="AN28" s="538"/>
      <c r="AO28" s="538"/>
      <c r="AP28" s="538"/>
      <c r="AQ28" s="588">
        <v>0</v>
      </c>
    </row>
    <row s="12119" customFormat="1" customHeight="1" ht="18.75">
      <c r="A29" s="1538"/>
      <c r="B29" s="1538"/>
      <c r="C29" s="1538"/>
      <c r="D29" s="1538"/>
      <c r="E29" s="1538"/>
      <c r="F29" s="1538"/>
      <c r="G29" s="1538"/>
      <c r="H29" s="1538"/>
      <c r="I29" s="1538"/>
      <c r="J29" s="1538"/>
      <c r="K29" s="1538"/>
      <c r="L29" s="1539"/>
      <c r="M29" s="1538"/>
      <c r="N29" s="1538"/>
      <c r="O29" s="1538"/>
      <c r="S29" s="2420" t="s">
        <v>433</v>
      </c>
      <c r="T29" s="2420"/>
      <c r="U29" s="1542"/>
      <c r="V29" s="2421" t="str">
        <f>IF(TITLE_NUMBER_PR_CHANGE="",IF(TITLE_NUMBER_PR="","",TITLE_NUMBER_PR),TITLE_NUMBER_PR_CHANGE)</f>
        <v>329-Р</v>
      </c>
      <c r="W29" s="2421"/>
      <c r="X29" s="2421"/>
      <c r="Y29" s="2421"/>
      <c r="Z29" s="2421"/>
      <c r="AA29" s="2421"/>
      <c r="AB29" s="496"/>
      <c r="AC29" s="2421" t="str">
        <f>IF(TITLE_NUMBER_PR_CHANGE="",IF(TITLE_NUMBER_PR="","",TITLE_NUMBER_PR),TITLE_NUMBER_PR_CHANGE)</f>
        <v>329-Р</v>
      </c>
      <c r="AD29" s="2421"/>
      <c r="AE29" s="2421"/>
      <c r="AF29" s="2421"/>
      <c r="AG29" s="2421"/>
      <c r="AH29" s="2421"/>
      <c r="AI29" s="496"/>
      <c r="AJ29" s="496"/>
      <c r="AK29" s="450"/>
      <c r="AL29" s="538"/>
      <c r="AM29" s="538"/>
      <c r="AN29" s="538"/>
      <c r="AO29" s="538"/>
      <c r="AP29" s="538"/>
      <c r="AQ29" s="588">
        <v>0</v>
      </c>
    </row>
    <row s="12119" customFormat="1" customHeight="1" ht="18.75">
      <c r="A30" s="1538"/>
      <c r="B30" s="1538"/>
      <c r="C30" s="1538"/>
      <c r="D30" s="1538"/>
      <c r="E30" s="1538"/>
      <c r="F30" s="1538"/>
      <c r="G30" s="1538"/>
      <c r="H30" s="1538"/>
      <c r="I30" s="1538"/>
      <c r="J30" s="1538"/>
      <c r="K30" s="1538"/>
      <c r="L30" s="1539"/>
      <c r="M30" s="1538"/>
      <c r="N30" s="1538"/>
      <c r="O30" s="1538"/>
      <c r="S30" s="2420" t="s">
        <v>44</v>
      </c>
      <c r="T30" s="2420"/>
      <c r="U30" s="1542"/>
      <c r="V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421"/>
      <c r="X30" s="2421"/>
      <c r="Y30" s="2421"/>
      <c r="Z30" s="2421"/>
      <c r="AA30" s="2421"/>
      <c r="AB30" s="496"/>
      <c r="AC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D30" s="2421"/>
      <c r="AE30" s="2421"/>
      <c r="AF30" s="2421"/>
      <c r="AG30" s="2421"/>
      <c r="AH30" s="2421"/>
      <c r="AI30" s="496"/>
      <c r="AJ30" s="496"/>
      <c r="AK30" s="450"/>
      <c r="AL30" s="538"/>
      <c r="AM30" s="538"/>
      <c r="AN30" s="538"/>
      <c r="AO30" s="538"/>
      <c r="AP30" s="538"/>
      <c r="AQ30" s="588">
        <v>0</v>
      </c>
    </row>
    <row customHeight="1" ht="14.25" hidden="1">
      <c r="Q31" s="546"/>
      <c r="R31" s="546"/>
      <c r="S31" s="1445"/>
      <c r="T31" s="533"/>
      <c r="U31" s="533"/>
      <c r="V31" s="492"/>
      <c r="W31" s="492"/>
      <c r="X31" s="492"/>
      <c r="Y31" s="492"/>
      <c r="Z31" s="492"/>
      <c r="AA31" s="492"/>
      <c r="AB31" s="492"/>
      <c r="AC31" s="492"/>
      <c r="AD31" s="492"/>
      <c r="AE31" s="492"/>
      <c r="AF31" s="492"/>
      <c r="AG31" s="492"/>
      <c r="AH31" s="492"/>
      <c r="AI31" s="492"/>
      <c r="AJ31" s="679"/>
      <c r="AQ31" s="1325">
        <v>0</v>
      </c>
    </row>
    <row s="12119" customFormat="1" customHeight="1" ht="18.75" hidden="1">
      <c r="A32" s="1538"/>
      <c r="B32" s="1538"/>
      <c r="C32" s="1538"/>
      <c r="D32" s="1538"/>
      <c r="E32" s="1538"/>
      <c r="F32" s="1538"/>
      <c r="G32" s="1538"/>
      <c r="H32" s="1538"/>
      <c r="I32" s="1538"/>
      <c r="J32" s="1538"/>
      <c r="K32" s="1538"/>
      <c r="L32" s="1539"/>
      <c r="M32" s="1538"/>
      <c r="N32" s="1538"/>
      <c r="O32" s="1538"/>
      <c r="S32" s="2420" t="s">
        <v>434</v>
      </c>
      <c r="T32" s="2420"/>
      <c r="U32" s="1542"/>
      <c r="V32" s="2434" t="str">
        <f>IF(TITLE_DATE_PR_CHANGE="",IF(TITLE_DATE_PR="","",TITLE_DATE_PR),TITLE_DATE_PR_CHANGE)</f>
        <v>45646.459814814814</v>
      </c>
      <c r="W32" s="2434"/>
      <c r="X32" s="2434"/>
      <c r="Y32" s="2434"/>
      <c r="Z32" s="2434"/>
      <c r="AA32" s="2434"/>
      <c r="AB32" s="496"/>
      <c r="AC32" s="2434" t="str">
        <f>IF(TITLE_DATE_PR_CHANGE="",IF(TITLE_DATE_PR="","",TITLE_DATE_PR),TITLE_DATE_PR_CHANGE)</f>
        <v>45646.459814814814</v>
      </c>
      <c r="AD32" s="2434"/>
      <c r="AE32" s="2434"/>
      <c r="AF32" s="2434"/>
      <c r="AG32" s="2434"/>
      <c r="AH32" s="2434"/>
      <c r="AI32" s="496"/>
      <c r="AJ32" s="496"/>
      <c r="AK32" s="450"/>
      <c r="AL32" s="538"/>
      <c r="AM32" s="538"/>
      <c r="AN32" s="538"/>
      <c r="AO32" s="538"/>
      <c r="AP32" s="538"/>
      <c r="AQ32" s="588">
        <v>0</v>
      </c>
    </row>
    <row s="12119" customFormat="1" customHeight="1" ht="18.75" hidden="1">
      <c r="A33" s="1538"/>
      <c r="B33" s="1538"/>
      <c r="C33" s="1538"/>
      <c r="D33" s="1538"/>
      <c r="E33" s="1538"/>
      <c r="F33" s="1538"/>
      <c r="G33" s="1538"/>
      <c r="H33" s="1538"/>
      <c r="I33" s="1538"/>
      <c r="J33" s="1538"/>
      <c r="K33" s="1538"/>
      <c r="L33" s="1539"/>
      <c r="M33" s="1538"/>
      <c r="N33" s="1538"/>
      <c r="O33" s="1538"/>
      <c r="S33" s="2420" t="s">
        <v>435</v>
      </c>
      <c r="T33" s="2420"/>
      <c r="U33" s="1542"/>
      <c r="V33" s="2421" t="str">
        <f>IF(TITLE_NUMBER_PR_CHANGE="",IF(TITLE_NUMBER_PR="","",TITLE_NUMBER_PR),TITLE_NUMBER_PR_CHANGE)</f>
        <v>329-Р</v>
      </c>
      <c r="W33" s="2421"/>
      <c r="X33" s="2421"/>
      <c r="Y33" s="2421"/>
      <c r="Z33" s="2421"/>
      <c r="AA33" s="2421"/>
      <c r="AB33" s="496"/>
      <c r="AC33" s="2421" t="str">
        <f>IF(TITLE_NUMBER_PR_CHANGE="",IF(TITLE_NUMBER_PR="","",TITLE_NUMBER_PR),TITLE_NUMBER_PR_CHANGE)</f>
        <v>329-Р</v>
      </c>
      <c r="AD33" s="2421"/>
      <c r="AE33" s="2421"/>
      <c r="AF33" s="2421"/>
      <c r="AG33" s="2421"/>
      <c r="AH33" s="2421"/>
      <c r="AI33" s="496"/>
      <c r="AJ33" s="496"/>
      <c r="AK33" s="450"/>
      <c r="AL33" s="538"/>
      <c r="AM33" s="538"/>
      <c r="AN33" s="538"/>
      <c r="AO33" s="538"/>
      <c r="AP33" s="538"/>
      <c r="AQ33" s="588">
        <v>0</v>
      </c>
    </row>
    <row s="12119" customFormat="1" customHeight="1" ht="1.05">
      <c r="A34" s="1538"/>
      <c r="B34" s="1538"/>
      <c r="C34" s="1538"/>
      <c r="D34" s="1538"/>
      <c r="E34" s="1538"/>
      <c r="F34" s="1538"/>
      <c r="G34" s="1538"/>
      <c r="H34" s="1538"/>
      <c r="I34" s="1538"/>
      <c r="J34" s="1538"/>
      <c r="K34" s="1538"/>
      <c r="L34" s="1539"/>
      <c r="M34" s="1538"/>
      <c r="N34" s="1538"/>
      <c r="O34" s="1538"/>
      <c r="S34" s="493"/>
      <c r="T34" s="493"/>
      <c r="U34" s="1658"/>
      <c r="V34" s="496"/>
      <c r="W34" s="496"/>
      <c r="X34" s="496"/>
      <c r="Y34" s="496"/>
      <c r="Z34" s="496"/>
      <c r="AA34" s="496"/>
      <c r="AB34" s="448" t="s">
        <v>436</v>
      </c>
      <c r="AC34" s="496"/>
      <c r="AD34" s="496"/>
      <c r="AE34" s="496"/>
      <c r="AF34" s="496"/>
      <c r="AG34" s="496"/>
      <c r="AH34" s="496"/>
      <c r="AI34" s="448" t="s">
        <v>436</v>
      </c>
      <c r="AL34" s="538"/>
      <c r="AM34" s="538"/>
      <c r="AN34" s="538"/>
      <c r="AO34" s="538"/>
      <c r="AP34" s="538"/>
      <c r="AQ34" s="588">
        <v>1</v>
      </c>
    </row>
    <row customHeight="1" ht="14.699999999999998">
      <c r="Q35" s="546"/>
      <c r="R35" s="546"/>
      <c r="S35" s="1445"/>
      <c r="T35" s="533"/>
      <c r="U35" s="1414"/>
      <c r="V35" s="2422"/>
      <c r="W35" s="2422"/>
      <c r="X35" s="2422"/>
      <c r="Y35" s="2422"/>
      <c r="Z35" s="2422"/>
      <c r="AA35" s="2422"/>
      <c r="AB35" s="2422"/>
      <c r="AC35" s="2422"/>
      <c r="AD35" s="2422"/>
      <c r="AE35" s="2422"/>
      <c r="AF35" s="2422"/>
      <c r="AG35" s="2422"/>
      <c r="AH35" s="2422"/>
      <c r="AI35" s="2422"/>
      <c r="AQ35" s="1325">
        <v>14</v>
      </c>
    </row>
    <row customHeight="1" ht="14.699999999999998">
      <c r="Q36" s="546"/>
      <c r="R36" s="546"/>
      <c r="S36" s="2297" t="s">
        <v>312</v>
      </c>
      <c r="T36" s="2297"/>
      <c r="U36" s="2297"/>
      <c r="V36" s="2297"/>
      <c r="W36" s="2297"/>
      <c r="X36" s="2297"/>
      <c r="Y36" s="2297"/>
      <c r="Z36" s="2297"/>
      <c r="AA36" s="2297"/>
      <c r="AB36" s="2297"/>
      <c r="AC36" s="2297"/>
      <c r="AD36" s="2297"/>
      <c r="AE36" s="2297"/>
      <c r="AF36" s="2297"/>
      <c r="AG36" s="2297"/>
      <c r="AH36" s="2297"/>
      <c r="AI36" s="2297"/>
      <c r="AJ36" s="2297"/>
      <c r="AK36" s="2297" t="s">
        <v>313</v>
      </c>
      <c r="AQ36" s="1325">
        <v>14</v>
      </c>
    </row>
    <row customHeight="1" ht="14.699999999999998">
      <c r="Q37" s="546"/>
      <c r="R37" s="546"/>
      <c r="S37" s="2443" t="s">
        <v>91</v>
      </c>
      <c r="T37" s="2379" t="s">
        <v>438</v>
      </c>
      <c r="U37" s="471"/>
      <c r="V37" s="2444" t="s">
        <v>439</v>
      </c>
      <c r="W37" s="2445"/>
      <c r="X37" s="2445"/>
      <c r="Y37" s="2445"/>
      <c r="Z37" s="2445"/>
      <c r="AA37" s="2446"/>
      <c r="AB37" s="2447" t="s">
        <v>440</v>
      </c>
      <c r="AC37" s="2444" t="s">
        <v>439</v>
      </c>
      <c r="AD37" s="2445"/>
      <c r="AE37" s="2445"/>
      <c r="AF37" s="2445"/>
      <c r="AG37" s="2445"/>
      <c r="AH37" s="2446"/>
      <c r="AI37" s="2447" t="s">
        <v>441</v>
      </c>
      <c r="AJ37" s="2450" t="s">
        <v>442</v>
      </c>
      <c r="AK37" s="2297"/>
      <c r="AQ37" s="1325">
        <v>14</v>
      </c>
    </row>
    <row customHeight="1" ht="35.699999999999996">
      <c r="Q38" s="546"/>
      <c r="R38" s="546"/>
      <c r="S38" s="2443"/>
      <c r="T38" s="2379"/>
      <c r="U38" s="1201"/>
      <c r="V38" s="1653" t="s">
        <v>504</v>
      </c>
      <c r="W38" s="2432" t="s">
        <v>445</v>
      </c>
      <c r="X38" s="2433"/>
      <c r="Y38" s="2432" t="s">
        <v>446</v>
      </c>
      <c r="Z38" s="2439"/>
      <c r="AA38" s="2433"/>
      <c r="AB38" s="2448"/>
      <c r="AC38" s="1653" t="s">
        <v>504</v>
      </c>
      <c r="AD38" s="2432" t="s">
        <v>445</v>
      </c>
      <c r="AE38" s="2433"/>
      <c r="AF38" s="2432" t="s">
        <v>446</v>
      </c>
      <c r="AG38" s="2439"/>
      <c r="AH38" s="2433"/>
      <c r="AI38" s="2448"/>
      <c r="AJ38" s="2451"/>
      <c r="AK38" s="2297"/>
      <c r="AQ38" s="1325">
        <v>34</v>
      </c>
    </row>
    <row customHeight="1" ht="90.3">
      <c r="A39" s="1540"/>
      <c r="B39" s="1540" t="s">
        <v>138</v>
      </c>
      <c r="C39" s="1540" t="s">
        <v>139</v>
      </c>
      <c r="D39" s="1540" t="s">
        <v>140</v>
      </c>
      <c r="E39" s="1534" t="s">
        <v>447</v>
      </c>
      <c r="F39" s="1534" t="s">
        <v>448</v>
      </c>
      <c r="G39" s="1534" t="s">
        <v>449</v>
      </c>
      <c r="H39" s="1534"/>
      <c r="I39" s="1534" t="s">
        <v>505</v>
      </c>
      <c r="J39" s="1534" t="s">
        <v>452</v>
      </c>
      <c r="K39" s="1534" t="s">
        <v>506</v>
      </c>
      <c r="L39" s="1534" t="s">
        <v>427</v>
      </c>
      <c r="Q39" s="546"/>
      <c r="R39" s="546"/>
      <c r="S39" s="2443"/>
      <c r="T39" s="2379"/>
      <c r="U39" s="472"/>
      <c r="V39" s="1653" t="s">
        <v>533</v>
      </c>
      <c r="W39" s="1392" t="s">
        <v>534</v>
      </c>
      <c r="X39" s="1392" t="s">
        <v>509</v>
      </c>
      <c r="Y39" s="1659" t="s">
        <v>456</v>
      </c>
      <c r="Z39" s="2440" t="s">
        <v>457</v>
      </c>
      <c r="AA39" s="2441"/>
      <c r="AB39" s="2449"/>
      <c r="AC39" s="1653" t="s">
        <v>533</v>
      </c>
      <c r="AD39" s="1392" t="s">
        <v>534</v>
      </c>
      <c r="AE39" s="1392" t="s">
        <v>509</v>
      </c>
      <c r="AF39" s="1659" t="s">
        <v>456</v>
      </c>
      <c r="AG39" s="2440" t="s">
        <v>457</v>
      </c>
      <c r="AH39" s="2441"/>
      <c r="AI39" s="2449"/>
      <c r="AJ39" s="2452"/>
      <c r="AK39" s="2297"/>
      <c r="AQ39" s="1325">
        <v>86</v>
      </c>
    </row>
    <row s="12668" customFormat="1" customHeight="1" ht="0">
      <c r="A40" s="1540"/>
      <c r="B40" s="1540"/>
      <c r="C40" s="1540"/>
      <c r="D40" s="1540"/>
      <c r="E40" s="1540"/>
      <c r="F40" s="1540"/>
      <c r="G40" s="1540"/>
      <c r="H40" s="1540"/>
      <c r="I40" s="1540"/>
      <c r="J40" s="1540"/>
      <c r="K40" s="1540"/>
      <c r="L40" s="1534"/>
      <c r="M40" s="1532"/>
      <c r="N40" s="1532"/>
      <c r="O40" s="1532"/>
      <c r="P40" s="1416"/>
      <c r="Q40" s="1417"/>
      <c r="R40" s="1424">
        <v>1</v>
      </c>
      <c r="S40" s="1447" t="s">
        <v>112</v>
      </c>
      <c r="T40" s="1425" t="s">
        <v>113</v>
      </c>
      <c r="U40" s="1415" t="str">
        <f>OFFSET(U40,0,-1)</f>
        <v>2</v>
      </c>
      <c r="V40" s="1652">
        <f>OFFSET(V40,0,-1)+1</f>
        <v>3</v>
      </c>
      <c r="W40" s="1652">
        <f>OFFSET(W40,0,-1)+1</f>
        <v>4</v>
      </c>
      <c r="X40" s="1652">
        <f>OFFSET(X40,0,-1)+1</f>
        <v>5</v>
      </c>
      <c r="Y40" s="1652">
        <f>OFFSET(Y40,0,-1)+1</f>
        <v>6</v>
      </c>
      <c r="Z40" s="2442">
        <f>OFFSET(Z40,0,-1)+1</f>
        <v>7</v>
      </c>
      <c r="AA40" s="2442"/>
      <c r="AB40" s="1652">
        <f>OFFSET(AB40,0,-2)+1</f>
        <v>8</v>
      </c>
      <c r="AC40" s="1652">
        <f>OFFSET(AC40,0,-1)+1</f>
        <v>9</v>
      </c>
      <c r="AD40" s="1652">
        <f>OFFSET(AD40,0,-1)+1</f>
        <v>10</v>
      </c>
      <c r="AE40" s="1652">
        <f>OFFSET(AE40,0,-1)+1</f>
        <v>11</v>
      </c>
      <c r="AF40" s="1652">
        <f>OFFSET(AF40,0,-1)+1</f>
        <v>12</v>
      </c>
      <c r="AG40" s="2442">
        <f>OFFSET(AG40,0,-1)+1</f>
        <v>13</v>
      </c>
      <c r="AH40" s="2442"/>
      <c r="AI40" s="1652">
        <f>OFFSET(AI40,0,-2)+1</f>
        <v>14</v>
      </c>
      <c r="AJ40" s="1415">
        <f>OFFSET(AJ40,0,-1)</f>
        <v>14</v>
      </c>
      <c r="AK40" s="1652">
        <f>OFFSET(AK40,0,-1)+1</f>
        <v>15</v>
      </c>
      <c r="AL40" s="681"/>
      <c r="AM40" s="681"/>
      <c r="AN40" s="681"/>
      <c r="AO40" s="681"/>
      <c r="AP40" s="681"/>
      <c r="AQ40" s="666">
        <v>0</v>
      </c>
    </row>
    <row customHeight="1" ht="24">
      <c r="A41" s="1533" t="s">
        <v>283</v>
      </c>
      <c r="B41" s="1533"/>
      <c r="C41" s="1533"/>
      <c r="D41" s="1533"/>
      <c r="E41" s="2428">
        <v>1</v>
      </c>
      <c r="F41" s="1533"/>
      <c r="G41" s="1533"/>
      <c r="H41" s="1533"/>
      <c r="I41" s="1533"/>
      <c r="J41" s="1533"/>
      <c r="K41" s="1533"/>
      <c r="L41" s="1534"/>
      <c r="M41" s="1535"/>
      <c r="N41" s="1535"/>
      <c r="O41" s="1535"/>
      <c r="P41" s="531"/>
      <c r="Q41" s="530"/>
      <c r="R41" s="525"/>
      <c r="S41" s="1663">
        <f>INDEX(PT_DIFFERENTIATION_NUM_NTAR,MATCH(A41,PT_DIFFERENTIATION_NTAR_ID,0))</f>
        <v>0</v>
      </c>
      <c r="T41" s="468" t="s">
        <v>126</v>
      </c>
      <c r="U41" s="470"/>
      <c r="V41" s="2412"/>
      <c r="W41" s="2413"/>
      <c r="X41" s="2413"/>
      <c r="Y41" s="2413"/>
      <c r="Z41" s="2413"/>
      <c r="AA41" s="2413"/>
      <c r="AB41" s="2414"/>
      <c r="AC41" s="2412" t="str">
        <f>INDEX(PT_DIFFERENTIATION_NTAR,MATCH(A41,PT_DIFFERENTIATION_NTAR_ID,0))</f>
        <v/>
      </c>
      <c r="AD41" s="2413"/>
      <c r="AE41" s="2413"/>
      <c r="AF41" s="2413"/>
      <c r="AG41" s="2413"/>
      <c r="AH41" s="2413"/>
      <c r="AI41" s="2413"/>
      <c r="AJ41" s="2414"/>
      <c r="AK41"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670"/>
      <c r="AN41" s="670" t="str">
        <f>IF(T41="","",T41)</f>
        <v>Наименование тарифа</v>
      </c>
      <c r="AO41" s="670"/>
      <c r="AP41" s="670"/>
      <c r="AQ41" s="1325">
        <v>23</v>
      </c>
    </row>
    <row customHeight="1" ht="24">
      <c r="A42" s="1533" t="s">
        <v>283</v>
      </c>
      <c r="B42" s="1533" t="s">
        <v>284</v>
      </c>
      <c r="C42" s="1533"/>
      <c r="D42" s="1533"/>
      <c r="E42" s="2429"/>
      <c r="F42" s="2428">
        <v>1</v>
      </c>
      <c r="G42" s="1533"/>
      <c r="H42" s="1533"/>
      <c r="I42" s="1533"/>
      <c r="J42" s="1533"/>
      <c r="K42" s="1533"/>
      <c r="L42" s="1534"/>
      <c r="M42" s="1535"/>
      <c r="N42" s="1535"/>
      <c r="O42" s="1535"/>
      <c r="P42" s="1657"/>
      <c r="Q42" s="522"/>
      <c r="R42" s="523"/>
      <c r="S42" s="1663" t="str">
        <f>INDEX(PT_DIFFERENTIATION_NUM_TER,MATCH(B42,PT_DIFFERENTIATION_TER_ID,0))</f>
        <v>.</v>
      </c>
      <c r="T42" s="478" t="s">
        <v>409</v>
      </c>
      <c r="U42" s="470"/>
      <c r="V42" s="2412"/>
      <c r="W42" s="2413"/>
      <c r="X42" s="2413"/>
      <c r="Y42" s="2413"/>
      <c r="Z42" s="2413"/>
      <c r="AA42" s="2413"/>
      <c r="AB42" s="2414"/>
      <c r="AC42" s="2412" t="str">
        <f>INDEX(PT_DIFFERENTIATION_TER,MATCH(B42,PT_DIFFERENTIATION_TER_ID,0))</f>
        <v/>
      </c>
      <c r="AD42" s="2413"/>
      <c r="AE42" s="2413"/>
      <c r="AF42" s="2413"/>
      <c r="AG42" s="2413"/>
      <c r="AH42" s="2413"/>
      <c r="AI42" s="2413"/>
      <c r="AJ42" s="2414"/>
      <c r="AK42" s="1428" t="s">
        <v>410</v>
      </c>
      <c r="AM42" s="670"/>
      <c r="AN42" s="670" t="str">
        <f>IF(T42="","",T42)</f>
        <v>Территория действия тарифа</v>
      </c>
      <c r="AO42" s="670"/>
      <c r="AP42" s="670"/>
      <c r="AQ42" s="1325">
        <v>23</v>
      </c>
    </row>
    <row customHeight="1" ht="24">
      <c r="A43" s="1533" t="s">
        <v>283</v>
      </c>
      <c r="B43" s="1533" t="s">
        <v>284</v>
      </c>
      <c r="C43" s="1533" t="s">
        <v>285</v>
      </c>
      <c r="D43" s="1533"/>
      <c r="E43" s="2429"/>
      <c r="F43" s="2429"/>
      <c r="G43" s="2428">
        <v>1</v>
      </c>
      <c r="H43" s="1533"/>
      <c r="I43" s="1533"/>
      <c r="J43" s="1533"/>
      <c r="K43" s="1533"/>
      <c r="L43" s="1534"/>
      <c r="M43" s="1535"/>
      <c r="N43" s="1535"/>
      <c r="O43" s="1535"/>
      <c r="P43" s="524"/>
      <c r="Q43" s="522"/>
      <c r="R43" s="523"/>
      <c r="S43" s="1663" t="str">
        <f>INDEX(PT_DIFFERENTIATION_NUM_CS,MATCH(C43,PT_DIFFERENTIATION_CS_ID,0))</f>
        <v>..</v>
      </c>
      <c r="T43" s="479" t="s">
        <v>531</v>
      </c>
      <c r="U43" s="470"/>
      <c r="V43" s="2412"/>
      <c r="W43" s="2413"/>
      <c r="X43" s="2413"/>
      <c r="Y43" s="2413"/>
      <c r="Z43" s="2413"/>
      <c r="AA43" s="2413"/>
      <c r="AB43" s="2414"/>
      <c r="AC43" s="2412" t="str">
        <f>INDEX(PT_DIFFERENTIATION_CS,MATCH(C43,PT_DIFFERENTIATION_CS_ID,0))</f>
        <v/>
      </c>
      <c r="AD43" s="2413"/>
      <c r="AE43" s="2413"/>
      <c r="AF43" s="2413"/>
      <c r="AG43" s="2413"/>
      <c r="AH43" s="2413"/>
      <c r="AI43" s="2413"/>
      <c r="AJ43" s="2414"/>
      <c r="AK43" s="1428" t="s">
        <v>532</v>
      </c>
      <c r="AM43" s="670"/>
      <c r="AN43" s="670" t="str">
        <f>IF(T43="","",T43)</f>
        <v>Наименование централизованной системы водоотведения</v>
      </c>
      <c r="AO43" s="670"/>
      <c r="AP43" s="670"/>
      <c r="AQ43" s="1325">
        <v>23</v>
      </c>
    </row>
    <row customHeight="1" ht="24">
      <c r="A44" s="1533" t="s">
        <v>283</v>
      </c>
      <c r="B44" s="1533" t="s">
        <v>284</v>
      </c>
      <c r="C44" s="1533" t="s">
        <v>285</v>
      </c>
      <c r="D44" s="1533" t="s">
        <v>536</v>
      </c>
      <c r="E44" s="2429"/>
      <c r="F44" s="2429"/>
      <c r="G44" s="2429"/>
      <c r="H44" s="2429"/>
      <c r="I44" s="2426" t="str">
        <f>S43&amp;".1"</f>
        <v>...1</v>
      </c>
      <c r="J44" s="1533"/>
      <c r="K44" s="1533"/>
      <c r="L44" s="1534"/>
      <c r="P44" s="2427">
        <v>1</v>
      </c>
      <c r="Q44" s="1651"/>
      <c r="R44" s="526"/>
      <c r="S44" s="1663" t="str">
        <f>$I44</f>
        <v>...1</v>
      </c>
      <c r="T44" s="455" t="s">
        <v>498</v>
      </c>
      <c r="U44" s="470"/>
      <c r="V44" s="2520"/>
      <c r="W44" s="2521"/>
      <c r="X44" s="2521"/>
      <c r="Y44" s="2521"/>
      <c r="Z44" s="2521"/>
      <c r="AA44" s="2521"/>
      <c r="AB44" s="2522"/>
      <c r="AC44" s="2523"/>
      <c r="AD44" s="2524"/>
      <c r="AE44" s="2524"/>
      <c r="AF44" s="2524"/>
      <c r="AG44" s="2524"/>
      <c r="AH44" s="2524"/>
      <c r="AI44" s="2524"/>
      <c r="AJ44" s="2525"/>
      <c r="AK44" s="1428" t="s">
        <v>499</v>
      </c>
      <c r="AM44" s="670"/>
      <c r="AN44" s="670" t="str">
        <f>IF(T44="","",T44)</f>
        <v>Наименование признака дифференциации</v>
      </c>
      <c r="AO44" s="670"/>
      <c r="AP44" s="670"/>
      <c r="AQ44" s="1325">
        <v>23</v>
      </c>
    </row>
    <row customHeight="1" ht="24">
      <c r="A45" s="1533" t="s">
        <v>283</v>
      </c>
      <c r="B45" s="1533" t="s">
        <v>284</v>
      </c>
      <c r="C45" s="1533" t="s">
        <v>285</v>
      </c>
      <c r="D45" s="1533" t="s">
        <v>536</v>
      </c>
      <c r="E45" s="2429"/>
      <c r="F45" s="2429"/>
      <c r="G45" s="2429"/>
      <c r="H45" s="2429"/>
      <c r="I45" s="2456"/>
      <c r="J45" s="2426" t="str">
        <f>I44&amp;".1"</f>
        <v>...1.1</v>
      </c>
      <c r="K45" s="1533"/>
      <c r="L45" s="1534" t="s">
        <v>418</v>
      </c>
      <c r="P45" s="2427"/>
      <c r="Q45" s="2427">
        <v>1</v>
      </c>
      <c r="R45" s="527"/>
      <c r="S45" s="1663" t="str">
        <f>$J45</f>
        <v>...1.1</v>
      </c>
      <c r="T45" s="456" t="s">
        <v>419</v>
      </c>
      <c r="U45" s="470"/>
      <c r="V45" s="2415"/>
      <c r="W45" s="2416"/>
      <c r="X45" s="2416"/>
      <c r="Y45" s="2416"/>
      <c r="Z45" s="2416"/>
      <c r="AA45" s="2416"/>
      <c r="AB45" s="2417"/>
      <c r="AC45" s="2415"/>
      <c r="AD45" s="2416"/>
      <c r="AE45" s="2416"/>
      <c r="AF45" s="2416"/>
      <c r="AG45" s="2416"/>
      <c r="AH45" s="2416"/>
      <c r="AI45" s="2416"/>
      <c r="AJ45" s="2417"/>
      <c r="AK45" s="1477" t="s">
        <v>500</v>
      </c>
      <c r="AM45" s="670"/>
      <c r="AN45" s="670" t="str">
        <f>IF(T45="","",T45)</f>
        <v>Группа потребителей</v>
      </c>
      <c r="AO45" s="670"/>
      <c r="AP45" s="670"/>
      <c r="AQ45" s="1325">
        <v>23</v>
      </c>
    </row>
    <row customHeight="1" ht="24">
      <c r="A46" s="1533" t="s">
        <v>283</v>
      </c>
      <c r="B46" s="1533" t="s">
        <v>284</v>
      </c>
      <c r="C46" s="1533" t="s">
        <v>285</v>
      </c>
      <c r="D46" s="1533" t="s">
        <v>536</v>
      </c>
      <c r="E46" s="2429"/>
      <c r="F46" s="2429"/>
      <c r="G46" s="2429"/>
      <c r="H46" s="2429"/>
      <c r="I46" s="2456"/>
      <c r="J46" s="2456"/>
      <c r="K46" s="2426" t="str">
        <f>J45&amp;".1"</f>
        <v>...1.1.1</v>
      </c>
      <c r="L46" s="1534"/>
      <c r="P46" s="2427"/>
      <c r="Q46" s="2427"/>
      <c r="R46" s="527">
        <v>1</v>
      </c>
      <c r="S46" s="1663" t="str">
        <f>$K46</f>
        <v>...1.1.1</v>
      </c>
      <c r="T46" s="1607"/>
      <c r="U46" s="470"/>
      <c r="V46" s="1530"/>
      <c r="W46" s="1530"/>
      <c r="X46" s="1531"/>
      <c r="Y46" s="2437"/>
      <c r="Z46" s="2438" t="s">
        <v>64</v>
      </c>
      <c r="AA46" s="2437"/>
      <c r="AB46" s="2438" t="s">
        <v>64</v>
      </c>
      <c r="AC46" s="921"/>
      <c r="AD46" s="921"/>
      <c r="AE46" s="1427"/>
      <c r="AF46" s="2435"/>
      <c r="AG46" s="2277" t="s">
        <v>64</v>
      </c>
      <c r="AH46" s="2457"/>
      <c r="AI46" s="2277" t="s">
        <v>19</v>
      </c>
      <c r="AJ46" s="1608"/>
      <c r="AK46"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681">
        <f>STRCHECKDATE(V47:AJ47)</f>
      </c>
      <c r="AM46" s="670"/>
      <c r="AN46" s="670" t="str">
        <f>IF(T46="","",T46)</f>
        <v/>
      </c>
      <c r="AO46" s="670"/>
      <c r="AP46" s="670"/>
      <c r="AQ46" s="1325">
        <v>23</v>
      </c>
    </row>
    <row customHeight="1" ht="0">
      <c r="A47" s="1533" t="s">
        <v>283</v>
      </c>
      <c r="B47" s="1533" t="s">
        <v>284</v>
      </c>
      <c r="C47" s="1533" t="s">
        <v>285</v>
      </c>
      <c r="D47" s="1533" t="s">
        <v>536</v>
      </c>
      <c r="E47" s="2429"/>
      <c r="F47" s="2429"/>
      <c r="G47" s="2429"/>
      <c r="H47" s="2429"/>
      <c r="I47" s="2456"/>
      <c r="J47" s="2456"/>
      <c r="K47" s="2426"/>
      <c r="L47" s="1534"/>
      <c r="P47" s="2427"/>
      <c r="Q47" s="2427"/>
      <c r="R47" s="527"/>
      <c r="S47" s="1660"/>
      <c r="T47" s="470"/>
      <c r="U47" s="470"/>
      <c r="V47" s="1530"/>
      <c r="W47" s="1530"/>
      <c r="X47" s="498" t="str">
        <f>Y46&amp;"-"&amp;AA46</f>
        <v>-</v>
      </c>
      <c r="Y47" s="2438"/>
      <c r="Z47" s="2438"/>
      <c r="AA47" s="2438"/>
      <c r="AB47" s="2438"/>
      <c r="AC47" s="495"/>
      <c r="AD47" s="495"/>
      <c r="AE47" s="498" t="str">
        <f>AF46&amp;"-"&amp;AH46</f>
        <v>-</v>
      </c>
      <c r="AF47" s="2436"/>
      <c r="AG47" s="2277"/>
      <c r="AH47" s="2458"/>
      <c r="AI47" s="2277"/>
      <c r="AJ47" s="1609"/>
      <c r="AK47" s="2519"/>
      <c r="AM47" s="670"/>
      <c r="AN47" s="670" t="str">
        <f>IF(T47="","",T47)</f>
        <v/>
      </c>
      <c r="AO47" s="670"/>
      <c r="AP47" s="670"/>
      <c r="AQ47" s="1325">
        <v>0</v>
      </c>
    </row>
    <row customHeight="1" ht="21">
      <c r="A48" s="1533" t="s">
        <v>283</v>
      </c>
      <c r="B48" s="1533" t="s">
        <v>284</v>
      </c>
      <c r="C48" s="1533" t="s">
        <v>285</v>
      </c>
      <c r="D48" s="1533" t="s">
        <v>536</v>
      </c>
      <c r="E48" s="2429"/>
      <c r="F48" s="2429"/>
      <c r="G48" s="2429"/>
      <c r="H48" s="2429"/>
      <c r="I48" s="2456"/>
      <c r="J48" s="2426"/>
      <c r="K48" s="1533"/>
      <c r="L48" s="1534"/>
      <c r="P48" s="2427"/>
      <c r="Q48" s="2427"/>
      <c r="R48" s="526"/>
      <c r="S48" s="1448"/>
      <c r="T48" s="457" t="s">
        <v>501</v>
      </c>
      <c r="U48" s="537"/>
      <c r="V48" s="537"/>
      <c r="W48" s="537"/>
      <c r="X48" s="537"/>
      <c r="Y48" s="537"/>
      <c r="Z48" s="537"/>
      <c r="AA48" s="537"/>
      <c r="AB48" s="537"/>
      <c r="AC48" s="537"/>
      <c r="AD48" s="537"/>
      <c r="AE48" s="537"/>
      <c r="AF48" s="537"/>
      <c r="AG48" s="537"/>
      <c r="AH48" s="537"/>
      <c r="AI48" s="537"/>
      <c r="AJ48" s="537"/>
      <c r="AK48" s="1428" t="s">
        <v>502</v>
      </c>
      <c r="AM48" s="670"/>
      <c r="AN48" s="670" t="str">
        <f>IF(T48="","",T48)</f>
        <v>Добавить значение признака дифференциации</v>
      </c>
      <c r="AO48" s="670"/>
      <c r="AP48" s="670"/>
      <c r="AQ48" s="1325">
        <v>20</v>
      </c>
    </row>
    <row customHeight="1" ht="22.049999999999997">
      <c r="A49" s="1533" t="s">
        <v>283</v>
      </c>
      <c r="B49" s="1533" t="s">
        <v>284</v>
      </c>
      <c r="C49" s="1533" t="s">
        <v>285</v>
      </c>
      <c r="D49" s="1533" t="s">
        <v>536</v>
      </c>
      <c r="E49" s="2429"/>
      <c r="F49" s="2429"/>
      <c r="G49" s="2429"/>
      <c r="H49" s="2429"/>
      <c r="I49" s="2426"/>
      <c r="J49" s="1533"/>
      <c r="K49" s="1533"/>
      <c r="L49" s="1534"/>
      <c r="P49" s="2427"/>
      <c r="Q49" s="1651"/>
      <c r="R49" s="526"/>
      <c r="S49" s="1448"/>
      <c r="T49" s="535" t="s">
        <v>424</v>
      </c>
      <c r="U49" s="537"/>
      <c r="V49" s="537"/>
      <c r="W49" s="537"/>
      <c r="X49" s="537"/>
      <c r="Y49" s="537"/>
      <c r="Z49" s="537"/>
      <c r="AA49" s="537"/>
      <c r="AB49" s="536"/>
      <c r="AC49" s="537"/>
      <c r="AD49" s="537"/>
      <c r="AE49" s="537"/>
      <c r="AF49" s="537"/>
      <c r="AG49" s="537"/>
      <c r="AH49" s="537"/>
      <c r="AI49" s="536"/>
      <c r="AJ49" s="537"/>
      <c r="AK49" s="1610"/>
      <c r="AM49" s="670"/>
      <c r="AN49" s="670" t="str">
        <f>IF(T49="","",T49)</f>
        <v>Добавить группу потребителей</v>
      </c>
      <c r="AO49" s="670"/>
      <c r="AP49" s="670"/>
      <c r="AQ49" s="1325">
        <v>21</v>
      </c>
    </row>
    <row customHeight="1" ht="22.049999999999997">
      <c r="A50" s="1533" t="s">
        <v>283</v>
      </c>
      <c r="B50" s="1533" t="s">
        <v>284</v>
      </c>
      <c r="C50" s="1533" t="s">
        <v>285</v>
      </c>
      <c r="D50" s="1533" t="s">
        <v>536</v>
      </c>
      <c r="E50" s="2429"/>
      <c r="F50" s="2429"/>
      <c r="G50" s="2429"/>
      <c r="H50" s="2428"/>
      <c r="I50" s="1533"/>
      <c r="J50" s="1533"/>
      <c r="K50" s="1533"/>
      <c r="L50" s="1534"/>
      <c r="M50" s="1535"/>
      <c r="N50" s="1535"/>
      <c r="O50" s="707"/>
      <c r="P50" s="530"/>
      <c r="Q50" s="545"/>
      <c r="R50" s="525"/>
      <c r="S50" s="1448"/>
      <c r="T50" s="542" t="s">
        <v>503</v>
      </c>
      <c r="U50" s="537"/>
      <c r="V50" s="537"/>
      <c r="W50" s="537"/>
      <c r="X50" s="537"/>
      <c r="Y50" s="537"/>
      <c r="Z50" s="537"/>
      <c r="AA50" s="537"/>
      <c r="AB50" s="536"/>
      <c r="AC50" s="537"/>
      <c r="AD50" s="537"/>
      <c r="AE50" s="537"/>
      <c r="AF50" s="537"/>
      <c r="AG50" s="537"/>
      <c r="AH50" s="537"/>
      <c r="AI50" s="536"/>
      <c r="AJ50" s="537"/>
      <c r="AK50" s="473"/>
      <c r="AM50" s="670"/>
      <c r="AN50" s="670" t="str">
        <f>IF(T50="","",T50)</f>
        <v>Добавить наименование признака дифференциации</v>
      </c>
      <c r="AO50" s="670"/>
      <c r="AP50" s="670"/>
      <c r="AQ50" s="1325">
        <v>21</v>
      </c>
    </row>
    <row s="11993" customFormat="1" customHeight="1" ht="0">
      <c r="A51" s="1513" t="s">
        <v>283</v>
      </c>
      <c r="B51" s="1513" t="s">
        <v>284</v>
      </c>
      <c r="C51" s="1484"/>
      <c r="D51" s="1484"/>
      <c r="E51" s="2429"/>
      <c r="F51" s="2428"/>
      <c r="G51" s="1484"/>
      <c r="H51" s="1484"/>
      <c r="I51" s="1484"/>
      <c r="J51" s="1484"/>
      <c r="K51" s="1484"/>
      <c r="L51" s="1664"/>
      <c r="M51" s="1491"/>
      <c r="N51" s="1491"/>
      <c r="P51" s="1486"/>
      <c r="Q51" s="1487"/>
      <c r="R51" s="1486"/>
      <c r="S51" s="1492"/>
      <c r="T51" s="1495" t="s">
        <v>166</v>
      </c>
      <c r="U51" s="1494"/>
      <c r="V51" s="1494"/>
      <c r="W51" s="1494"/>
      <c r="X51" s="1494"/>
      <c r="Y51" s="1494"/>
      <c r="Z51" s="1494"/>
      <c r="AA51" s="1494"/>
      <c r="AB51" s="1494"/>
      <c r="AC51" s="1494"/>
      <c r="AD51" s="1494"/>
      <c r="AE51" s="1494"/>
      <c r="AF51" s="1494"/>
      <c r="AG51" s="1494"/>
      <c r="AH51" s="1494"/>
      <c r="AI51" s="1494"/>
      <c r="AJ51" s="1494"/>
      <c r="AK51" s="1494"/>
      <c r="AM51" s="959"/>
      <c r="AN51" s="959" t="str">
        <f>IF(T51="","",T51)</f>
        <v>Добавить централизованную систему для дифференциации</v>
      </c>
      <c r="AO51" s="959"/>
      <c r="AP51" s="959"/>
      <c r="AQ51" s="688">
        <v>0</v>
      </c>
    </row>
    <row s="11993" customFormat="1" customHeight="1" ht="0">
      <c r="A52" s="1513" t="s">
        <v>283</v>
      </c>
      <c r="B52" s="1513"/>
      <c r="C52" s="1513"/>
      <c r="D52" s="1513"/>
      <c r="E52" s="2428"/>
      <c r="F52" s="1513"/>
      <c r="G52" s="1513"/>
      <c r="H52" s="1513"/>
      <c r="I52" s="1513"/>
      <c r="J52" s="1513"/>
      <c r="K52" s="1513"/>
      <c r="L52" s="1516"/>
      <c r="M52" s="1491"/>
      <c r="N52" s="1491"/>
      <c r="O52" s="688"/>
      <c r="P52" s="550"/>
      <c r="Q52" s="1514"/>
      <c r="R52" s="550"/>
      <c r="S52" s="1492"/>
      <c r="T52" s="1495" t="s">
        <v>167</v>
      </c>
      <c r="U52" s="1494"/>
      <c r="V52" s="1494"/>
      <c r="W52" s="1494"/>
      <c r="X52" s="1494"/>
      <c r="Y52" s="1494"/>
      <c r="Z52" s="1494"/>
      <c r="AA52" s="1494"/>
      <c r="AB52" s="1494"/>
      <c r="AC52" s="1494"/>
      <c r="AD52" s="1494"/>
      <c r="AE52" s="1494"/>
      <c r="AF52" s="1494"/>
      <c r="AG52" s="1494"/>
      <c r="AH52" s="1494"/>
      <c r="AI52" s="1494"/>
      <c r="AJ52" s="1494"/>
      <c r="AK52" s="1494"/>
      <c r="AM52" s="670"/>
      <c r="AN52" s="670" t="str">
        <f>IF(T52="","",T52)</f>
        <v>Добавить территорию для дифференциации</v>
      </c>
      <c r="AO52" s="670"/>
      <c r="AP52" s="670"/>
      <c r="AQ52" s="681">
        <v>0</v>
      </c>
    </row>
    <row s="11993" customFormat="1" customHeight="1" ht="0">
      <c r="A53" s="1484"/>
      <c r="B53" s="1484"/>
      <c r="C53" s="1484"/>
      <c r="D53" s="1484"/>
      <c r="E53" s="1513"/>
      <c r="F53" s="1484"/>
      <c r="G53" s="1484"/>
      <c r="H53" s="1484"/>
      <c r="I53" s="1484"/>
      <c r="J53" s="1484"/>
      <c r="K53" s="1484"/>
      <c r="L53" s="1664"/>
      <c r="M53" s="1491"/>
      <c r="N53" s="1491"/>
      <c r="P53" s="1486"/>
      <c r="Q53" s="1487"/>
      <c r="R53" s="1486"/>
      <c r="S53" s="1492"/>
      <c r="T53" s="1495" t="s">
        <v>168</v>
      </c>
      <c r="U53" s="1494"/>
      <c r="V53" s="1494"/>
      <c r="W53" s="1494"/>
      <c r="X53" s="1494"/>
      <c r="Y53" s="1494"/>
      <c r="Z53" s="1494"/>
      <c r="AA53" s="1494"/>
      <c r="AB53" s="1494"/>
      <c r="AC53" s="1494"/>
      <c r="AD53" s="1494"/>
      <c r="AE53" s="1494"/>
      <c r="AF53" s="1494"/>
      <c r="AG53" s="1494"/>
      <c r="AH53" s="1494"/>
      <c r="AI53" s="1494"/>
      <c r="AJ53" s="1494"/>
      <c r="AK53" s="1494"/>
      <c r="AM53" s="959"/>
      <c r="AN53" s="959" t="str">
        <f>IF(T53="","",T53)</f>
        <v>Добавить наименование тарифа</v>
      </c>
      <c r="AO53" s="959"/>
      <c r="AP53" s="959"/>
      <c r="AQ53" s="688">
        <v>0</v>
      </c>
    </row>
    <row customHeight="1" ht="11.549999999999999">
      <c r="M54" s="1330"/>
      <c r="N54" s="1330"/>
      <c r="O54" s="707"/>
      <c r="P54" s="1325"/>
      <c r="Q54" s="1325"/>
      <c r="R54" s="1325"/>
      <c r="S54" s="1325"/>
      <c r="AL54" s="1325"/>
      <c r="AM54" s="1325"/>
      <c r="AN54" s="1325"/>
      <c r="AO54" s="1325"/>
      <c r="AP54" s="1325"/>
      <c r="AQ54" s="1325">
        <v>11</v>
      </c>
    </row>
    <row customHeight="1" ht="14.699999999999998">
      <c r="O55" s="707"/>
      <c r="S55" s="1423"/>
      <c r="T55" s="2455"/>
      <c r="U55" s="2455"/>
      <c r="V55" s="2455"/>
      <c r="W55" s="2455"/>
      <c r="X55" s="2455"/>
      <c r="Y55" s="2455"/>
      <c r="Z55" s="2455"/>
      <c r="AA55" s="2455"/>
      <c r="AB55" s="2455"/>
      <c r="AC55" s="2455"/>
      <c r="AD55" s="2455"/>
      <c r="AE55" s="2455"/>
      <c r="AF55" s="2455"/>
      <c r="AG55" s="2455"/>
      <c r="AH55" s="2455"/>
      <c r="AI55" s="2455"/>
      <c r="AJ55" s="2455"/>
      <c r="AK55" s="2455"/>
      <c r="AQ55" s="1325">
        <v>14</v>
      </c>
    </row>
    <row customHeight="1" ht="14.699999999999998">
      <c r="O56" s="707"/>
      <c r="AQ56" s="1325">
        <v>14</v>
      </c>
    </row>
    <row customHeight="1" ht="14.699999999999998">
      <c r="O57" s="707"/>
      <c r="S57" s="1423"/>
      <c r="T57" s="2455"/>
      <c r="U57" s="2455"/>
      <c r="V57" s="2455"/>
      <c r="W57" s="2455"/>
      <c r="X57" s="2455"/>
      <c r="Y57" s="2455"/>
      <c r="Z57" s="2455"/>
      <c r="AA57" s="2455"/>
      <c r="AB57" s="2455"/>
      <c r="AC57" s="2455"/>
      <c r="AD57" s="2455"/>
      <c r="AE57" s="2455"/>
      <c r="AF57" s="2455"/>
      <c r="AG57" s="2455"/>
      <c r="AH57" s="2455"/>
      <c r="AI57" s="2455"/>
      <c r="AJ57" s="2455"/>
      <c r="AK57" s="2455"/>
      <c r="AQ57" s="1325">
        <v>14</v>
      </c>
    </row>
    <row customHeight="1" ht="22.5" hidden="1">
      <c r="A58" s="1330" t="s">
        <v>85</v>
      </c>
      <c r="B58" s="1330">
        <v>0</v>
      </c>
      <c r="C58" s="1330">
        <v>0</v>
      </c>
      <c r="D58" s="1330">
        <v>0</v>
      </c>
      <c r="E58" s="1330">
        <v>0</v>
      </c>
      <c r="F58" s="1330">
        <v>0</v>
      </c>
      <c r="G58" s="1330">
        <v>0</v>
      </c>
      <c r="H58" s="1330">
        <v>0</v>
      </c>
      <c r="I58" s="1330">
        <v>0</v>
      </c>
      <c r="J58" s="1330">
        <v>0</v>
      </c>
      <c r="K58" s="1330">
        <v>0</v>
      </c>
      <c r="L58" s="1648">
        <v>0</v>
      </c>
      <c r="M58" s="1532">
        <v>0</v>
      </c>
      <c r="N58" s="1532">
        <v>0</v>
      </c>
      <c r="O58" s="1532">
        <v>0</v>
      </c>
      <c r="P58" s="1643">
        <v>3</v>
      </c>
      <c r="Q58" s="514">
        <v>3</v>
      </c>
      <c r="R58" s="514">
        <v>3</v>
      </c>
      <c r="S58" s="751">
        <v>12</v>
      </c>
      <c r="T58" s="1325">
        <v>35</v>
      </c>
      <c r="U58" s="1325">
        <v>0</v>
      </c>
      <c r="V58" s="1325">
        <v>0</v>
      </c>
      <c r="W58" s="1325">
        <v>0</v>
      </c>
      <c r="X58" s="1325">
        <v>0</v>
      </c>
      <c r="Y58" s="1325">
        <v>0</v>
      </c>
      <c r="Z58" s="1325">
        <v>0</v>
      </c>
      <c r="AA58" s="1325">
        <v>0</v>
      </c>
      <c r="AB58" s="1325">
        <v>0</v>
      </c>
      <c r="AC58" s="1325">
        <v>24</v>
      </c>
      <c r="AD58" s="1325">
        <v>24</v>
      </c>
      <c r="AE58" s="1325">
        <v>24</v>
      </c>
      <c r="AF58" s="1325">
        <v>11</v>
      </c>
      <c r="AG58" s="1325">
        <v>3</v>
      </c>
      <c r="AH58" s="1325">
        <v>11</v>
      </c>
      <c r="AI58" s="1325">
        <v>0</v>
      </c>
      <c r="AJ58" s="1325">
        <v>4</v>
      </c>
      <c r="AK58" s="1325">
        <v>115</v>
      </c>
      <c r="AL58" s="681">
        <v>10</v>
      </c>
      <c r="AM58" s="681">
        <v>10</v>
      </c>
      <c r="AN58" s="681">
        <v>10</v>
      </c>
      <c r="AO58" s="681">
        <v>10</v>
      </c>
      <c r="AP58" s="681">
        <v>10</v>
      </c>
      <c r="AQ58" s="132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D79A37-424B-88E6-4B66-23F7E5A8BFC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1992" width="11.57421875" hidden="1" customWidth="1"/>
    <col min="2" max="2" style="11992" width="11.00390625" hidden="1" customWidth="1"/>
    <col min="3" max="3" style="11992" width="10.57421875" hidden="1"/>
    <col min="4" max="4" style="11992" width="12.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2.00390625" hidden="1" customWidth="1"/>
    <col min="10" max="10" style="11992" width="9.8515625" hidden="1" customWidth="1"/>
    <col min="11" max="11" style="11992" width="11.421875" hidden="1" customWidth="1"/>
    <col min="12" max="12" style="13388" width="19.140625" hidden="1" customWidth="1"/>
    <col min="13" max="14" style="13389" width="12.28125" hidden="1" customWidth="1"/>
    <col min="15" max="15" style="13389" width="23.421875" hidden="1" customWidth="1"/>
    <col min="16" max="16" style="13389" width="3.7109375" hidden="1" customWidth="1"/>
    <col min="17" max="17" style="14302" width="3.7109375" hidden="1" customWidth="1"/>
    <col min="18" max="18" style="13391" width="3.00390625" customWidth="1"/>
    <col min="19" max="19" style="13392" width="12.00390625" customWidth="1"/>
    <col min="20" max="20" style="11913" width="31.00390625" customWidth="1"/>
    <col min="21" max="21" style="11913" width="0.140625" customWidth="1"/>
    <col min="22" max="25" style="11913" width="21.7109375" hidden="1" customWidth="1"/>
    <col min="26" max="26" style="11913" width="11.7109375" hidden="1" customWidth="1"/>
    <col min="27" max="27" style="11913" width="3.7109375" hidden="1" customWidth="1"/>
    <col min="28" max="28" style="11913" width="11.7109375" hidden="1" customWidth="1"/>
    <col min="29" max="29" style="11913" width="8.57421875" hidden="1" customWidth="1"/>
    <col min="30" max="30" style="11913" width="3.7109375" customWidth="1"/>
    <col min="31" max="32" style="11913" width="3.00390625" customWidth="1"/>
    <col min="33" max="33" style="11913" width="24.00390625" customWidth="1"/>
    <col min="34" max="34" style="11913" width="3.7109375" customWidth="1"/>
    <col min="35" max="36" style="11913" width="3.00390625" customWidth="1"/>
    <col min="37" max="37" style="11913" width="24.00390625" customWidth="1"/>
    <col min="38" max="38" style="11913" width="3.7109375" customWidth="1"/>
    <col min="39" max="40" style="11913" width="3.00390625" customWidth="1"/>
    <col min="41" max="41" style="11913" width="18.00390625" customWidth="1"/>
    <col min="42" max="42" style="11913" width="3.7109375" customWidth="1"/>
    <col min="43" max="44" style="11913" width="3.00390625" customWidth="1"/>
    <col min="45" max="45" style="11913" width="18.00390625" customWidth="1"/>
    <col min="46" max="49" style="11913" width="21.00390625" customWidth="1"/>
    <col min="50" max="50" style="11913" width="11.00390625" customWidth="1"/>
    <col min="51" max="51" style="11913" width="3.7109375" customWidth="1"/>
    <col min="52" max="52" style="11913" width="11.00390625" customWidth="1"/>
    <col min="53" max="53" style="11913" width="8.57421875" hidden="1" customWidth="1"/>
    <col min="54" max="54" style="11913" width="4.00390625" customWidth="1"/>
    <col min="55" max="55" style="11913" width="115.00390625" customWidth="1"/>
    <col min="56" max="60" style="11993" width="10.00390625" customWidth="1"/>
    <col min="61" max="61" style="11913" width="10.57421875" hidden="1"/>
  </cols>
  <sheetData>
    <row customHeight="1" ht="22.5" hidden="1">
      <c r="W1" s="497"/>
      <c r="Y1" s="497"/>
      <c r="Z1" s="497"/>
      <c r="AW1" s="497"/>
      <c r="AX1" s="497"/>
      <c r="BI1" s="1325" t="s">
        <v>14</v>
      </c>
    </row>
    <row customHeight="1" ht="21" hidden="1">
      <c r="A2" s="1533"/>
      <c r="B2" s="1533"/>
      <c r="C2" s="1533"/>
      <c r="D2" s="1533"/>
      <c r="E2" s="2428">
        <v>1</v>
      </c>
      <c r="F2" s="1533"/>
      <c r="G2" s="1533"/>
      <c r="H2" s="1533"/>
      <c r="I2" s="1533"/>
      <c r="J2" s="1533"/>
      <c r="K2" s="1533"/>
      <c r="L2" s="1534"/>
      <c r="M2" s="1535"/>
      <c r="N2" s="1535"/>
      <c r="O2" s="1535"/>
      <c r="P2" s="1579"/>
      <c r="Q2" s="1043"/>
      <c r="R2" s="525"/>
      <c r="S2" s="1663">
        <f>INDEX(PT_DIFFERENTIATION_NUM_NTAR,MATCH(A2,PT_DIFFERENTIATION_NTAR_ID,0))</f>
      </c>
      <c r="T2" s="468" t="s">
        <v>126</v>
      </c>
      <c r="U2" s="470"/>
      <c r="V2" s="2413"/>
      <c r="W2" s="2413"/>
      <c r="X2" s="2413"/>
      <c r="Y2" s="2413"/>
      <c r="Z2" s="2413"/>
      <c r="AA2" s="2413"/>
      <c r="AB2" s="2413"/>
      <c r="AC2" s="2414"/>
      <c r="AD2" s="2412">
        <f>INDEX(PT_DIFFERENTIATION_NTAR,MATCH(A2,PT_DIFFERENTIATION_NTAR_ID,0))</f>
      </c>
      <c r="AE2" s="2413"/>
      <c r="AF2" s="2413"/>
      <c r="AG2" s="2413"/>
      <c r="AH2" s="2413"/>
      <c r="AI2" s="2413"/>
      <c r="AJ2" s="2413"/>
      <c r="AK2" s="2413"/>
      <c r="AL2" s="2413"/>
      <c r="AM2" s="2413"/>
      <c r="AN2" s="2413"/>
      <c r="AO2" s="2413"/>
      <c r="AP2" s="2413"/>
      <c r="AQ2" s="2413"/>
      <c r="AR2" s="2413"/>
      <c r="AS2" s="2413"/>
      <c r="AT2" s="2413"/>
      <c r="AU2" s="2413"/>
      <c r="AV2" s="2413"/>
      <c r="AW2" s="2413"/>
      <c r="AX2" s="2413"/>
      <c r="AY2" s="2413"/>
      <c r="AZ2" s="2413"/>
      <c r="BA2" s="2413"/>
      <c r="BB2" s="2414"/>
      <c r="BC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70"/>
      <c r="BF2" s="670" t="str">
        <f>IF(T2="","",T2)</f>
        <v>Наименование тарифа</v>
      </c>
      <c r="BG2" s="670"/>
      <c r="BH2" s="670"/>
      <c r="BI2" s="1325">
        <v>0</v>
      </c>
    </row>
    <row customHeight="1" ht="21" hidden="1">
      <c r="A3" s="1533"/>
      <c r="B3" s="1533"/>
      <c r="C3" s="1533"/>
      <c r="D3" s="1533"/>
      <c r="E3" s="2429"/>
      <c r="F3" s="2428">
        <v>1</v>
      </c>
      <c r="G3" s="1533"/>
      <c r="H3" s="1533"/>
      <c r="I3" s="1533"/>
      <c r="J3" s="1533"/>
      <c r="K3" s="1533"/>
      <c r="L3" s="1534"/>
      <c r="M3" s="1535"/>
      <c r="N3" s="1535"/>
      <c r="O3" s="1535"/>
      <c r="P3" s="1580"/>
      <c r="Q3" s="1581"/>
      <c r="R3" s="523"/>
      <c r="S3" s="1663">
        <f>INDEX(PT_DIFFERENTIATION_NUM_TER,MATCH(B3,PT_DIFFERENTIATION_TER_ID,0))</f>
      </c>
      <c r="T3" s="478" t="s">
        <v>409</v>
      </c>
      <c r="U3" s="470"/>
      <c r="V3" s="2413"/>
      <c r="W3" s="2413"/>
      <c r="X3" s="2413"/>
      <c r="Y3" s="2413"/>
      <c r="Z3" s="2413"/>
      <c r="AA3" s="2413"/>
      <c r="AB3" s="2413"/>
      <c r="AC3" s="2414"/>
      <c r="AD3" s="2412">
        <f>INDEX(PT_DIFFERENTIATION_TER,MATCH(B3,PT_DIFFERENTIATION_TER_ID,0))</f>
      </c>
      <c r="AE3" s="2413"/>
      <c r="AF3" s="2413"/>
      <c r="AG3" s="2413"/>
      <c r="AH3" s="2413"/>
      <c r="AI3" s="2413"/>
      <c r="AJ3" s="2413"/>
      <c r="AK3" s="2413"/>
      <c r="AL3" s="2413"/>
      <c r="AM3" s="2413"/>
      <c r="AN3" s="2413"/>
      <c r="AO3" s="2413"/>
      <c r="AP3" s="2413"/>
      <c r="AQ3" s="2413"/>
      <c r="AR3" s="2413"/>
      <c r="AS3" s="2413"/>
      <c r="AT3" s="2413"/>
      <c r="AU3" s="2413"/>
      <c r="AV3" s="2413"/>
      <c r="AW3" s="2413"/>
      <c r="AX3" s="2413"/>
      <c r="AY3" s="2413"/>
      <c r="AZ3" s="2413"/>
      <c r="BA3" s="2413"/>
      <c r="BB3" s="2414"/>
      <c r="BC3" s="1428" t="s">
        <v>410</v>
      </c>
      <c r="BE3" s="670"/>
      <c r="BF3" s="670" t="str">
        <f>IF(T3="","",T3)</f>
        <v>Территория действия тарифа</v>
      </c>
      <c r="BG3" s="670"/>
      <c r="BH3" s="670"/>
      <c r="BI3" s="1325">
        <v>0</v>
      </c>
    </row>
    <row customHeight="1" ht="33.75" hidden="1">
      <c r="A4" s="1533"/>
      <c r="B4" s="1533"/>
      <c r="C4" s="1533"/>
      <c r="D4" s="1533"/>
      <c r="E4" s="2429"/>
      <c r="F4" s="2429"/>
      <c r="G4" s="2428">
        <v>1</v>
      </c>
      <c r="H4" s="1533"/>
      <c r="I4" s="1533"/>
      <c r="J4" s="1533"/>
      <c r="K4" s="1533"/>
      <c r="L4" s="1534"/>
      <c r="M4" s="1535"/>
      <c r="N4" s="1535"/>
      <c r="O4" s="1535"/>
      <c r="P4" s="1582"/>
      <c r="Q4" s="1581"/>
      <c r="R4" s="523"/>
      <c r="S4" s="1663">
        <f>INDEX(PT_DIFFERENTIATION_NUM_CS,MATCH(C4,PT_DIFFERENTIATION_CS_ID,0))</f>
      </c>
      <c r="T4" s="479" t="s">
        <v>531</v>
      </c>
      <c r="U4" s="470"/>
      <c r="V4" s="2413"/>
      <c r="W4" s="2413"/>
      <c r="X4" s="2413"/>
      <c r="Y4" s="2413"/>
      <c r="Z4" s="2413"/>
      <c r="AA4" s="2413"/>
      <c r="AB4" s="2413"/>
      <c r="AC4" s="2414"/>
      <c r="AD4" s="2412">
        <f>INDEX(PT_DIFFERENTIATION_CS,MATCH(C4,PT_DIFFERENTIATION_CS_ID,0))</f>
      </c>
      <c r="AE4" s="2413"/>
      <c r="AF4" s="2413"/>
      <c r="AG4" s="2413"/>
      <c r="AH4" s="2413"/>
      <c r="AI4" s="2413"/>
      <c r="AJ4" s="2413"/>
      <c r="AK4" s="2413"/>
      <c r="AL4" s="2413"/>
      <c r="AM4" s="2413"/>
      <c r="AN4" s="2413"/>
      <c r="AO4" s="2413"/>
      <c r="AP4" s="2413"/>
      <c r="AQ4" s="2413"/>
      <c r="AR4" s="2413"/>
      <c r="AS4" s="2413"/>
      <c r="AT4" s="2413"/>
      <c r="AU4" s="2413"/>
      <c r="AV4" s="2413"/>
      <c r="AW4" s="2413"/>
      <c r="AX4" s="2413"/>
      <c r="AY4" s="2413"/>
      <c r="AZ4" s="2413"/>
      <c r="BA4" s="2413"/>
      <c r="BB4" s="2414"/>
      <c r="BC4" s="1428" t="s">
        <v>532</v>
      </c>
      <c r="BE4" s="670"/>
      <c r="BF4" s="670" t="str">
        <f>IF(T4="","",T4)</f>
        <v>Наименование централизованной системы водоотведения</v>
      </c>
      <c r="BG4" s="670"/>
      <c r="BH4" s="670"/>
      <c r="BI4" s="1325">
        <v>0</v>
      </c>
    </row>
    <row s="11993" customFormat="1" customHeight="1" ht="14.25" hidden="1">
      <c r="A5" s="1513"/>
      <c r="B5" s="1513"/>
      <c r="C5" s="1513"/>
      <c r="D5" s="1513"/>
      <c r="E5" s="2429"/>
      <c r="F5" s="2429"/>
      <c r="G5" s="2429"/>
      <c r="H5" s="2428">
        <v>1</v>
      </c>
      <c r="I5" s="1513"/>
      <c r="J5" s="1513"/>
      <c r="K5" s="1513"/>
      <c r="L5" s="1516"/>
      <c r="M5" s="1485"/>
      <c r="N5" s="1485"/>
      <c r="O5" s="1485"/>
      <c r="P5" s="1667"/>
      <c r="Q5" s="1668"/>
      <c r="R5" s="527"/>
      <c r="S5" s="1212"/>
      <c r="T5" s="1669"/>
      <c r="U5" s="1554"/>
      <c r="V5" s="2467"/>
      <c r="W5" s="2467"/>
      <c r="X5" s="2467"/>
      <c r="Y5" s="2467"/>
      <c r="Z5" s="2467"/>
      <c r="AA5" s="2467"/>
      <c r="AB5" s="2467"/>
      <c r="AC5" s="2468"/>
      <c r="AD5" s="2466"/>
      <c r="AE5" s="2467"/>
      <c r="AF5" s="2467"/>
      <c r="AG5" s="2467"/>
      <c r="AH5" s="2467"/>
      <c r="AI5" s="2467"/>
      <c r="AJ5" s="2467"/>
      <c r="AK5" s="2467"/>
      <c r="AL5" s="2467"/>
      <c r="AM5" s="2467"/>
      <c r="AN5" s="2467"/>
      <c r="AO5" s="2467"/>
      <c r="AP5" s="2467"/>
      <c r="AQ5" s="2467"/>
      <c r="AR5" s="2467"/>
      <c r="AS5" s="2467"/>
      <c r="AT5" s="2467"/>
      <c r="AU5" s="2467"/>
      <c r="AV5" s="2467"/>
      <c r="AW5" s="2467"/>
      <c r="AX5" s="2467"/>
      <c r="AY5" s="2467"/>
      <c r="AZ5" s="2467"/>
      <c r="BA5" s="2467"/>
      <c r="BB5" s="2468"/>
      <c r="BC5" s="1555" t="s">
        <v>414</v>
      </c>
      <c r="BE5" s="670"/>
      <c r="BF5" s="670" t="str">
        <f>IF(T5="","",T5)</f>
        <v/>
      </c>
      <c r="BG5" s="670"/>
      <c r="BH5" s="670"/>
      <c r="BI5" s="681">
        <v>0</v>
      </c>
    </row>
    <row s="11993" customFormat="1" customHeight="1" ht="14.25" hidden="1">
      <c r="A6" s="1513"/>
      <c r="B6" s="1513"/>
      <c r="C6" s="1513"/>
      <c r="D6" s="1513"/>
      <c r="E6" s="2429"/>
      <c r="F6" s="2429"/>
      <c r="G6" s="2429"/>
      <c r="H6" s="2429"/>
      <c r="I6" s="2426" t="str">
        <f>S5&amp;".1"</f>
        <v>.1</v>
      </c>
      <c r="J6" s="1513"/>
      <c r="K6" s="1513"/>
      <c r="L6" s="1516" t="s">
        <v>415</v>
      </c>
      <c r="M6" s="680"/>
      <c r="N6" s="680"/>
      <c r="O6" s="680"/>
      <c r="P6" s="2427">
        <v>1</v>
      </c>
      <c r="Q6" s="1651"/>
      <c r="R6" s="526"/>
      <c r="S6" s="1212"/>
      <c r="T6" s="1553"/>
      <c r="U6" s="1554"/>
      <c r="V6" s="2467"/>
      <c r="W6" s="2467"/>
      <c r="X6" s="2467"/>
      <c r="Y6" s="2467"/>
      <c r="Z6" s="2467"/>
      <c r="AA6" s="2467"/>
      <c r="AB6" s="2467"/>
      <c r="AC6" s="2468"/>
      <c r="AD6" s="2466"/>
      <c r="AE6" s="2467"/>
      <c r="AF6" s="2467"/>
      <c r="AG6" s="2467"/>
      <c r="AH6" s="2467"/>
      <c r="AI6" s="2467"/>
      <c r="AJ6" s="2467"/>
      <c r="AK6" s="2467"/>
      <c r="AL6" s="2467"/>
      <c r="AM6" s="2467"/>
      <c r="AN6" s="2467"/>
      <c r="AO6" s="2467"/>
      <c r="AP6" s="2467"/>
      <c r="AQ6" s="2467"/>
      <c r="AR6" s="2467"/>
      <c r="AS6" s="2467"/>
      <c r="AT6" s="2467"/>
      <c r="AU6" s="2467"/>
      <c r="AV6" s="2467"/>
      <c r="AW6" s="2467"/>
      <c r="AX6" s="2467"/>
      <c r="AY6" s="2467"/>
      <c r="AZ6" s="2467"/>
      <c r="BA6" s="2467"/>
      <c r="BB6" s="2468"/>
      <c r="BC6" s="1555"/>
      <c r="BE6" s="670"/>
      <c r="BF6" s="670" t="str">
        <f>IF(T6="","",T6)</f>
        <v/>
      </c>
      <c r="BG6" s="670"/>
      <c r="BH6" s="670"/>
      <c r="BI6" s="681">
        <v>0</v>
      </c>
    </row>
    <row s="11993" customFormat="1" customHeight="1" ht="14.25" hidden="1">
      <c r="A7" s="1513"/>
      <c r="B7" s="1513"/>
      <c r="C7" s="1513"/>
      <c r="D7" s="1513"/>
      <c r="E7" s="2429"/>
      <c r="F7" s="2429"/>
      <c r="G7" s="2429"/>
      <c r="H7" s="2429"/>
      <c r="I7" s="2456"/>
      <c r="J7" s="2426" t="str">
        <f>S5&amp;".1"</f>
        <v>.1</v>
      </c>
      <c r="K7" s="1513"/>
      <c r="L7" s="1516"/>
      <c r="M7" s="680"/>
      <c r="N7" s="680"/>
      <c r="O7" s="680"/>
      <c r="P7" s="2427"/>
      <c r="Q7" s="2427">
        <v>1</v>
      </c>
      <c r="R7" s="527"/>
      <c r="S7" s="1212"/>
      <c r="T7" s="1569"/>
      <c r="U7" s="1554"/>
      <c r="V7" s="2467"/>
      <c r="W7" s="2467"/>
      <c r="X7" s="2467"/>
      <c r="Y7" s="2467"/>
      <c r="Z7" s="2467"/>
      <c r="AA7" s="2467"/>
      <c r="AB7" s="2467"/>
      <c r="AC7" s="2468"/>
      <c r="AD7" s="2466"/>
      <c r="AE7" s="2467"/>
      <c r="AF7" s="2467"/>
      <c r="AG7" s="2467"/>
      <c r="AH7" s="2467"/>
      <c r="AI7" s="2467"/>
      <c r="AJ7" s="2467"/>
      <c r="AK7" s="2467"/>
      <c r="AL7" s="2467"/>
      <c r="AM7" s="2467"/>
      <c r="AN7" s="2467"/>
      <c r="AO7" s="2467"/>
      <c r="AP7" s="2467"/>
      <c r="AQ7" s="2467"/>
      <c r="AR7" s="2467"/>
      <c r="AS7" s="2467"/>
      <c r="AT7" s="2467"/>
      <c r="AU7" s="2467"/>
      <c r="AV7" s="2467"/>
      <c r="AW7" s="2467"/>
      <c r="AX7" s="2467"/>
      <c r="AY7" s="2467"/>
      <c r="AZ7" s="2467"/>
      <c r="BA7" s="2467"/>
      <c r="BB7" s="2468"/>
      <c r="BC7" s="1555"/>
      <c r="BE7" s="670"/>
      <c r="BF7" s="670" t="str">
        <f>IF(T7="","",T7)</f>
        <v/>
      </c>
      <c r="BG7" s="670"/>
      <c r="BH7" s="670"/>
      <c r="BI7" s="681">
        <v>0</v>
      </c>
    </row>
    <row customHeight="1" ht="11.25" hidden="1">
      <c r="A8" s="1533"/>
      <c r="B8" s="1533"/>
      <c r="C8" s="1533"/>
      <c r="D8" s="1533"/>
      <c r="E8" s="2429"/>
      <c r="F8" s="2429"/>
      <c r="G8" s="2429"/>
      <c r="H8" s="2429"/>
      <c r="I8" s="2456"/>
      <c r="J8" s="2456"/>
      <c r="K8" s="2426">
        <f>S4&amp;".1"</f>
      </c>
      <c r="L8" s="1534"/>
      <c r="P8" s="2427"/>
      <c r="Q8" s="2427"/>
      <c r="R8" s="2517">
        <v>1</v>
      </c>
      <c r="S8" s="2511">
        <f>$K8</f>
      </c>
      <c r="T8" s="2530"/>
      <c r="U8" s="470"/>
      <c r="V8" s="921"/>
      <c r="W8" s="1427"/>
      <c r="X8" s="921"/>
      <c r="Y8" s="1427"/>
      <c r="Z8" s="1904"/>
      <c r="AA8" s="1639" t="s">
        <v>64</v>
      </c>
      <c r="AB8" s="1904"/>
      <c r="AC8" s="1639" t="s">
        <v>64</v>
      </c>
      <c r="AD8" s="2355" t="s">
        <v>64</v>
      </c>
      <c r="AE8" s="2496"/>
      <c r="AF8" s="2375">
        <v>1</v>
      </c>
      <c r="AG8" s="2533"/>
      <c r="AH8" s="2277" t="s">
        <v>64</v>
      </c>
      <c r="AI8" s="2496"/>
      <c r="AJ8" s="2375">
        <v>1</v>
      </c>
      <c r="AK8" s="2497" t="s">
        <v>28</v>
      </c>
      <c r="AL8" s="2277" t="s">
        <v>64</v>
      </c>
      <c r="AM8" s="2362"/>
      <c r="AN8" s="2375">
        <v>1</v>
      </c>
      <c r="AO8" s="2527"/>
      <c r="AP8" s="2528" t="s">
        <v>64</v>
      </c>
      <c r="AQ8" s="481"/>
      <c r="AR8" s="1656">
        <v>1</v>
      </c>
      <c r="AS8" s="1662" t="s">
        <v>28</v>
      </c>
      <c r="AT8" s="921"/>
      <c r="AU8" s="1427"/>
      <c r="AV8" s="921"/>
      <c r="AW8" s="1427"/>
      <c r="AX8" s="1904"/>
      <c r="AY8" s="1639" t="s">
        <v>64</v>
      </c>
      <c r="AZ8" s="1904"/>
      <c r="BA8" s="1639" t="s">
        <v>64</v>
      </c>
      <c r="BB8" s="1518"/>
      <c r="BC8" s="2423" t="s">
        <v>516</v>
      </c>
      <c r="BE8" s="670"/>
      <c r="BF8" s="670" t="str">
        <f>IF(T8="","",T8)</f>
        <v/>
      </c>
      <c r="BG8" s="670"/>
      <c r="BH8" s="670"/>
      <c r="BI8" s="1325">
        <v>0</v>
      </c>
    </row>
    <row customHeight="1" ht="11.25" hidden="1">
      <c r="A9" s="1533"/>
      <c r="B9" s="1533"/>
      <c r="C9" s="1533"/>
      <c r="D9" s="1533"/>
      <c r="E9" s="2429"/>
      <c r="F9" s="2429"/>
      <c r="G9" s="2429"/>
      <c r="H9" s="2429"/>
      <c r="I9" s="2456"/>
      <c r="J9" s="2456"/>
      <c r="K9" s="2426"/>
      <c r="L9" s="1534"/>
      <c r="P9" s="2427"/>
      <c r="Q9" s="2427"/>
      <c r="R9" s="2517"/>
      <c r="S9" s="2512"/>
      <c r="T9" s="2531"/>
      <c r="U9" s="470"/>
      <c r="V9" s="1563"/>
      <c r="W9" s="1666"/>
      <c r="X9" s="1563"/>
      <c r="Y9" s="1666"/>
      <c r="Z9" s="1563"/>
      <c r="AA9" s="1563"/>
      <c r="AB9" s="1563"/>
      <c r="AC9" s="1563"/>
      <c r="AD9" s="2356"/>
      <c r="AE9" s="2496"/>
      <c r="AF9" s="2375"/>
      <c r="AG9" s="2533"/>
      <c r="AH9" s="2277"/>
      <c r="AI9" s="2496"/>
      <c r="AJ9" s="2375"/>
      <c r="AK9" s="2497"/>
      <c r="AL9" s="2277"/>
      <c r="AM9" s="2370"/>
      <c r="AN9" s="2375"/>
      <c r="AO9" s="2527"/>
      <c r="AP9" s="2529"/>
      <c r="AQ9" s="486"/>
      <c r="AR9" s="586"/>
      <c r="AS9" s="586" t="s">
        <v>517</v>
      </c>
      <c r="AT9" s="1563"/>
      <c r="AU9" s="1666"/>
      <c r="AV9" s="1563"/>
      <c r="AW9" s="1666"/>
      <c r="AX9" s="1563"/>
      <c r="AY9" s="1563"/>
      <c r="AZ9" s="1563"/>
      <c r="BA9" s="1563"/>
      <c r="BB9" s="1567"/>
      <c r="BC9" s="2424"/>
      <c r="BE9" s="670"/>
      <c r="BF9" s="670"/>
      <c r="BG9" s="670"/>
      <c r="BH9" s="670"/>
      <c r="BI9" s="1325">
        <v>0</v>
      </c>
    </row>
    <row customHeight="1" ht="11.25" hidden="1">
      <c r="A10" s="1533"/>
      <c r="B10" s="1533"/>
      <c r="C10" s="1533"/>
      <c r="D10" s="1533"/>
      <c r="E10" s="2429"/>
      <c r="F10" s="2429"/>
      <c r="G10" s="2429"/>
      <c r="H10" s="2429"/>
      <c r="I10" s="2456"/>
      <c r="J10" s="2456"/>
      <c r="K10" s="2426"/>
      <c r="L10" s="1534"/>
      <c r="P10" s="2427"/>
      <c r="Q10" s="2427"/>
      <c r="R10" s="2517"/>
      <c r="S10" s="2512"/>
      <c r="T10" s="2531"/>
      <c r="U10" s="470"/>
      <c r="V10" s="1563"/>
      <c r="W10" s="1666"/>
      <c r="X10" s="1563"/>
      <c r="Y10" s="1666"/>
      <c r="Z10" s="1563"/>
      <c r="AA10" s="1563"/>
      <c r="AB10" s="1563"/>
      <c r="AC10" s="1563"/>
      <c r="AD10" s="2356"/>
      <c r="AE10" s="2496"/>
      <c r="AF10" s="2375"/>
      <c r="AG10" s="2533"/>
      <c r="AH10" s="2277"/>
      <c r="AI10" s="2496"/>
      <c r="AJ10" s="2375"/>
      <c r="AK10" s="2497"/>
      <c r="AL10" s="2277"/>
      <c r="AM10" s="486"/>
      <c r="AN10" s="1670"/>
      <c r="AO10" s="1670" t="s">
        <v>537</v>
      </c>
      <c r="AP10" s="586"/>
      <c r="AQ10" s="586"/>
      <c r="AR10" s="586"/>
      <c r="AS10" s="1563"/>
      <c r="AT10" s="1563"/>
      <c r="AU10" s="1666"/>
      <c r="AV10" s="1563"/>
      <c r="AW10" s="1666"/>
      <c r="AX10" s="1563"/>
      <c r="AY10" s="1563"/>
      <c r="AZ10" s="1563"/>
      <c r="BA10" s="1563"/>
      <c r="BB10" s="1567"/>
      <c r="BC10" s="2424"/>
      <c r="BE10" s="670"/>
      <c r="BF10" s="670"/>
      <c r="BG10" s="670"/>
      <c r="BH10" s="670"/>
      <c r="BI10" s="1325">
        <v>0</v>
      </c>
    </row>
    <row customHeight="1" ht="11.25" hidden="1">
      <c r="A11" s="1533"/>
      <c r="B11" s="1533"/>
      <c r="C11" s="1533"/>
      <c r="D11" s="1533"/>
      <c r="E11" s="2429"/>
      <c r="F11" s="2429"/>
      <c r="G11" s="2429"/>
      <c r="H11" s="2429"/>
      <c r="I11" s="2456"/>
      <c r="J11" s="2456"/>
      <c r="K11" s="2426"/>
      <c r="L11" s="1534"/>
      <c r="P11" s="2427"/>
      <c r="Q11" s="2427"/>
      <c r="R11" s="2517"/>
      <c r="S11" s="2512"/>
      <c r="T11" s="2531"/>
      <c r="U11" s="470"/>
      <c r="V11" s="1563"/>
      <c r="W11" s="1666"/>
      <c r="X11" s="1563"/>
      <c r="Y11" s="1666"/>
      <c r="Z11" s="1563"/>
      <c r="AA11" s="1563"/>
      <c r="AB11" s="1563"/>
      <c r="AC11" s="1563"/>
      <c r="AD11" s="2356"/>
      <c r="AE11" s="2496"/>
      <c r="AF11" s="2375"/>
      <c r="AG11" s="2533"/>
      <c r="AH11" s="2277"/>
      <c r="AI11" s="464"/>
      <c r="AJ11" s="585"/>
      <c r="AK11" s="483" t="s">
        <v>538</v>
      </c>
      <c r="AL11" s="1563"/>
      <c r="AM11" s="1563"/>
      <c r="AN11" s="1563"/>
      <c r="AO11" s="1563"/>
      <c r="AP11" s="1563"/>
      <c r="AQ11" s="1563"/>
      <c r="AR11" s="1563"/>
      <c r="AS11" s="1563"/>
      <c r="AT11" s="1563"/>
      <c r="AU11" s="1666"/>
      <c r="AV11" s="1563"/>
      <c r="AW11" s="1666"/>
      <c r="AX11" s="1563"/>
      <c r="AY11" s="1563"/>
      <c r="AZ11" s="1563"/>
      <c r="BA11" s="1563"/>
      <c r="BB11" s="1567"/>
      <c r="BC11" s="2424"/>
      <c r="BE11" s="670"/>
      <c r="BF11" s="670"/>
      <c r="BG11" s="670"/>
      <c r="BH11" s="670"/>
      <c r="BI11" s="1325">
        <v>0</v>
      </c>
    </row>
    <row customHeight="1" ht="11.25" hidden="1">
      <c r="A12" s="1533"/>
      <c r="B12" s="1533"/>
      <c r="C12" s="1533"/>
      <c r="D12" s="1533"/>
      <c r="E12" s="2429"/>
      <c r="F12" s="2429"/>
      <c r="G12" s="2429"/>
      <c r="H12" s="2429"/>
      <c r="I12" s="2456"/>
      <c r="J12" s="2456"/>
      <c r="K12" s="2426"/>
      <c r="L12" s="1534"/>
      <c r="P12" s="2427"/>
      <c r="Q12" s="2427"/>
      <c r="R12" s="2517"/>
      <c r="S12" s="2513"/>
      <c r="T12" s="2532"/>
      <c r="U12" s="470"/>
      <c r="V12" s="1563"/>
      <c r="W12" s="1564" t="str">
        <f>Z8&amp;"-"&amp;AB8</f>
        <v>-</v>
      </c>
      <c r="X12" s="1563"/>
      <c r="Y12" s="1564" t="str">
        <f>AB8&amp;"-"&amp;AD8</f>
        <v>-да</v>
      </c>
      <c r="Z12" s="1563"/>
      <c r="AA12" s="1563"/>
      <c r="AB12" s="1563"/>
      <c r="AC12" s="1563"/>
      <c r="AD12" s="2282"/>
      <c r="AE12" s="482"/>
      <c r="AF12" s="484"/>
      <c r="AG12" s="586" t="s">
        <v>520</v>
      </c>
      <c r="AH12" s="1563"/>
      <c r="AI12" s="1563"/>
      <c r="AJ12" s="1563"/>
      <c r="AK12" s="1563"/>
      <c r="AL12" s="1563"/>
      <c r="AM12" s="1563"/>
      <c r="AN12" s="1563"/>
      <c r="AO12" s="1563"/>
      <c r="AP12" s="1563"/>
      <c r="AQ12" s="1563"/>
      <c r="AR12" s="1563"/>
      <c r="AS12" s="1563"/>
      <c r="AT12" s="1563"/>
      <c r="AU12" s="1564" t="str">
        <f>AX8&amp;"-"&amp;AZ8</f>
        <v>-</v>
      </c>
      <c r="AV12" s="1563"/>
      <c r="AW12" s="1564" t="str">
        <f>AZ8&amp;"-"&amp;BB8</f>
        <v>-</v>
      </c>
      <c r="AX12" s="1563"/>
      <c r="AY12" s="1563"/>
      <c r="AZ12" s="1563"/>
      <c r="BA12" s="1563"/>
      <c r="BB12" s="1566" t="str">
        <f>BE8&amp;"-"&amp;BG8</f>
        <v>-</v>
      </c>
      <c r="BC12" s="2424"/>
      <c r="BE12" s="670"/>
      <c r="BF12" s="670" t="str">
        <f>IF(T12="","",T12)</f>
        <v/>
      </c>
      <c r="BG12" s="670"/>
      <c r="BH12" s="670"/>
      <c r="BI12" s="1325">
        <v>0</v>
      </c>
    </row>
    <row customHeight="1" ht="11.25" hidden="1">
      <c r="A13" s="1533"/>
      <c r="B13" s="1533"/>
      <c r="C13" s="1533"/>
      <c r="D13" s="1533"/>
      <c r="E13" s="2429"/>
      <c r="F13" s="2429"/>
      <c r="G13" s="2429"/>
      <c r="H13" s="2429"/>
      <c r="I13" s="2456"/>
      <c r="J13" s="2426"/>
      <c r="K13" s="1533"/>
      <c r="L13" s="1534"/>
      <c r="P13" s="2427"/>
      <c r="Q13" s="2427"/>
      <c r="R13" s="526"/>
      <c r="S13" s="1448"/>
      <c r="T13" s="457" t="s">
        <v>481</v>
      </c>
      <c r="U13" s="537"/>
      <c r="V13" s="537"/>
      <c r="W13" s="537"/>
      <c r="X13" s="537"/>
      <c r="Y13" s="537"/>
      <c r="Z13" s="537"/>
      <c r="AA13" s="537"/>
      <c r="AB13" s="537"/>
      <c r="AC13" s="537"/>
      <c r="AD13" s="1675"/>
      <c r="AE13" s="537"/>
      <c r="AF13" s="537"/>
      <c r="AG13" s="537"/>
      <c r="AH13" s="537"/>
      <c r="AI13" s="537"/>
      <c r="AJ13" s="537"/>
      <c r="AK13" s="537"/>
      <c r="AL13" s="537"/>
      <c r="AM13" s="537"/>
      <c r="AN13" s="537"/>
      <c r="AO13" s="537"/>
      <c r="AP13" s="537"/>
      <c r="AQ13" s="537"/>
      <c r="AR13" s="537"/>
      <c r="AS13" s="537"/>
      <c r="AT13" s="537"/>
      <c r="AU13" s="537"/>
      <c r="AV13" s="537"/>
      <c r="AW13" s="537"/>
      <c r="AX13" s="537"/>
      <c r="AY13" s="537"/>
      <c r="AZ13" s="537"/>
      <c r="BA13" s="537"/>
      <c r="BB13" s="494"/>
      <c r="BC13" s="2425"/>
      <c r="BE13" s="670"/>
      <c r="BF13" s="670" t="str">
        <f>IF(T13="","",T13)</f>
        <v>Добавить строку</v>
      </c>
      <c r="BG13" s="670"/>
      <c r="BH13" s="670"/>
      <c r="BI13" s="1325">
        <v>0</v>
      </c>
    </row>
    <row s="11993" customFormat="1" customHeight="1" ht="14.25" hidden="1">
      <c r="A14" s="1513"/>
      <c r="B14" s="1513"/>
      <c r="C14" s="1513"/>
      <c r="D14" s="1513"/>
      <c r="E14" s="2429"/>
      <c r="F14" s="2429"/>
      <c r="G14" s="2429"/>
      <c r="H14" s="2429"/>
      <c r="I14" s="2426"/>
      <c r="J14" s="1513"/>
      <c r="K14" s="1513"/>
      <c r="L14" s="1516"/>
      <c r="M14" s="680"/>
      <c r="N14" s="680"/>
      <c r="O14" s="680"/>
      <c r="P14" s="2427"/>
      <c r="Q14" s="1651"/>
      <c r="R14" s="526"/>
      <c r="S14" s="1556"/>
      <c r="T14" s="1557"/>
      <c r="U14" s="1558"/>
      <c r="V14" s="1558"/>
      <c r="W14" s="1558"/>
      <c r="X14" s="1558"/>
      <c r="Y14" s="1558"/>
      <c r="Z14" s="1558"/>
      <c r="AA14" s="1558"/>
      <c r="AB14" s="1558"/>
      <c r="AC14" s="1558"/>
      <c r="AD14" s="1558"/>
      <c r="AE14" s="1558"/>
      <c r="AF14" s="1558"/>
      <c r="AG14" s="1558"/>
      <c r="AH14" s="1558"/>
      <c r="AI14" s="1558"/>
      <c r="AJ14" s="1558"/>
      <c r="AK14" s="1558"/>
      <c r="AL14" s="1558"/>
      <c r="AM14" s="1558"/>
      <c r="AN14" s="1558"/>
      <c r="AO14" s="1558"/>
      <c r="AP14" s="1558"/>
      <c r="AQ14" s="1558"/>
      <c r="AR14" s="1558"/>
      <c r="AS14" s="1558"/>
      <c r="AT14" s="1558"/>
      <c r="AU14" s="1558"/>
      <c r="AV14" s="1558"/>
      <c r="AW14" s="1558"/>
      <c r="AX14" s="1558"/>
      <c r="AY14" s="1558"/>
      <c r="AZ14" s="1558"/>
      <c r="BA14" s="1558"/>
      <c r="BB14" s="1558"/>
      <c r="BC14" s="1559"/>
      <c r="BE14" s="670"/>
      <c r="BF14" s="670" t="str">
        <f>IF(T14="","",T14)</f>
        <v/>
      </c>
      <c r="BG14" s="670"/>
      <c r="BH14" s="670"/>
      <c r="BI14" s="681">
        <v>0</v>
      </c>
    </row>
    <row s="11993" customFormat="1" customHeight="1" ht="14.25" hidden="1">
      <c r="A15" s="1513"/>
      <c r="B15" s="1513"/>
      <c r="C15" s="1513"/>
      <c r="D15" s="1513"/>
      <c r="E15" s="2429"/>
      <c r="F15" s="2429"/>
      <c r="G15" s="2429"/>
      <c r="H15" s="2428"/>
      <c r="I15" s="1513"/>
      <c r="J15" s="1513"/>
      <c r="K15" s="1513"/>
      <c r="L15" s="1516"/>
      <c r="M15" s="1485"/>
      <c r="N15" s="1485"/>
      <c r="O15" s="688"/>
      <c r="P15" s="550"/>
      <c r="Q15" s="1514"/>
      <c r="R15" s="1571"/>
      <c r="S15" s="1556"/>
      <c r="T15" s="1557"/>
      <c r="U15" s="1558"/>
      <c r="V15" s="1558"/>
      <c r="W15" s="1558"/>
      <c r="X15" s="1558"/>
      <c r="Y15" s="1558"/>
      <c r="Z15" s="1558"/>
      <c r="AA15" s="1558"/>
      <c r="AB15" s="1558"/>
      <c r="AC15" s="1558"/>
      <c r="AD15" s="1558"/>
      <c r="AE15" s="1558"/>
      <c r="AF15" s="1558"/>
      <c r="AG15" s="1558"/>
      <c r="AH15" s="1558"/>
      <c r="AI15" s="1558"/>
      <c r="AJ15" s="1558"/>
      <c r="AK15" s="1558"/>
      <c r="AL15" s="1558"/>
      <c r="AM15" s="1558"/>
      <c r="AN15" s="1558"/>
      <c r="AO15" s="1558"/>
      <c r="AP15" s="1558"/>
      <c r="AQ15" s="1558"/>
      <c r="AR15" s="1558"/>
      <c r="AS15" s="1558"/>
      <c r="AT15" s="1558"/>
      <c r="AU15" s="1558"/>
      <c r="AV15" s="1558"/>
      <c r="AW15" s="1558"/>
      <c r="AX15" s="1558"/>
      <c r="AY15" s="1558"/>
      <c r="AZ15" s="1558"/>
      <c r="BA15" s="1558"/>
      <c r="BB15" s="1558"/>
      <c r="BC15" s="1559"/>
      <c r="BE15" s="670"/>
      <c r="BF15" s="670" t="str">
        <f>IF(T15="","",T15)</f>
        <v/>
      </c>
      <c r="BG15" s="670"/>
      <c r="BH15" s="670"/>
      <c r="BI15" s="681">
        <v>0</v>
      </c>
    </row>
    <row s="11993" customFormat="1" customHeight="1" ht="14.25" hidden="1">
      <c r="A16" s="1513"/>
      <c r="B16" s="1513"/>
      <c r="C16" s="1513"/>
      <c r="D16" s="1484"/>
      <c r="E16" s="2429"/>
      <c r="F16" s="2429"/>
      <c r="G16" s="2428"/>
      <c r="H16" s="1484"/>
      <c r="I16" s="1484"/>
      <c r="J16" s="1484"/>
      <c r="K16" s="1484"/>
      <c r="L16" s="1664"/>
      <c r="M16" s="1485"/>
      <c r="N16" s="1485"/>
      <c r="P16" s="1486"/>
      <c r="Q16" s="1487"/>
      <c r="R16" s="1486"/>
      <c r="S16" s="1492"/>
      <c r="T16" s="1495"/>
      <c r="U16" s="1494"/>
      <c r="V16" s="1494"/>
      <c r="W16" s="1494"/>
      <c r="X16" s="1494"/>
      <c r="Y16" s="1494"/>
      <c r="Z16" s="1494"/>
      <c r="AA16" s="1494"/>
      <c r="AB16" s="1494"/>
      <c r="AC16" s="1494"/>
      <c r="AD16" s="1494"/>
      <c r="AE16" s="1494"/>
      <c r="AF16" s="1494"/>
      <c r="AG16" s="1494"/>
      <c r="AH16" s="1494"/>
      <c r="AI16" s="1494"/>
      <c r="AJ16" s="1494"/>
      <c r="AK16" s="1494"/>
      <c r="AL16" s="1494"/>
      <c r="AM16" s="1494"/>
      <c r="AN16" s="1494"/>
      <c r="AO16" s="1494"/>
      <c r="AP16" s="1494"/>
      <c r="AQ16" s="1494"/>
      <c r="AR16" s="1494"/>
      <c r="AS16" s="1494"/>
      <c r="AT16" s="1494"/>
      <c r="AU16" s="1494"/>
      <c r="AV16" s="1494"/>
      <c r="AW16" s="1494"/>
      <c r="AX16" s="1494"/>
      <c r="AY16" s="1494"/>
      <c r="AZ16" s="1494"/>
      <c r="BA16" s="1494"/>
      <c r="BB16" s="1494"/>
      <c r="BC16" s="1494"/>
      <c r="BE16" s="959"/>
      <c r="BF16" s="959" t="str">
        <f>IF(T16="","",T16)</f>
        <v/>
      </c>
      <c r="BG16" s="959"/>
      <c r="BH16" s="959"/>
      <c r="BI16" s="688">
        <v>0</v>
      </c>
    </row>
    <row s="11993" customFormat="1" customHeight="1" ht="14.25" hidden="1">
      <c r="A17" s="1513"/>
      <c r="B17" s="1513"/>
      <c r="C17" s="1484"/>
      <c r="D17" s="1484"/>
      <c r="E17" s="2429"/>
      <c r="F17" s="2428"/>
      <c r="G17" s="1484"/>
      <c r="H17" s="1484"/>
      <c r="I17" s="1484"/>
      <c r="J17" s="1484"/>
      <c r="K17" s="1484"/>
      <c r="L17" s="1664"/>
      <c r="M17" s="1491"/>
      <c r="N17" s="1491"/>
      <c r="P17" s="1486"/>
      <c r="Q17" s="1487"/>
      <c r="R17" s="1486"/>
      <c r="S17" s="1492"/>
      <c r="T17" s="1495" t="s">
        <v>166</v>
      </c>
      <c r="U17" s="1494"/>
      <c r="V17" s="1494"/>
      <c r="W17" s="1494"/>
      <c r="X17" s="1494"/>
      <c r="Y17" s="1494"/>
      <c r="Z17" s="1494"/>
      <c r="AA17" s="1494"/>
      <c r="AB17" s="1494"/>
      <c r="AC17" s="1494"/>
      <c r="AD17" s="1494"/>
      <c r="AE17" s="1494"/>
      <c r="AF17" s="1494"/>
      <c r="AG17" s="1494"/>
      <c r="AH17" s="1494"/>
      <c r="AI17" s="1494"/>
      <c r="AJ17" s="1494"/>
      <c r="AK17" s="1494"/>
      <c r="AL17" s="1494"/>
      <c r="AM17" s="1494"/>
      <c r="AN17" s="1494"/>
      <c r="AO17" s="1494"/>
      <c r="AP17" s="1494"/>
      <c r="AQ17" s="1494"/>
      <c r="AR17" s="1494"/>
      <c r="AS17" s="1494"/>
      <c r="AT17" s="1494"/>
      <c r="AU17" s="1494"/>
      <c r="AV17" s="1494"/>
      <c r="AW17" s="1494"/>
      <c r="AX17" s="1494"/>
      <c r="AY17" s="1494"/>
      <c r="AZ17" s="1494"/>
      <c r="BA17" s="1494"/>
      <c r="BB17" s="1494"/>
      <c r="BC17" s="1494"/>
      <c r="BE17" s="959"/>
      <c r="BF17" s="959" t="str">
        <f>IF(T17="","",T17)</f>
        <v>Добавить централизованную систему для дифференциации</v>
      </c>
      <c r="BG17" s="959"/>
      <c r="BH17" s="959"/>
      <c r="BI17" s="688">
        <v>0</v>
      </c>
    </row>
    <row s="11993" customFormat="1" customHeight="1" ht="14.25" hidden="1">
      <c r="A18" s="1513"/>
      <c r="B18" s="1513"/>
      <c r="C18" s="1513"/>
      <c r="D18" s="1513"/>
      <c r="E18" s="2428"/>
      <c r="F18" s="1513"/>
      <c r="G18" s="1513"/>
      <c r="H18" s="1513"/>
      <c r="I18" s="1513"/>
      <c r="J18" s="1513"/>
      <c r="K18" s="1513"/>
      <c r="L18" s="1516"/>
      <c r="M18" s="1491"/>
      <c r="N18" s="1491"/>
      <c r="O18" s="688"/>
      <c r="P18" s="550"/>
      <c r="Q18" s="1514"/>
      <c r="R18" s="550"/>
      <c r="S18" s="1492"/>
      <c r="T18" s="1495" t="s">
        <v>167</v>
      </c>
      <c r="U18" s="1494"/>
      <c r="V18" s="1494"/>
      <c r="W18" s="1494"/>
      <c r="X18" s="1494"/>
      <c r="Y18" s="1494"/>
      <c r="Z18" s="1494"/>
      <c r="AA18" s="1494"/>
      <c r="AB18" s="1494"/>
      <c r="AC18" s="1494"/>
      <c r="AD18" s="1494"/>
      <c r="AE18" s="1494"/>
      <c r="AF18" s="1494"/>
      <c r="AG18" s="1494"/>
      <c r="AH18" s="1494"/>
      <c r="AI18" s="1494"/>
      <c r="AJ18" s="1494"/>
      <c r="AK18" s="1494"/>
      <c r="AL18" s="1494"/>
      <c r="AM18" s="1494"/>
      <c r="AN18" s="1494"/>
      <c r="AO18" s="1494"/>
      <c r="AP18" s="1494"/>
      <c r="AQ18" s="1494"/>
      <c r="AR18" s="1494"/>
      <c r="AS18" s="1494"/>
      <c r="AT18" s="1494"/>
      <c r="AU18" s="1494"/>
      <c r="AV18" s="1494"/>
      <c r="AW18" s="1494"/>
      <c r="AX18" s="1494"/>
      <c r="AY18" s="1494"/>
      <c r="AZ18" s="1494"/>
      <c r="BA18" s="1494"/>
      <c r="BB18" s="1494"/>
      <c r="BC18" s="1494"/>
      <c r="BE18" s="670"/>
      <c r="BF18" s="670" t="str">
        <f>IF(T18="","",T18)</f>
        <v>Добавить территорию для дифференциации</v>
      </c>
      <c r="BG18" s="670"/>
      <c r="BH18" s="670"/>
      <c r="BI18" s="681">
        <v>0</v>
      </c>
    </row>
    <row customHeight="1" ht="14.25" hidden="1">
      <c r="AC19" s="497"/>
      <c r="BA19" s="497"/>
      <c r="BI19" s="1325">
        <v>0</v>
      </c>
    </row>
    <row customHeight="1" ht="14.25" hidden="1">
      <c r="AD20" s="1494" t="s">
        <v>19</v>
      </c>
      <c r="AE20" s="1671"/>
      <c r="AF20" s="718">
        <v>1</v>
      </c>
      <c r="AG20" s="1672"/>
      <c r="AH20" s="1494" t="s">
        <v>19</v>
      </c>
      <c r="AI20" s="1671"/>
      <c r="AJ20" s="718">
        <v>1</v>
      </c>
      <c r="AK20" s="1672"/>
      <c r="AL20" s="1494" t="s">
        <v>19</v>
      </c>
      <c r="AM20" s="1673"/>
      <c r="AN20" s="718">
        <v>1</v>
      </c>
      <c r="AO20" s="1674"/>
      <c r="AP20" s="1494" t="s">
        <v>19</v>
      </c>
      <c r="AQ20" s="1673"/>
      <c r="AR20" s="718">
        <v>1</v>
      </c>
      <c r="AS20" s="1674"/>
      <c r="AT20" s="495"/>
      <c r="AU20" s="554"/>
      <c r="AV20" s="495"/>
      <c r="AW20" s="554"/>
      <c r="AX20" s="1906"/>
      <c r="AY20" s="1655" t="s">
        <v>64</v>
      </c>
      <c r="AZ20" s="1906"/>
      <c r="BA20" s="1655" t="s">
        <v>64</v>
      </c>
      <c r="BI20" s="1325">
        <v>0</v>
      </c>
    </row>
    <row customHeight="1" ht="14.25" hidden="1">
      <c r="BD21" s="666"/>
      <c r="BE21" s="666"/>
      <c r="BF21" s="666"/>
      <c r="BG21" s="666"/>
      <c r="BH21" s="666"/>
      <c r="BI21" s="1325">
        <v>0</v>
      </c>
    </row>
    <row customHeight="1" ht="14.25" hidden="1">
      <c r="O22" s="1537" t="s">
        <v>426</v>
      </c>
      <c r="Z22" s="1515"/>
      <c r="AB22" s="1515"/>
      <c r="AC22" s="497"/>
      <c r="AX22" s="1515"/>
      <c r="AZ22" s="1515"/>
      <c r="BA22" s="497"/>
      <c r="BD22" s="666"/>
      <c r="BE22" s="666"/>
      <c r="BF22" s="666"/>
      <c r="BG22" s="666"/>
      <c r="BH22" s="666"/>
      <c r="BI22" s="1325">
        <v>0</v>
      </c>
    </row>
    <row customHeight="1" ht="14.25" hidden="1">
      <c r="AC23" s="497"/>
      <c r="BA23" s="497"/>
      <c r="BD23" s="666"/>
      <c r="BE23" s="666"/>
      <c r="BF23" s="666"/>
      <c r="BG23" s="666"/>
      <c r="BH23" s="666"/>
      <c r="BI23" s="1325">
        <v>0</v>
      </c>
    </row>
    <row s="14271" customFormat="1" customHeight="1" ht="14.25" hidden="1">
      <c r="M24" s="1678"/>
      <c r="N24" s="1678"/>
      <c r="O24" s="1679" t="s">
        <v>427</v>
      </c>
      <c r="P24" s="1678"/>
      <c r="Q24" s="1680"/>
      <c r="R24" s="1680"/>
      <c r="AA24" s="1677" t="s">
        <v>429</v>
      </c>
      <c r="AC24" s="1677" t="s">
        <v>430</v>
      </c>
      <c r="AD24" s="1677" t="s">
        <v>482</v>
      </c>
      <c r="AH24" s="1677" t="s">
        <v>482</v>
      </c>
      <c r="AK24" s="1677" t="s">
        <v>521</v>
      </c>
      <c r="AL24" s="1677" t="s">
        <v>482</v>
      </c>
      <c r="AP24" s="1677" t="s">
        <v>482</v>
      </c>
      <c r="AY24" s="1677" t="s">
        <v>429</v>
      </c>
      <c r="BA24" s="1677" t="s">
        <v>430</v>
      </c>
      <c r="BD24" s="1681"/>
      <c r="BE24" s="1681"/>
      <c r="BF24" s="1681"/>
      <c r="BG24" s="1681"/>
      <c r="BH24" s="1681"/>
      <c r="BI24" s="1677">
        <v>0</v>
      </c>
    </row>
    <row customHeight="1" ht="14.25" hidden="1">
      <c r="O25" s="1534"/>
      <c r="BD25" s="666"/>
      <c r="BE25" s="666"/>
      <c r="BF25" s="666"/>
      <c r="BG25" s="666"/>
      <c r="BH25" s="666"/>
      <c r="BI25" s="1325">
        <v>0</v>
      </c>
    </row>
    <row customHeight="1" ht="14.25" hidden="1">
      <c r="O26" s="1534"/>
      <c r="BD26" s="666"/>
      <c r="BE26" s="666"/>
      <c r="BF26" s="666"/>
      <c r="BG26" s="666"/>
      <c r="BH26" s="666"/>
      <c r="BI26" s="1325">
        <v>0</v>
      </c>
    </row>
    <row customHeight="1" ht="14.699999999999998">
      <c r="Q27" s="461"/>
      <c r="R27" s="546"/>
      <c r="S27" s="1445"/>
      <c r="T27" s="533"/>
      <c r="U27" s="533"/>
      <c r="V27" s="679"/>
      <c r="W27" s="679"/>
      <c r="X27" s="679"/>
      <c r="Y27" s="679"/>
      <c r="Z27" s="679"/>
      <c r="AA27" s="679"/>
      <c r="AB27" s="679"/>
      <c r="AC27" s="679"/>
      <c r="AD27" s="679"/>
      <c r="AE27" s="679"/>
      <c r="AF27" s="679"/>
      <c r="AG27" s="679"/>
      <c r="AH27" s="679"/>
      <c r="AI27" s="679"/>
      <c r="AJ27" s="679"/>
      <c r="AK27" s="679"/>
      <c r="AL27" s="679"/>
      <c r="AM27" s="679"/>
      <c r="AN27" s="679"/>
      <c r="AO27" s="679"/>
      <c r="AP27" s="679"/>
      <c r="AQ27" s="679"/>
      <c r="AR27" s="679"/>
      <c r="AS27" s="679"/>
      <c r="AT27" s="679"/>
      <c r="AU27" s="679"/>
      <c r="AV27" s="679"/>
      <c r="AW27" s="679"/>
      <c r="AX27" s="679"/>
      <c r="AY27" s="679"/>
      <c r="AZ27" s="679"/>
      <c r="BA27" s="679"/>
      <c r="BI27" s="1325">
        <v>14</v>
      </c>
    </row>
    <row customHeight="1" ht="14.699999999999998">
      <c r="Q28" s="461"/>
      <c r="R28" s="546"/>
      <c r="S28" s="2418"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418"/>
      <c r="U28" s="2418"/>
      <c r="V28" s="2418"/>
      <c r="W28" s="2418"/>
      <c r="X28" s="2418"/>
      <c r="Y28" s="2418"/>
      <c r="Z28" s="2418"/>
      <c r="AA28" s="2418"/>
      <c r="AB28" s="2418"/>
      <c r="AC28" s="2418"/>
      <c r="AD28" s="2418"/>
      <c r="AE28" s="2418"/>
      <c r="AF28" s="2418"/>
      <c r="AG28" s="2418"/>
      <c r="AH28" s="2418"/>
      <c r="AI28" s="2418"/>
      <c r="AJ28" s="2418"/>
      <c r="AK28" s="2418"/>
      <c r="AL28" s="2418"/>
      <c r="AM28" s="2418"/>
      <c r="AN28" s="2418"/>
      <c r="AO28" s="2418"/>
      <c r="AP28" s="2418"/>
      <c r="AQ28" s="2418"/>
      <c r="AR28" s="2418"/>
      <c r="AS28" s="2418"/>
      <c r="AT28" s="2418"/>
      <c r="AU28" s="2418"/>
      <c r="AV28" s="2418"/>
      <c r="AW28" s="2418"/>
      <c r="AX28" s="2418"/>
      <c r="AY28" s="2418"/>
      <c r="AZ28" s="2418"/>
      <c r="BA28" s="1413"/>
      <c r="BI28" s="1325">
        <v>14</v>
      </c>
    </row>
    <row customHeight="1" ht="14.699999999999998">
      <c r="Q29" s="461"/>
      <c r="R29" s="546"/>
      <c r="S29" s="2419" t="str">
        <f>IF(org=0,"Не определено",org)</f>
        <v>Филиал "Шатурская ГРЭС" ПАО "Юнипро"</v>
      </c>
      <c r="T29" s="2419"/>
      <c r="U29" s="2419"/>
      <c r="V29" s="2419"/>
      <c r="W29" s="2419"/>
      <c r="X29" s="2419"/>
      <c r="Y29" s="2419"/>
      <c r="Z29" s="2419"/>
      <c r="AA29" s="2419"/>
      <c r="AB29" s="2419"/>
      <c r="AC29" s="2419"/>
      <c r="AD29" s="2419"/>
      <c r="AE29" s="2419"/>
      <c r="AF29" s="2419"/>
      <c r="AG29" s="2419"/>
      <c r="AH29" s="2419"/>
      <c r="AI29" s="2419"/>
      <c r="AJ29" s="2419"/>
      <c r="AK29" s="2419"/>
      <c r="AL29" s="2419"/>
      <c r="AM29" s="2419"/>
      <c r="AN29" s="2419"/>
      <c r="AO29" s="2419"/>
      <c r="AP29" s="2419"/>
      <c r="AQ29" s="2419"/>
      <c r="AR29" s="2419"/>
      <c r="AS29" s="2419"/>
      <c r="AT29" s="2419"/>
      <c r="AU29" s="2419"/>
      <c r="AV29" s="2419"/>
      <c r="AW29" s="2419"/>
      <c r="AX29" s="2419"/>
      <c r="AY29" s="2419"/>
      <c r="AZ29" s="2419"/>
      <c r="BA29" s="1413"/>
      <c r="BI29" s="1325">
        <v>14</v>
      </c>
    </row>
    <row customHeight="1" ht="14.25">
      <c r="Q30" s="461"/>
      <c r="R30" s="546"/>
      <c r="S30" s="1445"/>
      <c r="T30" s="533"/>
      <c r="U30" s="533"/>
      <c r="V30" s="492"/>
      <c r="W30" s="492"/>
      <c r="X30" s="492"/>
      <c r="Y30" s="492"/>
      <c r="Z30" s="492"/>
      <c r="AA30" s="492"/>
      <c r="AB30" s="492"/>
      <c r="AC30" s="492"/>
      <c r="AD30" s="492"/>
      <c r="AE30" s="492"/>
      <c r="AF30" s="492"/>
      <c r="AG30" s="492"/>
      <c r="AH30" s="492"/>
      <c r="AI30" s="492"/>
      <c r="AJ30" s="492"/>
      <c r="AK30" s="492"/>
      <c r="AL30" s="492"/>
      <c r="AM30" s="492"/>
      <c r="AN30" s="492"/>
      <c r="AO30" s="492"/>
      <c r="AP30" s="492"/>
      <c r="AQ30" s="492"/>
      <c r="AR30" s="492"/>
      <c r="AS30" s="492"/>
      <c r="AT30" s="492"/>
      <c r="AU30" s="492"/>
      <c r="AV30" s="492"/>
      <c r="AW30" s="492"/>
      <c r="AX30" s="492"/>
      <c r="AY30" s="492"/>
      <c r="AZ30" s="492"/>
      <c r="BA30" s="492"/>
      <c r="BB30" s="679"/>
      <c r="BI30" s="1325">
        <v>0</v>
      </c>
    </row>
    <row s="12119" customFormat="1" customHeight="1" ht="25.5">
      <c r="A31" s="1538"/>
      <c r="B31" s="1538"/>
      <c r="C31" s="1538"/>
      <c r="D31" s="1538"/>
      <c r="E31" s="1538"/>
      <c r="F31" s="1538"/>
      <c r="G31" s="1538"/>
      <c r="H31" s="1538"/>
      <c r="I31" s="1538"/>
      <c r="J31" s="1538"/>
      <c r="K31" s="1538"/>
      <c r="L31" s="1539"/>
      <c r="M31" s="1538"/>
      <c r="N31" s="1538"/>
      <c r="O31" s="1538"/>
      <c r="P31" s="1538"/>
      <c r="Q31" s="1538"/>
      <c r="S31" s="2420" t="s">
        <v>42</v>
      </c>
      <c r="T31" s="2420"/>
      <c r="U31" s="1542"/>
      <c r="V31" s="2421" t="str">
        <f>IF(TITLE_NAME_OR_PR_CHANGE="",IF(TITLE_NAME_OR_PR="","",TITLE_NAME_OR_PR),TITLE_NAME_OR_PR_CHANGE)</f>
        <v>Комитет по ценам и тарифам Московской области</v>
      </c>
      <c r="W31" s="2421"/>
      <c r="X31" s="2421"/>
      <c r="Y31" s="2421"/>
      <c r="Z31" s="2421"/>
      <c r="AA31" s="2421"/>
      <c r="AB31" s="2421"/>
      <c r="AC31" s="496"/>
      <c r="AD31" s="2421" t="str">
        <f>IF(TITLE_NAME_OR_PR_CHANGE="",IF(TITLE_NAME_OR_PR="","",TITLE_NAME_OR_PR),TITLE_NAME_OR_PR_CHANGE)</f>
        <v>Комитет по ценам и тарифам Московской области</v>
      </c>
      <c r="AE31" s="2421"/>
      <c r="AF31" s="2421"/>
      <c r="AG31" s="2421"/>
      <c r="AH31" s="2421"/>
      <c r="AI31" s="2421"/>
      <c r="AJ31" s="2421"/>
      <c r="AK31" s="2421"/>
      <c r="AL31" s="2421"/>
      <c r="AM31" s="2421"/>
      <c r="AN31" s="2421"/>
      <c r="AO31" s="2421"/>
      <c r="AP31" s="2421"/>
      <c r="AQ31" s="2421"/>
      <c r="AR31" s="2421"/>
      <c r="AS31" s="2421"/>
      <c r="AT31" s="2421"/>
      <c r="AU31" s="2421"/>
      <c r="AV31" s="2421"/>
      <c r="AW31" s="2421"/>
      <c r="AX31" s="2421"/>
      <c r="AY31" s="2421"/>
      <c r="AZ31" s="2421"/>
      <c r="BA31" s="496"/>
      <c r="BB31" s="496"/>
      <c r="BC31" s="450"/>
      <c r="BD31" s="538"/>
      <c r="BE31" s="538"/>
      <c r="BF31" s="538"/>
      <c r="BG31" s="538"/>
      <c r="BH31" s="538"/>
      <c r="BI31" s="588">
        <v>0</v>
      </c>
    </row>
    <row s="12119" customFormat="1" customHeight="1" ht="18.75">
      <c r="A32" s="1538"/>
      <c r="B32" s="1538"/>
      <c r="C32" s="1538"/>
      <c r="D32" s="1538"/>
      <c r="E32" s="1538"/>
      <c r="F32" s="1538"/>
      <c r="G32" s="1538"/>
      <c r="H32" s="1538"/>
      <c r="I32" s="1538"/>
      <c r="J32" s="1538"/>
      <c r="K32" s="1538"/>
      <c r="L32" s="1539"/>
      <c r="M32" s="1538"/>
      <c r="N32" s="1538"/>
      <c r="O32" s="1538"/>
      <c r="P32" s="1538"/>
      <c r="Q32" s="1538"/>
      <c r="S32" s="2420" t="s">
        <v>432</v>
      </c>
      <c r="T32" s="2420"/>
      <c r="U32" s="1542"/>
      <c r="V32" s="2434" t="str">
        <f>IF(TITLE_DATE_PR_CHANGE="",IF(TITLE_DATE_PR="","",TITLE_DATE_PR),TITLE_DATE_PR_CHANGE)</f>
        <v>45646.459814814814</v>
      </c>
      <c r="W32" s="2434"/>
      <c r="X32" s="2434"/>
      <c r="Y32" s="2434"/>
      <c r="Z32" s="2434"/>
      <c r="AA32" s="2434"/>
      <c r="AB32" s="2434"/>
      <c r="AC32" s="496"/>
      <c r="AD32" s="2434" t="str">
        <f>IF(TITLE_DATE_PR_CHANGE="",IF(TITLE_DATE_PR="","",TITLE_DATE_PR),TITLE_DATE_PR_CHANGE)</f>
        <v>45646.459814814814</v>
      </c>
      <c r="AE32" s="2434"/>
      <c r="AF32" s="2434"/>
      <c r="AG32" s="2434"/>
      <c r="AH32" s="2434"/>
      <c r="AI32" s="2434"/>
      <c r="AJ32" s="2434"/>
      <c r="AK32" s="2434"/>
      <c r="AL32" s="2434"/>
      <c r="AM32" s="2434"/>
      <c r="AN32" s="2434"/>
      <c r="AO32" s="2434"/>
      <c r="AP32" s="2434"/>
      <c r="AQ32" s="2434"/>
      <c r="AR32" s="2434"/>
      <c r="AS32" s="2434"/>
      <c r="AT32" s="2434"/>
      <c r="AU32" s="2434"/>
      <c r="AV32" s="2434"/>
      <c r="AW32" s="2434"/>
      <c r="AX32" s="2434"/>
      <c r="AY32" s="2434"/>
      <c r="AZ32" s="2434"/>
      <c r="BA32" s="496"/>
      <c r="BB32" s="496"/>
      <c r="BC32" s="450"/>
      <c r="BD32" s="538"/>
      <c r="BE32" s="538"/>
      <c r="BF32" s="538"/>
      <c r="BG32" s="538"/>
      <c r="BH32" s="538"/>
      <c r="BI32" s="588">
        <v>0</v>
      </c>
    </row>
    <row s="12119" customFormat="1" customHeight="1" ht="18.75">
      <c r="A33" s="1538"/>
      <c r="B33" s="1538"/>
      <c r="C33" s="1538"/>
      <c r="D33" s="1538"/>
      <c r="E33" s="1538"/>
      <c r="F33" s="1538"/>
      <c r="G33" s="1538"/>
      <c r="H33" s="1538"/>
      <c r="I33" s="1538"/>
      <c r="J33" s="1538"/>
      <c r="K33" s="1538"/>
      <c r="L33" s="1539"/>
      <c r="M33" s="1538"/>
      <c r="N33" s="1538"/>
      <c r="O33" s="1538"/>
      <c r="P33" s="1538"/>
      <c r="Q33" s="1538"/>
      <c r="S33" s="2420" t="s">
        <v>433</v>
      </c>
      <c r="T33" s="2420"/>
      <c r="U33" s="1542"/>
      <c r="V33" s="2421" t="str">
        <f>IF(TITLE_NUMBER_PR_CHANGE="",IF(TITLE_NUMBER_PR="","",TITLE_NUMBER_PR),TITLE_NUMBER_PR_CHANGE)</f>
        <v>329-Р</v>
      </c>
      <c r="W33" s="2421"/>
      <c r="X33" s="2421"/>
      <c r="Y33" s="2421"/>
      <c r="Z33" s="2421"/>
      <c r="AA33" s="2421"/>
      <c r="AB33" s="2421"/>
      <c r="AC33" s="496"/>
      <c r="AD33" s="2421" t="str">
        <f>IF(TITLE_NUMBER_PR_CHANGE="",IF(TITLE_NUMBER_PR="","",TITLE_NUMBER_PR),TITLE_NUMBER_PR_CHANGE)</f>
        <v>329-Р</v>
      </c>
      <c r="AE33" s="2421"/>
      <c r="AF33" s="2421"/>
      <c r="AG33" s="2421"/>
      <c r="AH33" s="2421"/>
      <c r="AI33" s="2421"/>
      <c r="AJ33" s="2421"/>
      <c r="AK33" s="2421"/>
      <c r="AL33" s="2421"/>
      <c r="AM33" s="2421"/>
      <c r="AN33" s="2421"/>
      <c r="AO33" s="2421"/>
      <c r="AP33" s="2421"/>
      <c r="AQ33" s="2421"/>
      <c r="AR33" s="2421"/>
      <c r="AS33" s="2421"/>
      <c r="AT33" s="2421"/>
      <c r="AU33" s="2421"/>
      <c r="AV33" s="2421"/>
      <c r="AW33" s="2421"/>
      <c r="AX33" s="2421"/>
      <c r="AY33" s="2421"/>
      <c r="AZ33" s="2421"/>
      <c r="BA33" s="496"/>
      <c r="BB33" s="496"/>
      <c r="BC33" s="450"/>
      <c r="BD33" s="538"/>
      <c r="BE33" s="538"/>
      <c r="BF33" s="538"/>
      <c r="BG33" s="538"/>
      <c r="BH33" s="538"/>
      <c r="BI33" s="588">
        <v>0</v>
      </c>
    </row>
    <row s="12119" customFormat="1" customHeight="1" ht="18.75">
      <c r="A34" s="1538"/>
      <c r="B34" s="1538"/>
      <c r="C34" s="1538"/>
      <c r="D34" s="1538"/>
      <c r="E34" s="1538"/>
      <c r="F34" s="1538"/>
      <c r="G34" s="1538"/>
      <c r="H34" s="1538"/>
      <c r="I34" s="1538"/>
      <c r="J34" s="1538"/>
      <c r="K34" s="1538"/>
      <c r="L34" s="1539"/>
      <c r="M34" s="1538"/>
      <c r="N34" s="1538"/>
      <c r="O34" s="1538"/>
      <c r="P34" s="1538"/>
      <c r="Q34" s="1538"/>
      <c r="S34" s="2420" t="s">
        <v>44</v>
      </c>
      <c r="T34" s="2420"/>
      <c r="U34" s="1542"/>
      <c r="V34"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4" s="2421"/>
      <c r="X34" s="2421"/>
      <c r="Y34" s="2421"/>
      <c r="Z34" s="2421"/>
      <c r="AA34" s="2421"/>
      <c r="AB34" s="2421"/>
      <c r="AC34" s="496"/>
      <c r="AD34"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4" s="2421"/>
      <c r="AF34" s="2421"/>
      <c r="AG34" s="2421"/>
      <c r="AH34" s="2421"/>
      <c r="AI34" s="2421"/>
      <c r="AJ34" s="2421"/>
      <c r="AK34" s="2421"/>
      <c r="AL34" s="2421"/>
      <c r="AM34" s="2421"/>
      <c r="AN34" s="2421"/>
      <c r="AO34" s="2421"/>
      <c r="AP34" s="2421"/>
      <c r="AQ34" s="2421"/>
      <c r="AR34" s="2421"/>
      <c r="AS34" s="2421"/>
      <c r="AT34" s="2421"/>
      <c r="AU34" s="2421"/>
      <c r="AV34" s="2421"/>
      <c r="AW34" s="2421"/>
      <c r="AX34" s="2421"/>
      <c r="AY34" s="2421"/>
      <c r="AZ34" s="2421"/>
      <c r="BA34" s="496"/>
      <c r="BB34" s="496"/>
      <c r="BC34" s="450"/>
      <c r="BD34" s="538"/>
      <c r="BE34" s="538"/>
      <c r="BF34" s="538"/>
      <c r="BG34" s="538"/>
      <c r="BH34" s="538"/>
      <c r="BI34" s="588">
        <v>0</v>
      </c>
    </row>
    <row customHeight="1" ht="14.25" hidden="1">
      <c r="Q35" s="461"/>
      <c r="R35" s="546"/>
      <c r="S35" s="1445"/>
      <c r="T35" s="533"/>
      <c r="U35" s="533"/>
      <c r="V35" s="492"/>
      <c r="W35" s="492"/>
      <c r="X35" s="492"/>
      <c r="Y35" s="492"/>
      <c r="Z35" s="492"/>
      <c r="AA35" s="492"/>
      <c r="AB35" s="492"/>
      <c r="AC35" s="492"/>
      <c r="AD35" s="492"/>
      <c r="AE35" s="492"/>
      <c r="AF35" s="492"/>
      <c r="AG35" s="492"/>
      <c r="AH35" s="492"/>
      <c r="AI35" s="492"/>
      <c r="AJ35" s="492"/>
      <c r="AK35" s="492"/>
      <c r="AL35" s="492"/>
      <c r="AM35" s="492"/>
      <c r="AN35" s="492"/>
      <c r="AO35" s="492"/>
      <c r="AP35" s="492"/>
      <c r="AQ35" s="492"/>
      <c r="AR35" s="492"/>
      <c r="AS35" s="492"/>
      <c r="AT35" s="492"/>
      <c r="AU35" s="492"/>
      <c r="AV35" s="492"/>
      <c r="AW35" s="492"/>
      <c r="AX35" s="492"/>
      <c r="AY35" s="492"/>
      <c r="AZ35" s="492"/>
      <c r="BA35" s="492"/>
      <c r="BB35" s="679"/>
      <c r="BI35" s="1325">
        <v>0</v>
      </c>
    </row>
    <row s="12119" customFormat="1" customHeight="1" ht="18.75" hidden="1">
      <c r="A36" s="1538"/>
      <c r="B36" s="1538"/>
      <c r="C36" s="1538"/>
      <c r="D36" s="1538"/>
      <c r="E36" s="1538"/>
      <c r="F36" s="1538"/>
      <c r="G36" s="1538"/>
      <c r="H36" s="1538"/>
      <c r="I36" s="1538"/>
      <c r="J36" s="1538"/>
      <c r="K36" s="1538"/>
      <c r="L36" s="1539"/>
      <c r="M36" s="1538"/>
      <c r="N36" s="1538"/>
      <c r="O36" s="1538"/>
      <c r="P36" s="1538"/>
      <c r="Q36" s="1538"/>
      <c r="S36" s="2420" t="s">
        <v>432</v>
      </c>
      <c r="T36" s="2420"/>
      <c r="U36" s="1542"/>
      <c r="V36" s="2434" t="str">
        <f>IF(TITLE_DATE_PR_CHANGE="",IF(TITLE_DATE_PR="","",TITLE_DATE_PR),TITLE_DATE_PR_CHANGE)</f>
        <v>45646.459814814814</v>
      </c>
      <c r="W36" s="2434"/>
      <c r="X36" s="2434"/>
      <c r="Y36" s="2434"/>
      <c r="Z36" s="2434"/>
      <c r="AA36" s="2434"/>
      <c r="AB36" s="2434"/>
      <c r="AC36" s="496"/>
      <c r="AD36" s="2434" t="str">
        <f>IF(TITLE_DATE_PR_CHANGE="",IF(TITLE_DATE_PR="","",TITLE_DATE_PR),TITLE_DATE_PR_CHANGE)</f>
        <v>45646.459814814814</v>
      </c>
      <c r="AE36" s="2434"/>
      <c r="AF36" s="2434"/>
      <c r="AG36" s="2434"/>
      <c r="AH36" s="2434"/>
      <c r="AI36" s="2434"/>
      <c r="AJ36" s="2434"/>
      <c r="AK36" s="2434"/>
      <c r="AL36" s="2434"/>
      <c r="AM36" s="2434"/>
      <c r="AN36" s="2434"/>
      <c r="AO36" s="2434"/>
      <c r="AP36" s="2434"/>
      <c r="AQ36" s="2434"/>
      <c r="AR36" s="2434"/>
      <c r="AS36" s="2434"/>
      <c r="AT36" s="2434"/>
      <c r="AU36" s="2434"/>
      <c r="AV36" s="2434"/>
      <c r="AW36" s="2434"/>
      <c r="AX36" s="2434"/>
      <c r="AY36" s="2434"/>
      <c r="AZ36" s="2434"/>
      <c r="BA36" s="496"/>
      <c r="BB36" s="496"/>
      <c r="BC36" s="450"/>
      <c r="BD36" s="538"/>
      <c r="BE36" s="538"/>
      <c r="BF36" s="538"/>
      <c r="BG36" s="538"/>
      <c r="BH36" s="538"/>
      <c r="BI36" s="588">
        <v>0</v>
      </c>
    </row>
    <row s="12119" customFormat="1" customHeight="1" ht="18.75" hidden="1">
      <c r="A37" s="1538"/>
      <c r="B37" s="1538"/>
      <c r="C37" s="1538"/>
      <c r="D37" s="1538"/>
      <c r="E37" s="1538"/>
      <c r="F37" s="1538"/>
      <c r="G37" s="1538"/>
      <c r="H37" s="1538"/>
      <c r="I37" s="1538"/>
      <c r="J37" s="1538"/>
      <c r="K37" s="1538"/>
      <c r="L37" s="1539"/>
      <c r="M37" s="1538"/>
      <c r="N37" s="1538"/>
      <c r="O37" s="1538"/>
      <c r="P37" s="1538"/>
      <c r="Q37" s="1538"/>
      <c r="S37" s="2420" t="s">
        <v>433</v>
      </c>
      <c r="T37" s="2420"/>
      <c r="U37" s="1542"/>
      <c r="V37" s="2421" t="str">
        <f>IF(TITLE_NUMBER_PR_CHANGE="",IF(TITLE_NUMBER_PR="","",TITLE_NUMBER_PR),TITLE_NUMBER_PR_CHANGE)</f>
        <v>329-Р</v>
      </c>
      <c r="W37" s="2421"/>
      <c r="X37" s="2421"/>
      <c r="Y37" s="2421"/>
      <c r="Z37" s="2421"/>
      <c r="AA37" s="2421"/>
      <c r="AB37" s="2421"/>
      <c r="AC37" s="496"/>
      <c r="AD37" s="2421" t="str">
        <f>IF(TITLE_NUMBER_PR_CHANGE="",IF(TITLE_NUMBER_PR="","",TITLE_NUMBER_PR),TITLE_NUMBER_PR_CHANGE)</f>
        <v>329-Р</v>
      </c>
      <c r="AE37" s="2421"/>
      <c r="AF37" s="2421"/>
      <c r="AG37" s="2421"/>
      <c r="AH37" s="2421"/>
      <c r="AI37" s="2421"/>
      <c r="AJ37" s="2421"/>
      <c r="AK37" s="2421"/>
      <c r="AL37" s="2421"/>
      <c r="AM37" s="2421"/>
      <c r="AN37" s="2421"/>
      <c r="AO37" s="2421"/>
      <c r="AP37" s="2421"/>
      <c r="AQ37" s="2421"/>
      <c r="AR37" s="2421"/>
      <c r="AS37" s="2421"/>
      <c r="AT37" s="2421"/>
      <c r="AU37" s="2421"/>
      <c r="AV37" s="2421"/>
      <c r="AW37" s="2421"/>
      <c r="AX37" s="2421"/>
      <c r="AY37" s="2421"/>
      <c r="AZ37" s="2421"/>
      <c r="BA37" s="496"/>
      <c r="BB37" s="496"/>
      <c r="BC37" s="450"/>
      <c r="BD37" s="538"/>
      <c r="BE37" s="538"/>
      <c r="BF37" s="538"/>
      <c r="BG37" s="538"/>
      <c r="BH37" s="538"/>
      <c r="BI37" s="588">
        <v>0</v>
      </c>
    </row>
    <row s="12119" customFormat="1" customHeight="1" ht="0">
      <c r="A38" s="1538"/>
      <c r="B38" s="1538"/>
      <c r="C38" s="1538"/>
      <c r="D38" s="1538"/>
      <c r="E38" s="1538"/>
      <c r="F38" s="1538"/>
      <c r="G38" s="1538"/>
      <c r="H38" s="1538"/>
      <c r="I38" s="1538"/>
      <c r="J38" s="1538"/>
      <c r="K38" s="1538"/>
      <c r="L38" s="1539"/>
      <c r="M38" s="1538"/>
      <c r="N38" s="1538"/>
      <c r="O38" s="1538"/>
      <c r="P38" s="1538"/>
      <c r="Q38" s="1538"/>
      <c r="S38" s="493"/>
      <c r="T38" s="493"/>
      <c r="U38" s="1658"/>
      <c r="V38" s="496"/>
      <c r="W38" s="496"/>
      <c r="X38" s="496"/>
      <c r="Y38" s="496"/>
      <c r="Z38" s="496"/>
      <c r="AA38" s="496"/>
      <c r="AB38" s="496"/>
      <c r="AC38" s="448" t="s">
        <v>436</v>
      </c>
      <c r="AD38" s="496"/>
      <c r="AE38" s="496"/>
      <c r="AF38" s="496"/>
      <c r="AG38" s="496"/>
      <c r="AH38" s="496"/>
      <c r="AI38" s="496"/>
      <c r="AJ38" s="496"/>
      <c r="AK38" s="496"/>
      <c r="AL38" s="496"/>
      <c r="AM38" s="496"/>
      <c r="AN38" s="496"/>
      <c r="AO38" s="496"/>
      <c r="AP38" s="496"/>
      <c r="AQ38" s="496"/>
      <c r="AR38" s="496"/>
      <c r="AS38" s="496"/>
      <c r="AT38" s="496"/>
      <c r="AU38" s="496"/>
      <c r="AV38" s="496"/>
      <c r="AW38" s="496"/>
      <c r="AX38" s="496"/>
      <c r="AY38" s="496"/>
      <c r="AZ38" s="496"/>
      <c r="BA38" s="448" t="s">
        <v>436</v>
      </c>
      <c r="BD38" s="538"/>
      <c r="BE38" s="538"/>
      <c r="BF38" s="538"/>
      <c r="BG38" s="538"/>
      <c r="BH38" s="538"/>
      <c r="BI38" s="588">
        <v>0</v>
      </c>
    </row>
    <row customHeight="1" ht="14.699999999999998">
      <c r="Q39" s="461"/>
      <c r="R39" s="546"/>
      <c r="S39" s="1445"/>
      <c r="T39" s="533"/>
      <c r="U39" s="1414"/>
      <c r="V39" s="2422"/>
      <c r="W39" s="2422"/>
      <c r="X39" s="2422"/>
      <c r="Y39" s="2422"/>
      <c r="Z39" s="2422"/>
      <c r="AA39" s="2422"/>
      <c r="AB39" s="2422"/>
      <c r="AC39" s="2422"/>
      <c r="AD39" s="2422"/>
      <c r="AE39" s="2422"/>
      <c r="AF39" s="2422"/>
      <c r="AG39" s="2422"/>
      <c r="AH39" s="2422"/>
      <c r="AI39" s="2422"/>
      <c r="AJ39" s="2422"/>
      <c r="AK39" s="2422"/>
      <c r="AL39" s="2422"/>
      <c r="AM39" s="2422"/>
      <c r="AN39" s="2422"/>
      <c r="AO39" s="2422"/>
      <c r="AP39" s="2422"/>
      <c r="AQ39" s="2422"/>
      <c r="AR39" s="2422"/>
      <c r="AS39" s="2422"/>
      <c r="AT39" s="2422"/>
      <c r="AU39" s="2422"/>
      <c r="AV39" s="2422"/>
      <c r="AW39" s="2422"/>
      <c r="AX39" s="2422"/>
      <c r="AY39" s="2422"/>
      <c r="AZ39" s="2422"/>
      <c r="BA39" s="2422"/>
      <c r="BI39" s="1325">
        <v>14</v>
      </c>
    </row>
    <row customHeight="1" ht="14.699999999999998">
      <c r="Q40" s="461"/>
      <c r="R40" s="546"/>
      <c r="S40" s="2297" t="s">
        <v>312</v>
      </c>
      <c r="T40" s="2297"/>
      <c r="U40" s="2297"/>
      <c r="V40" s="2297"/>
      <c r="W40" s="2297"/>
      <c r="X40" s="2297"/>
      <c r="Y40" s="2297"/>
      <c r="Z40" s="2297"/>
      <c r="AA40" s="2297"/>
      <c r="AB40" s="2297"/>
      <c r="AC40" s="2297"/>
      <c r="AD40" s="2297"/>
      <c r="AE40" s="2297"/>
      <c r="AF40" s="2297"/>
      <c r="AG40" s="2297"/>
      <c r="AH40" s="2297"/>
      <c r="AI40" s="2297"/>
      <c r="AJ40" s="2297"/>
      <c r="AK40" s="2297"/>
      <c r="AL40" s="2297"/>
      <c r="AM40" s="2297"/>
      <c r="AN40" s="2297"/>
      <c r="AO40" s="2297"/>
      <c r="AP40" s="2297"/>
      <c r="AQ40" s="2297"/>
      <c r="AR40" s="2297"/>
      <c r="AS40" s="2297"/>
      <c r="AT40" s="2297"/>
      <c r="AU40" s="2297"/>
      <c r="AV40" s="2297"/>
      <c r="AW40" s="2297"/>
      <c r="AX40" s="2297"/>
      <c r="AY40" s="2297"/>
      <c r="AZ40" s="2297"/>
      <c r="BA40" s="2297"/>
      <c r="BB40" s="2297"/>
      <c r="BC40" s="2297" t="s">
        <v>313</v>
      </c>
      <c r="BI40" s="1325">
        <v>14</v>
      </c>
    </row>
    <row customHeight="1" ht="14.699999999999998">
      <c r="Q41" s="461"/>
      <c r="R41" s="546"/>
      <c r="S41" s="2443" t="s">
        <v>91</v>
      </c>
      <c r="T41" s="2379" t="s">
        <v>522</v>
      </c>
      <c r="U41" s="471"/>
      <c r="V41" s="2444" t="s">
        <v>439</v>
      </c>
      <c r="W41" s="2445"/>
      <c r="X41" s="2445"/>
      <c r="Y41" s="2445"/>
      <c r="Z41" s="2445"/>
      <c r="AA41" s="2445"/>
      <c r="AB41" s="2446"/>
      <c r="AC41" s="2447" t="s">
        <v>440</v>
      </c>
      <c r="AD41" s="2498" t="s">
        <v>539</v>
      </c>
      <c r="AE41" s="2461"/>
      <c r="AF41" s="2461"/>
      <c r="AG41" s="2499"/>
      <c r="AH41" s="2498" t="s">
        <v>540</v>
      </c>
      <c r="AI41" s="2461"/>
      <c r="AJ41" s="2461"/>
      <c r="AK41" s="2499"/>
      <c r="AL41" s="2498" t="s">
        <v>541</v>
      </c>
      <c r="AM41" s="2461"/>
      <c r="AN41" s="2461"/>
      <c r="AO41" s="2499"/>
      <c r="AP41" s="2498" t="s">
        <v>526</v>
      </c>
      <c r="AQ41" s="2461"/>
      <c r="AR41" s="2461"/>
      <c r="AS41" s="2499"/>
      <c r="AT41" s="2444" t="s">
        <v>439</v>
      </c>
      <c r="AU41" s="2445"/>
      <c r="AV41" s="2445"/>
      <c r="AW41" s="2445"/>
      <c r="AX41" s="2445"/>
      <c r="AY41" s="2445"/>
      <c r="AZ41" s="2446"/>
      <c r="BA41" s="2447" t="s">
        <v>440</v>
      </c>
      <c r="BB41" s="2450" t="s">
        <v>442</v>
      </c>
      <c r="BC41" s="2297"/>
      <c r="BI41" s="1325">
        <v>14</v>
      </c>
    </row>
    <row customHeight="1" ht="35.699999999999996">
      <c r="Q42" s="461"/>
      <c r="R42" s="546"/>
      <c r="S42" s="2443"/>
      <c r="T42" s="2379"/>
      <c r="U42" s="1201"/>
      <c r="V42" s="2362" t="s">
        <v>527</v>
      </c>
      <c r="W42" s="2363"/>
      <c r="X42" s="2362" t="s">
        <v>528</v>
      </c>
      <c r="Y42" s="2363"/>
      <c r="Z42" s="2464" t="s">
        <v>529</v>
      </c>
      <c r="AA42" s="2483"/>
      <c r="AB42" s="2484"/>
      <c r="AC42" s="2448"/>
      <c r="AD42" s="2500"/>
      <c r="AE42" s="2501"/>
      <c r="AF42" s="2501"/>
      <c r="AG42" s="2502"/>
      <c r="AH42" s="2500"/>
      <c r="AI42" s="2501"/>
      <c r="AJ42" s="2501"/>
      <c r="AK42" s="2502"/>
      <c r="AL42" s="2500"/>
      <c r="AM42" s="2501"/>
      <c r="AN42" s="2501"/>
      <c r="AO42" s="2502"/>
      <c r="AP42" s="2500"/>
      <c r="AQ42" s="2501"/>
      <c r="AR42" s="2501"/>
      <c r="AS42" s="2502"/>
      <c r="AT42" s="2362" t="s">
        <v>542</v>
      </c>
      <c r="AU42" s="2363"/>
      <c r="AV42" s="2362" t="s">
        <v>543</v>
      </c>
      <c r="AW42" s="2363"/>
      <c r="AX42" s="2464" t="s">
        <v>529</v>
      </c>
      <c r="AY42" s="2483"/>
      <c r="AZ42" s="2484"/>
      <c r="BA42" s="2448"/>
      <c r="BB42" s="2451"/>
      <c r="BC42" s="2297"/>
      <c r="BI42" s="1325">
        <v>34</v>
      </c>
    </row>
    <row customHeight="1" ht="14.699999999999998">
      <c r="Q43" s="461"/>
      <c r="R43" s="546"/>
      <c r="S43" s="2443"/>
      <c r="T43" s="2379"/>
      <c r="U43" s="1201"/>
      <c r="V43" s="2370"/>
      <c r="W43" s="2371"/>
      <c r="X43" s="2370"/>
      <c r="Y43" s="2371"/>
      <c r="Z43" s="2465"/>
      <c r="AA43" s="2485"/>
      <c r="AB43" s="2486"/>
      <c r="AC43" s="2448"/>
      <c r="AD43" s="2500"/>
      <c r="AE43" s="2501"/>
      <c r="AF43" s="2501"/>
      <c r="AG43" s="2502"/>
      <c r="AH43" s="2500"/>
      <c r="AI43" s="2501"/>
      <c r="AJ43" s="2501"/>
      <c r="AK43" s="2502"/>
      <c r="AL43" s="2500"/>
      <c r="AM43" s="2501"/>
      <c r="AN43" s="2501"/>
      <c r="AO43" s="2502"/>
      <c r="AP43" s="2500"/>
      <c r="AQ43" s="2501"/>
      <c r="AR43" s="2501"/>
      <c r="AS43" s="2502"/>
      <c r="AT43" s="2370"/>
      <c r="AU43" s="2371"/>
      <c r="AV43" s="2370"/>
      <c r="AW43" s="2371"/>
      <c r="AX43" s="2465"/>
      <c r="AY43" s="2485"/>
      <c r="AZ43" s="2486"/>
      <c r="BA43" s="2448"/>
      <c r="BB43" s="2451"/>
      <c r="BC43" s="2297"/>
      <c r="BI43" s="1325">
        <v>14</v>
      </c>
    </row>
    <row customHeight="1" ht="14.699999999999998">
      <c r="A44" s="1540"/>
      <c r="B44" s="1540" t="s">
        <v>138</v>
      </c>
      <c r="C44" s="1540" t="s">
        <v>139</v>
      </c>
      <c r="D44" s="1540" t="s">
        <v>140</v>
      </c>
      <c r="E44" s="1534" t="s">
        <v>447</v>
      </c>
      <c r="F44" s="1534" t="s">
        <v>448</v>
      </c>
      <c r="G44" s="1534" t="s">
        <v>449</v>
      </c>
      <c r="H44" s="1534" t="s">
        <v>450</v>
      </c>
      <c r="I44" s="1534" t="s">
        <v>451</v>
      </c>
      <c r="J44" s="1534" t="s">
        <v>452</v>
      </c>
      <c r="K44" s="1534" t="s">
        <v>453</v>
      </c>
      <c r="L44" s="1534" t="s">
        <v>427</v>
      </c>
      <c r="Q44" s="461"/>
      <c r="R44" s="546"/>
      <c r="S44" s="2443"/>
      <c r="T44" s="2379"/>
      <c r="U44" s="472"/>
      <c r="V44" s="1649" t="s">
        <v>492</v>
      </c>
      <c r="W44" s="1649" t="s">
        <v>493</v>
      </c>
      <c r="X44" s="1649" t="s">
        <v>492</v>
      </c>
      <c r="Y44" s="1649" t="s">
        <v>493</v>
      </c>
      <c r="Z44" s="1659" t="s">
        <v>456</v>
      </c>
      <c r="AA44" s="2440" t="s">
        <v>457</v>
      </c>
      <c r="AB44" s="2441"/>
      <c r="AC44" s="2449"/>
      <c r="AD44" s="2503"/>
      <c r="AE44" s="2504"/>
      <c r="AF44" s="2504"/>
      <c r="AG44" s="2505"/>
      <c r="AH44" s="2503"/>
      <c r="AI44" s="2504"/>
      <c r="AJ44" s="2504"/>
      <c r="AK44" s="2505"/>
      <c r="AL44" s="2503"/>
      <c r="AM44" s="2504"/>
      <c r="AN44" s="2504"/>
      <c r="AO44" s="2505"/>
      <c r="AP44" s="2503"/>
      <c r="AQ44" s="2504"/>
      <c r="AR44" s="2504"/>
      <c r="AS44" s="2505"/>
      <c r="AT44" s="1649" t="s">
        <v>492</v>
      </c>
      <c r="AU44" s="1649" t="s">
        <v>493</v>
      </c>
      <c r="AV44" s="1649" t="s">
        <v>492</v>
      </c>
      <c r="AW44" s="1649" t="s">
        <v>493</v>
      </c>
      <c r="AX44" s="1659" t="s">
        <v>456</v>
      </c>
      <c r="AY44" s="2440" t="s">
        <v>457</v>
      </c>
      <c r="AZ44" s="2441"/>
      <c r="BA44" s="2449"/>
      <c r="BB44" s="2452"/>
      <c r="BC44" s="2297"/>
      <c r="BI44" s="1325">
        <v>14</v>
      </c>
    </row>
    <row s="12668" customFormat="1" customHeight="1" ht="11.25" hidden="1">
      <c r="A45" s="1540"/>
      <c r="B45" s="1540"/>
      <c r="C45" s="1540"/>
      <c r="D45" s="1540"/>
      <c r="E45" s="1540"/>
      <c r="F45" s="1540"/>
      <c r="G45" s="1540"/>
      <c r="H45" s="1540"/>
      <c r="I45" s="1540"/>
      <c r="J45" s="1540"/>
      <c r="K45" s="1540"/>
      <c r="L45" s="1534"/>
      <c r="M45" s="1532"/>
      <c r="N45" s="1532"/>
      <c r="O45" s="1532"/>
      <c r="P45" s="680"/>
      <c r="Q45" s="1424"/>
      <c r="R45" s="1424">
        <v>1</v>
      </c>
      <c r="S45" s="1447" t="s">
        <v>112</v>
      </c>
      <c r="T45" s="1425" t="s">
        <v>113</v>
      </c>
      <c r="U45" s="1415" t="str">
        <f>OFFSET(U45,0,-1)</f>
        <v>2</v>
      </c>
      <c r="V45" s="1652">
        <f>OFFSET(V45,0,-1)+1</f>
        <v>3</v>
      </c>
      <c r="W45" s="1652">
        <f>OFFSET(W45,0,-1)+1</f>
        <v>4</v>
      </c>
      <c r="X45" s="1652">
        <f>OFFSET(X45,0,-1)+1</f>
        <v>5</v>
      </c>
      <c r="Y45" s="1652">
        <f>OFFSET(Y45,0,-1)+1</f>
        <v>6</v>
      </c>
      <c r="Z45" s="1652">
        <f>OFFSET(Z45,0,-1)+1</f>
        <v>7</v>
      </c>
      <c r="AA45" s="2442">
        <f>OFFSET(AA45,0,-1)+1</f>
        <v>8</v>
      </c>
      <c r="AB45" s="2442"/>
      <c r="AC45" s="1652">
        <f>OFFSET(AC45,0,-2)+1</f>
        <v>9</v>
      </c>
      <c r="AD45" s="1652">
        <f>OFFSET(AD45,0,-1)+1</f>
        <v>10</v>
      </c>
      <c r="AE45" s="1652"/>
      <c r="AF45" s="1652"/>
      <c r="AG45" s="1652"/>
      <c r="AH45" s="1652"/>
      <c r="AI45" s="1652"/>
      <c r="AJ45" s="1652"/>
      <c r="AK45" s="1652"/>
      <c r="AL45" s="1652"/>
      <c r="AM45" s="1652"/>
      <c r="AN45" s="1652"/>
      <c r="AO45" s="1652"/>
      <c r="AP45" s="1652"/>
      <c r="AQ45" s="1652"/>
      <c r="AR45" s="1652"/>
      <c r="AS45" s="1652"/>
      <c r="AT45" s="1652"/>
      <c r="AU45" s="1652"/>
      <c r="AV45" s="1652"/>
      <c r="AW45" s="1652">
        <f>OFFSET(AW45,0,-1)+1</f>
        <v>1</v>
      </c>
      <c r="AX45" s="1652">
        <f>OFFSET(AX45,0,-1)+1</f>
        <v>2</v>
      </c>
      <c r="AY45" s="2442">
        <f>OFFSET(AY45,0,-1)+1</f>
        <v>3</v>
      </c>
      <c r="AZ45" s="2442"/>
      <c r="BA45" s="1652">
        <f>OFFSET(BA45,0,-2)+1</f>
        <v>4</v>
      </c>
      <c r="BB45" s="1415">
        <f>OFFSET(BB45,0,-1)</f>
        <v>4</v>
      </c>
      <c r="BC45" s="1652">
        <f>OFFSET(BC45,0,-1)+1</f>
        <v>5</v>
      </c>
      <c r="BD45" s="681"/>
      <c r="BE45" s="681"/>
      <c r="BF45" s="681"/>
      <c r="BG45" s="681"/>
      <c r="BH45" s="681"/>
      <c r="BI45" s="666">
        <v>0</v>
      </c>
    </row>
    <row customHeight="1" ht="22.049999999999997">
      <c r="A46" s="1533" t="s">
        <v>288</v>
      </c>
      <c r="B46" s="1533"/>
      <c r="C46" s="1533"/>
      <c r="D46" s="1533"/>
      <c r="E46" s="2428">
        <v>1</v>
      </c>
      <c r="F46" s="1533"/>
      <c r="G46" s="1533"/>
      <c r="H46" s="1533"/>
      <c r="I46" s="1533"/>
      <c r="J46" s="1533"/>
      <c r="K46" s="1533"/>
      <c r="L46" s="1534"/>
      <c r="M46" s="1535"/>
      <c r="N46" s="1535"/>
      <c r="O46" s="1535"/>
      <c r="P46" s="1579"/>
      <c r="Q46" s="1043"/>
      <c r="R46" s="525"/>
      <c r="S46" s="1663">
        <f>INDEX(PT_DIFFERENTIATION_NUM_NTAR,MATCH(A46,PT_DIFFERENTIATION_NTAR_ID,0))</f>
        <v>0</v>
      </c>
      <c r="T46" s="468" t="s">
        <v>126</v>
      </c>
      <c r="U46" s="470"/>
      <c r="V46" s="2413"/>
      <c r="W46" s="2413"/>
      <c r="X46" s="2413"/>
      <c r="Y46" s="2413"/>
      <c r="Z46" s="2413"/>
      <c r="AA46" s="2413"/>
      <c r="AB46" s="2413"/>
      <c r="AC46" s="2414"/>
      <c r="AD46" s="2412" t="str">
        <f>INDEX(PT_DIFFERENTIATION_NTAR,MATCH(A46,PT_DIFFERENTIATION_NTAR_ID,0))</f>
        <v/>
      </c>
      <c r="AE46" s="2413"/>
      <c r="AF46" s="2413"/>
      <c r="AG46" s="2413"/>
      <c r="AH46" s="2413"/>
      <c r="AI46" s="2413"/>
      <c r="AJ46" s="2413"/>
      <c r="AK46" s="2413"/>
      <c r="AL46" s="2413"/>
      <c r="AM46" s="2413"/>
      <c r="AN46" s="2413"/>
      <c r="AO46" s="2413"/>
      <c r="AP46" s="2413"/>
      <c r="AQ46" s="2413"/>
      <c r="AR46" s="2413"/>
      <c r="AS46" s="2413"/>
      <c r="AT46" s="2413"/>
      <c r="AU46" s="2413"/>
      <c r="AV46" s="2413"/>
      <c r="AW46" s="2413"/>
      <c r="AX46" s="2413"/>
      <c r="AY46" s="2413"/>
      <c r="AZ46" s="2413"/>
      <c r="BA46" s="2413"/>
      <c r="BB46" s="2414"/>
      <c r="BC46"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70"/>
      <c r="BF46" s="670" t="str">
        <f>IF(T46="","",T46)</f>
        <v>Наименование тарифа</v>
      </c>
      <c r="BG46" s="670"/>
      <c r="BH46" s="670"/>
      <c r="BI46" s="1325">
        <v>21</v>
      </c>
    </row>
    <row customHeight="1" ht="22.049999999999997">
      <c r="A47" s="1533" t="s">
        <v>288</v>
      </c>
      <c r="B47" s="1533" t="s">
        <v>289</v>
      </c>
      <c r="C47" s="1533"/>
      <c r="D47" s="1533"/>
      <c r="E47" s="2429"/>
      <c r="F47" s="2428">
        <v>1</v>
      </c>
      <c r="G47" s="1533"/>
      <c r="H47" s="1533"/>
      <c r="I47" s="1533"/>
      <c r="J47" s="1533"/>
      <c r="K47" s="1533"/>
      <c r="L47" s="1534"/>
      <c r="M47" s="1535"/>
      <c r="N47" s="1535"/>
      <c r="O47" s="1535"/>
      <c r="P47" s="1580"/>
      <c r="Q47" s="1581"/>
      <c r="R47" s="523"/>
      <c r="S47" s="1663" t="str">
        <f>INDEX(PT_DIFFERENTIATION_NUM_TER,MATCH(B47,PT_DIFFERENTIATION_TER_ID,0))</f>
        <v>.</v>
      </c>
      <c r="T47" s="478" t="s">
        <v>409</v>
      </c>
      <c r="U47" s="470"/>
      <c r="V47" s="2413"/>
      <c r="W47" s="2413"/>
      <c r="X47" s="2413"/>
      <c r="Y47" s="2413"/>
      <c r="Z47" s="2413"/>
      <c r="AA47" s="2413"/>
      <c r="AB47" s="2413"/>
      <c r="AC47" s="2414"/>
      <c r="AD47" s="2412" t="str">
        <f>INDEX(PT_DIFFERENTIATION_TER,MATCH(B47,PT_DIFFERENTIATION_TER_ID,0))</f>
        <v/>
      </c>
      <c r="AE47" s="2413"/>
      <c r="AF47" s="2413"/>
      <c r="AG47" s="2413"/>
      <c r="AH47" s="2413"/>
      <c r="AI47" s="2413"/>
      <c r="AJ47" s="2413"/>
      <c r="AK47" s="2413"/>
      <c r="AL47" s="2413"/>
      <c r="AM47" s="2413"/>
      <c r="AN47" s="2413"/>
      <c r="AO47" s="2413"/>
      <c r="AP47" s="2413"/>
      <c r="AQ47" s="2413"/>
      <c r="AR47" s="2413"/>
      <c r="AS47" s="2413"/>
      <c r="AT47" s="2413"/>
      <c r="AU47" s="2413"/>
      <c r="AV47" s="2413"/>
      <c r="AW47" s="2413"/>
      <c r="AX47" s="2413"/>
      <c r="AY47" s="2413"/>
      <c r="AZ47" s="2413"/>
      <c r="BA47" s="2413"/>
      <c r="BB47" s="2414"/>
      <c r="BC47" s="1428" t="s">
        <v>410</v>
      </c>
      <c r="BE47" s="670"/>
      <c r="BF47" s="670" t="str">
        <f>IF(T47="","",T47)</f>
        <v>Территория действия тарифа</v>
      </c>
      <c r="BG47" s="670"/>
      <c r="BH47" s="670"/>
      <c r="BI47" s="1325">
        <v>21</v>
      </c>
    </row>
    <row customHeight="1" ht="35.699999999999996">
      <c r="A48" s="1533" t="s">
        <v>288</v>
      </c>
      <c r="B48" s="1533" t="s">
        <v>289</v>
      </c>
      <c r="C48" s="1533" t="s">
        <v>290</v>
      </c>
      <c r="D48" s="1533"/>
      <c r="E48" s="2429"/>
      <c r="F48" s="2429"/>
      <c r="G48" s="2428">
        <v>1</v>
      </c>
      <c r="H48" s="1533"/>
      <c r="I48" s="1533"/>
      <c r="J48" s="1533"/>
      <c r="K48" s="1533"/>
      <c r="L48" s="1534"/>
      <c r="M48" s="1535"/>
      <c r="N48" s="1535"/>
      <c r="O48" s="1535"/>
      <c r="P48" s="1582"/>
      <c r="Q48" s="1581"/>
      <c r="R48" s="523"/>
      <c r="S48" s="1663" t="str">
        <f>INDEX(PT_DIFFERENTIATION_NUM_CS,MATCH(C48,PT_DIFFERENTIATION_CS_ID,0))</f>
        <v>..</v>
      </c>
      <c r="T48" s="479" t="s">
        <v>531</v>
      </c>
      <c r="U48" s="470"/>
      <c r="V48" s="2413"/>
      <c r="W48" s="2413"/>
      <c r="X48" s="2413"/>
      <c r="Y48" s="2413"/>
      <c r="Z48" s="2413"/>
      <c r="AA48" s="2413"/>
      <c r="AB48" s="2413"/>
      <c r="AC48" s="2414"/>
      <c r="AD48" s="2412" t="str">
        <f>INDEX(PT_DIFFERENTIATION_CS,MATCH(C48,PT_DIFFERENTIATION_CS_ID,0))</f>
        <v/>
      </c>
      <c r="AE48" s="2413"/>
      <c r="AF48" s="2413"/>
      <c r="AG48" s="2413"/>
      <c r="AH48" s="2413"/>
      <c r="AI48" s="2413"/>
      <c r="AJ48" s="2413"/>
      <c r="AK48" s="2413"/>
      <c r="AL48" s="2413"/>
      <c r="AM48" s="2413"/>
      <c r="AN48" s="2413"/>
      <c r="AO48" s="2413"/>
      <c r="AP48" s="2413"/>
      <c r="AQ48" s="2413"/>
      <c r="AR48" s="2413"/>
      <c r="AS48" s="2413"/>
      <c r="AT48" s="2413"/>
      <c r="AU48" s="2413"/>
      <c r="AV48" s="2413"/>
      <c r="AW48" s="2413"/>
      <c r="AX48" s="2413"/>
      <c r="AY48" s="2413"/>
      <c r="AZ48" s="2413"/>
      <c r="BA48" s="2413"/>
      <c r="BB48" s="2414"/>
      <c r="BC48" s="1428" t="s">
        <v>532</v>
      </c>
      <c r="BE48" s="670"/>
      <c r="BF48" s="670" t="str">
        <f>IF(T48="","",T48)</f>
        <v>Наименование централизованной системы водоотведения</v>
      </c>
      <c r="BG48" s="670"/>
      <c r="BH48" s="670"/>
      <c r="BI48" s="1325">
        <v>34</v>
      </c>
    </row>
    <row s="11993" customFormat="1" customHeight="1" ht="0">
      <c r="A49" s="1513" t="s">
        <v>288</v>
      </c>
      <c r="B49" s="1513" t="s">
        <v>289</v>
      </c>
      <c r="C49" s="1513" t="s">
        <v>290</v>
      </c>
      <c r="D49" s="1513" t="s">
        <v>544</v>
      </c>
      <c r="E49" s="2429"/>
      <c r="F49" s="2429"/>
      <c r="G49" s="2429"/>
      <c r="H49" s="2428">
        <v>1</v>
      </c>
      <c r="I49" s="1513"/>
      <c r="J49" s="1513"/>
      <c r="K49" s="1513"/>
      <c r="L49" s="1516"/>
      <c r="M49" s="1485"/>
      <c r="N49" s="1485"/>
      <c r="O49" s="1485"/>
      <c r="P49" s="1667"/>
      <c r="Q49" s="1668"/>
      <c r="R49" s="527"/>
      <c r="S49" s="1212"/>
      <c r="T49" s="1669"/>
      <c r="U49" s="1554"/>
      <c r="V49" s="2467"/>
      <c r="W49" s="2467"/>
      <c r="X49" s="2467"/>
      <c r="Y49" s="2467"/>
      <c r="Z49" s="2467"/>
      <c r="AA49" s="2467"/>
      <c r="AB49" s="2467"/>
      <c r="AC49" s="2468"/>
      <c r="AD49" s="2466"/>
      <c r="AE49" s="2467"/>
      <c r="AF49" s="2467"/>
      <c r="AG49" s="2467"/>
      <c r="AH49" s="2467"/>
      <c r="AI49" s="2467"/>
      <c r="AJ49" s="2467"/>
      <c r="AK49" s="2467"/>
      <c r="AL49" s="2467"/>
      <c r="AM49" s="2467"/>
      <c r="AN49" s="2467"/>
      <c r="AO49" s="2467"/>
      <c r="AP49" s="2467"/>
      <c r="AQ49" s="2467"/>
      <c r="AR49" s="2467"/>
      <c r="AS49" s="2467"/>
      <c r="AT49" s="2467"/>
      <c r="AU49" s="2467"/>
      <c r="AV49" s="2467"/>
      <c r="AW49" s="2467"/>
      <c r="AX49" s="2467"/>
      <c r="AY49" s="2467"/>
      <c r="AZ49" s="2467"/>
      <c r="BA49" s="2467"/>
      <c r="BB49" s="2468"/>
      <c r="BC49" s="1555" t="s">
        <v>414</v>
      </c>
      <c r="BE49" s="670"/>
      <c r="BF49" s="670" t="str">
        <f>IF(T49="","",T49)</f>
        <v/>
      </c>
      <c r="BG49" s="670"/>
      <c r="BH49" s="670"/>
      <c r="BI49" s="681">
        <v>0</v>
      </c>
    </row>
    <row s="11993" customFormat="1" customHeight="1" ht="0">
      <c r="A50" s="1513" t="s">
        <v>288</v>
      </c>
      <c r="B50" s="1513" t="s">
        <v>289</v>
      </c>
      <c r="C50" s="1513" t="s">
        <v>290</v>
      </c>
      <c r="D50" s="1513" t="s">
        <v>544</v>
      </c>
      <c r="E50" s="2429"/>
      <c r="F50" s="2429"/>
      <c r="G50" s="2429"/>
      <c r="H50" s="2429"/>
      <c r="I50" s="2426" t="str">
        <f>S49&amp;".1"</f>
        <v>.1</v>
      </c>
      <c r="J50" s="1513"/>
      <c r="K50" s="1513"/>
      <c r="L50" s="1516" t="s">
        <v>415</v>
      </c>
      <c r="M50" s="680"/>
      <c r="N50" s="680"/>
      <c r="O50" s="680"/>
      <c r="P50" s="2427">
        <v>1</v>
      </c>
      <c r="Q50" s="1651"/>
      <c r="R50" s="526"/>
      <c r="S50" s="1212"/>
      <c r="T50" s="1553"/>
      <c r="U50" s="1554"/>
      <c r="V50" s="2467"/>
      <c r="W50" s="2467"/>
      <c r="X50" s="2467"/>
      <c r="Y50" s="2467"/>
      <c r="Z50" s="2467"/>
      <c r="AA50" s="2467"/>
      <c r="AB50" s="2467"/>
      <c r="AC50" s="2468"/>
      <c r="AD50" s="2466"/>
      <c r="AE50" s="2467"/>
      <c r="AF50" s="2467"/>
      <c r="AG50" s="2467"/>
      <c r="AH50" s="2467"/>
      <c r="AI50" s="2467"/>
      <c r="AJ50" s="2467"/>
      <c r="AK50" s="2467"/>
      <c r="AL50" s="2467"/>
      <c r="AM50" s="2467"/>
      <c r="AN50" s="2467"/>
      <c r="AO50" s="2467"/>
      <c r="AP50" s="2467"/>
      <c r="AQ50" s="2467"/>
      <c r="AR50" s="2467"/>
      <c r="AS50" s="2467"/>
      <c r="AT50" s="2467"/>
      <c r="AU50" s="2467"/>
      <c r="AV50" s="2467"/>
      <c r="AW50" s="2467"/>
      <c r="AX50" s="2467"/>
      <c r="AY50" s="2467"/>
      <c r="AZ50" s="2467"/>
      <c r="BA50" s="2467"/>
      <c r="BB50" s="2468"/>
      <c r="BC50" s="1555"/>
      <c r="BE50" s="670"/>
      <c r="BF50" s="670" t="str">
        <f>IF(T50="","",T50)</f>
        <v/>
      </c>
      <c r="BG50" s="670"/>
      <c r="BH50" s="670"/>
      <c r="BI50" s="681">
        <v>0</v>
      </c>
    </row>
    <row s="11993" customFormat="1" customHeight="1" ht="0">
      <c r="A51" s="1513" t="s">
        <v>288</v>
      </c>
      <c r="B51" s="1513" t="s">
        <v>289</v>
      </c>
      <c r="C51" s="1513" t="s">
        <v>290</v>
      </c>
      <c r="D51" s="1513" t="s">
        <v>544</v>
      </c>
      <c r="E51" s="2429"/>
      <c r="F51" s="2429"/>
      <c r="G51" s="2429"/>
      <c r="H51" s="2429"/>
      <c r="I51" s="2456"/>
      <c r="J51" s="2426" t="str">
        <f>S49&amp;".1"</f>
        <v>.1</v>
      </c>
      <c r="K51" s="1513"/>
      <c r="L51" s="1516"/>
      <c r="M51" s="680"/>
      <c r="N51" s="680"/>
      <c r="O51" s="680"/>
      <c r="P51" s="2427"/>
      <c r="Q51" s="2427">
        <v>1</v>
      </c>
      <c r="R51" s="527"/>
      <c r="S51" s="1212"/>
      <c r="T51" s="1569"/>
      <c r="U51" s="1554"/>
      <c r="V51" s="2467"/>
      <c r="W51" s="2467"/>
      <c r="X51" s="2467"/>
      <c r="Y51" s="2467"/>
      <c r="Z51" s="2467"/>
      <c r="AA51" s="2467"/>
      <c r="AB51" s="2467"/>
      <c r="AC51" s="2468"/>
      <c r="AD51" s="2466"/>
      <c r="AE51" s="2467"/>
      <c r="AF51" s="2467"/>
      <c r="AG51" s="2467"/>
      <c r="AH51" s="2467"/>
      <c r="AI51" s="2467"/>
      <c r="AJ51" s="2467"/>
      <c r="AK51" s="2467"/>
      <c r="AL51" s="2467"/>
      <c r="AM51" s="2467"/>
      <c r="AN51" s="2534"/>
      <c r="AO51" s="2534"/>
      <c r="AP51" s="2467"/>
      <c r="AQ51" s="2467"/>
      <c r="AR51" s="2467"/>
      <c r="AS51" s="2467"/>
      <c r="AT51" s="2467"/>
      <c r="AU51" s="2467"/>
      <c r="AV51" s="2467"/>
      <c r="AW51" s="2467"/>
      <c r="AX51" s="2467"/>
      <c r="AY51" s="2467"/>
      <c r="AZ51" s="2467"/>
      <c r="BA51" s="2467"/>
      <c r="BB51" s="2468"/>
      <c r="BC51" s="1555"/>
      <c r="BE51" s="670"/>
      <c r="BF51" s="670" t="str">
        <f>IF(T51="","",T51)</f>
        <v/>
      </c>
      <c r="BG51" s="670"/>
      <c r="BH51" s="670"/>
      <c r="BI51" s="681">
        <v>0</v>
      </c>
    </row>
    <row customHeight="1" ht="11.549999999999999">
      <c r="A52" s="1533" t="s">
        <v>288</v>
      </c>
      <c r="B52" s="1533" t="s">
        <v>289</v>
      </c>
      <c r="C52" s="1533" t="s">
        <v>290</v>
      </c>
      <c r="D52" s="1533" t="s">
        <v>544</v>
      </c>
      <c r="E52" s="2429"/>
      <c r="F52" s="2429"/>
      <c r="G52" s="2429"/>
      <c r="H52" s="2429"/>
      <c r="I52" s="2456"/>
      <c r="J52" s="2456"/>
      <c r="K52" s="2426" t="str">
        <f>S48&amp;".1"</f>
        <v>...1</v>
      </c>
      <c r="L52" s="1534"/>
      <c r="P52" s="2427"/>
      <c r="Q52" s="2427"/>
      <c r="R52" s="527">
        <v>1</v>
      </c>
      <c r="S52" s="2511" t="str">
        <f>$K52</f>
        <v>...1</v>
      </c>
      <c r="T52" s="2530"/>
      <c r="U52" s="470"/>
      <c r="V52" s="921"/>
      <c r="W52" s="1427"/>
      <c r="X52" s="921"/>
      <c r="Y52" s="1427"/>
      <c r="Z52" s="1904"/>
      <c r="AA52" s="1639" t="s">
        <v>64</v>
      </c>
      <c r="AB52" s="1904"/>
      <c r="AC52" s="1639" t="s">
        <v>64</v>
      </c>
      <c r="AD52" s="2355" t="s">
        <v>64</v>
      </c>
      <c r="AE52" s="2496"/>
      <c r="AF52" s="2375">
        <v>1</v>
      </c>
      <c r="AG52" s="2533"/>
      <c r="AH52" s="2277" t="s">
        <v>64</v>
      </c>
      <c r="AI52" s="2496"/>
      <c r="AJ52" s="2375">
        <v>1</v>
      </c>
      <c r="AK52" s="2497" t="s">
        <v>28</v>
      </c>
      <c r="AL52" s="2277" t="s">
        <v>64</v>
      </c>
      <c r="AM52" s="2362"/>
      <c r="AN52" s="2375">
        <v>1</v>
      </c>
      <c r="AO52" s="2527"/>
      <c r="AP52" s="2528" t="s">
        <v>64</v>
      </c>
      <c r="AQ52" s="481"/>
      <c r="AR52" s="1656">
        <v>1</v>
      </c>
      <c r="AS52" s="1662" t="s">
        <v>28</v>
      </c>
      <c r="AT52" s="921"/>
      <c r="AU52" s="1427"/>
      <c r="AV52" s="921"/>
      <c r="AW52" s="1427"/>
      <c r="AX52" s="1904"/>
      <c r="AY52" s="1639" t="s">
        <v>64</v>
      </c>
      <c r="AZ52" s="1904"/>
      <c r="BA52" s="1639" t="s">
        <v>64</v>
      </c>
      <c r="BB52" s="1518"/>
      <c r="BC52" s="2423" t="s">
        <v>516</v>
      </c>
      <c r="BE52" s="670"/>
      <c r="BF52" s="670" t="str">
        <f>IF(T52="","",T52)</f>
        <v/>
      </c>
      <c r="BG52" s="670"/>
      <c r="BH52" s="670"/>
      <c r="BI52" s="1325">
        <v>11</v>
      </c>
    </row>
    <row customHeight="1" ht="11.549999999999999">
      <c r="A53" s="1533"/>
      <c r="B53" s="1533"/>
      <c r="C53" s="1533"/>
      <c r="D53" s="1533"/>
      <c r="E53" s="2429"/>
      <c r="F53" s="2429"/>
      <c r="G53" s="2429"/>
      <c r="H53" s="2429"/>
      <c r="I53" s="2456"/>
      <c r="J53" s="2456"/>
      <c r="K53" s="2426"/>
      <c r="L53" s="1534"/>
      <c r="P53" s="2427"/>
      <c r="Q53" s="2427"/>
      <c r="R53" s="527"/>
      <c r="S53" s="2512"/>
      <c r="T53" s="2531"/>
      <c r="U53" s="470"/>
      <c r="V53" s="1563"/>
      <c r="W53" s="1666"/>
      <c r="X53" s="1563"/>
      <c r="Y53" s="1666"/>
      <c r="Z53" s="1563"/>
      <c r="AA53" s="1563"/>
      <c r="AB53" s="1563"/>
      <c r="AC53" s="1563"/>
      <c r="AD53" s="2356"/>
      <c r="AE53" s="2496"/>
      <c r="AF53" s="2375"/>
      <c r="AG53" s="2533"/>
      <c r="AH53" s="2277"/>
      <c r="AI53" s="2496"/>
      <c r="AJ53" s="2375"/>
      <c r="AK53" s="2497"/>
      <c r="AL53" s="2277"/>
      <c r="AM53" s="2370"/>
      <c r="AN53" s="2375"/>
      <c r="AO53" s="2527"/>
      <c r="AP53" s="2529"/>
      <c r="AQ53" s="486"/>
      <c r="AR53" s="586"/>
      <c r="AS53" s="586" t="s">
        <v>517</v>
      </c>
      <c r="AT53" s="1563"/>
      <c r="AU53" s="1666"/>
      <c r="AV53" s="1563"/>
      <c r="AW53" s="1666"/>
      <c r="AX53" s="1563"/>
      <c r="AY53" s="1563"/>
      <c r="AZ53" s="1563"/>
      <c r="BA53" s="1563"/>
      <c r="BB53" s="1567"/>
      <c r="BC53" s="2424"/>
      <c r="BE53" s="670"/>
      <c r="BF53" s="670"/>
      <c r="BG53" s="670"/>
      <c r="BH53" s="670"/>
      <c r="BI53" s="1325">
        <v>11</v>
      </c>
    </row>
    <row customHeight="1" ht="11.549999999999999">
      <c r="A54" s="1533" t="s">
        <v>288</v>
      </c>
      <c r="B54" s="1533"/>
      <c r="C54" s="1533"/>
      <c r="D54" s="1533"/>
      <c r="E54" s="2429"/>
      <c r="F54" s="2429"/>
      <c r="G54" s="2429"/>
      <c r="H54" s="2429"/>
      <c r="I54" s="2456"/>
      <c r="J54" s="2456"/>
      <c r="K54" s="2426"/>
      <c r="L54" s="1534"/>
      <c r="P54" s="2427"/>
      <c r="Q54" s="2427"/>
      <c r="R54" s="527"/>
      <c r="S54" s="2512"/>
      <c r="T54" s="2531"/>
      <c r="U54" s="470"/>
      <c r="V54" s="1563"/>
      <c r="W54" s="1666"/>
      <c r="X54" s="1563"/>
      <c r="Y54" s="1666"/>
      <c r="Z54" s="1563"/>
      <c r="AA54" s="1563"/>
      <c r="AB54" s="1563"/>
      <c r="AC54" s="1563"/>
      <c r="AD54" s="2356"/>
      <c r="AE54" s="2496"/>
      <c r="AF54" s="2375"/>
      <c r="AG54" s="2533"/>
      <c r="AH54" s="2277"/>
      <c r="AI54" s="2496"/>
      <c r="AJ54" s="2375"/>
      <c r="AK54" s="2497"/>
      <c r="AL54" s="2277"/>
      <c r="AM54" s="486"/>
      <c r="AN54" s="1670"/>
      <c r="AO54" s="1670" t="s">
        <v>537</v>
      </c>
      <c r="AP54" s="586"/>
      <c r="AQ54" s="586"/>
      <c r="AR54" s="586"/>
      <c r="AS54" s="1563"/>
      <c r="AT54" s="1563"/>
      <c r="AU54" s="1666"/>
      <c r="AV54" s="1563"/>
      <c r="AW54" s="1666"/>
      <c r="AX54" s="1563"/>
      <c r="AY54" s="1563"/>
      <c r="AZ54" s="1563"/>
      <c r="BA54" s="1563"/>
      <c r="BB54" s="1567"/>
      <c r="BC54" s="2424"/>
      <c r="BE54" s="670"/>
      <c r="BF54" s="670"/>
      <c r="BG54" s="670"/>
      <c r="BH54" s="670"/>
      <c r="BI54" s="1325">
        <v>11</v>
      </c>
    </row>
    <row customHeight="1" ht="11.549999999999999">
      <c r="A55" s="1533" t="s">
        <v>288</v>
      </c>
      <c r="B55" s="1533"/>
      <c r="C55" s="1533"/>
      <c r="D55" s="1533"/>
      <c r="E55" s="2429"/>
      <c r="F55" s="2429"/>
      <c r="G55" s="2429"/>
      <c r="H55" s="2429"/>
      <c r="I55" s="2456"/>
      <c r="J55" s="2456"/>
      <c r="K55" s="2426"/>
      <c r="L55" s="1534"/>
      <c r="P55" s="2427"/>
      <c r="Q55" s="2427"/>
      <c r="R55" s="527"/>
      <c r="S55" s="2512"/>
      <c r="T55" s="2531"/>
      <c r="U55" s="470"/>
      <c r="V55" s="1563"/>
      <c r="W55" s="1666"/>
      <c r="X55" s="1563"/>
      <c r="Y55" s="1666"/>
      <c r="Z55" s="1563"/>
      <c r="AA55" s="1563"/>
      <c r="AB55" s="1563"/>
      <c r="AC55" s="1563"/>
      <c r="AD55" s="2356"/>
      <c r="AE55" s="2496"/>
      <c r="AF55" s="2375"/>
      <c r="AG55" s="2533"/>
      <c r="AH55" s="2277"/>
      <c r="AI55" s="464"/>
      <c r="AJ55" s="585"/>
      <c r="AK55" s="483" t="s">
        <v>538</v>
      </c>
      <c r="AL55" s="1563"/>
      <c r="AM55" s="1563"/>
      <c r="AN55" s="1563"/>
      <c r="AO55" s="1563"/>
      <c r="AP55" s="1563"/>
      <c r="AQ55" s="1563"/>
      <c r="AR55" s="1563"/>
      <c r="AS55" s="1563"/>
      <c r="AT55" s="1563"/>
      <c r="AU55" s="1666"/>
      <c r="AV55" s="1563"/>
      <c r="AW55" s="1666"/>
      <c r="AX55" s="1563"/>
      <c r="AY55" s="1563"/>
      <c r="AZ55" s="1563"/>
      <c r="BA55" s="1563"/>
      <c r="BB55" s="1567"/>
      <c r="BC55" s="2424"/>
      <c r="BE55" s="670"/>
      <c r="BF55" s="670"/>
      <c r="BG55" s="670"/>
      <c r="BH55" s="670"/>
      <c r="BI55" s="1325">
        <v>11</v>
      </c>
    </row>
    <row customHeight="1" ht="11.549999999999999">
      <c r="A56" s="1533" t="s">
        <v>288</v>
      </c>
      <c r="B56" s="1533" t="s">
        <v>289</v>
      </c>
      <c r="C56" s="1533" t="s">
        <v>290</v>
      </c>
      <c r="D56" s="1533" t="s">
        <v>544</v>
      </c>
      <c r="E56" s="2429"/>
      <c r="F56" s="2429"/>
      <c r="G56" s="2429"/>
      <c r="H56" s="2429"/>
      <c r="I56" s="2456"/>
      <c r="J56" s="2456"/>
      <c r="K56" s="2426"/>
      <c r="L56" s="1534"/>
      <c r="P56" s="2427"/>
      <c r="Q56" s="2427"/>
      <c r="R56" s="527"/>
      <c r="S56" s="2513"/>
      <c r="T56" s="2532"/>
      <c r="U56" s="470"/>
      <c r="V56" s="1563"/>
      <c r="W56" s="1564" t="str">
        <f>Z52&amp;"-"&amp;AB52</f>
        <v>-</v>
      </c>
      <c r="X56" s="1563"/>
      <c r="Y56" s="1564" t="str">
        <f>AB52&amp;"-"&amp;AD52</f>
        <v>-да</v>
      </c>
      <c r="Z56" s="1563"/>
      <c r="AA56" s="1563"/>
      <c r="AB56" s="1563"/>
      <c r="AC56" s="1563"/>
      <c r="AD56" s="2282"/>
      <c r="AE56" s="482"/>
      <c r="AF56" s="484"/>
      <c r="AG56" s="586" t="s">
        <v>520</v>
      </c>
      <c r="AH56" s="1563"/>
      <c r="AI56" s="1563"/>
      <c r="AJ56" s="1563"/>
      <c r="AK56" s="1563"/>
      <c r="AL56" s="1563"/>
      <c r="AM56" s="1563"/>
      <c r="AN56" s="1563"/>
      <c r="AO56" s="1563"/>
      <c r="AP56" s="1563"/>
      <c r="AQ56" s="1563"/>
      <c r="AR56" s="1563"/>
      <c r="AS56" s="1563"/>
      <c r="AT56" s="1563"/>
      <c r="AU56" s="1564" t="str">
        <f>AX52&amp;"-"&amp;AZ52</f>
        <v>-</v>
      </c>
      <c r="AV56" s="1563"/>
      <c r="AW56" s="1564" t="str">
        <f>AZ52&amp;"-"&amp;BB52</f>
        <v>-</v>
      </c>
      <c r="AX56" s="1563"/>
      <c r="AY56" s="1563"/>
      <c r="AZ56" s="1563"/>
      <c r="BA56" s="1563"/>
      <c r="BB56" s="1566" t="str">
        <f>BE52&amp;"-"&amp;BG52</f>
        <v>-</v>
      </c>
      <c r="BC56" s="2424"/>
      <c r="BE56" s="670"/>
      <c r="BF56" s="670" t="str">
        <f>IF(T56="","",T56)</f>
        <v/>
      </c>
      <c r="BG56" s="670"/>
      <c r="BH56" s="670"/>
      <c r="BI56" s="1325">
        <v>11</v>
      </c>
    </row>
    <row customHeight="1" ht="11.549999999999999">
      <c r="A57" s="1533" t="s">
        <v>288</v>
      </c>
      <c r="B57" s="1533" t="s">
        <v>289</v>
      </c>
      <c r="C57" s="1533" t="s">
        <v>290</v>
      </c>
      <c r="D57" s="1533" t="s">
        <v>544</v>
      </c>
      <c r="E57" s="2429"/>
      <c r="F57" s="2429"/>
      <c r="G57" s="2429"/>
      <c r="H57" s="2429"/>
      <c r="I57" s="2456"/>
      <c r="J57" s="2426"/>
      <c r="K57" s="1533"/>
      <c r="L57" s="1534"/>
      <c r="P57" s="2427"/>
      <c r="Q57" s="2427"/>
      <c r="R57" s="526"/>
      <c r="S57" s="1448"/>
      <c r="T57" s="457" t="s">
        <v>481</v>
      </c>
      <c r="U57" s="537"/>
      <c r="V57" s="537"/>
      <c r="W57" s="537"/>
      <c r="X57" s="537"/>
      <c r="Y57" s="537"/>
      <c r="Z57" s="537"/>
      <c r="AA57" s="537"/>
      <c r="AB57" s="537"/>
      <c r="AC57" s="494"/>
      <c r="AD57" s="1675"/>
      <c r="AE57" s="537"/>
      <c r="AF57" s="537"/>
      <c r="AG57" s="537"/>
      <c r="AH57" s="537"/>
      <c r="AI57" s="537"/>
      <c r="AJ57" s="537"/>
      <c r="AK57" s="537"/>
      <c r="AL57" s="537"/>
      <c r="AM57" s="537"/>
      <c r="AN57" s="537"/>
      <c r="AO57" s="537"/>
      <c r="AP57" s="537"/>
      <c r="AQ57" s="537"/>
      <c r="AR57" s="537"/>
      <c r="AS57" s="537"/>
      <c r="AT57" s="537"/>
      <c r="AU57" s="537"/>
      <c r="AV57" s="537"/>
      <c r="AW57" s="537"/>
      <c r="AX57" s="537"/>
      <c r="AY57" s="537"/>
      <c r="AZ57" s="537"/>
      <c r="BA57" s="537"/>
      <c r="BB57" s="494"/>
      <c r="BC57" s="2425"/>
      <c r="BE57" s="670"/>
      <c r="BF57" s="670" t="str">
        <f>IF(T57="","",T57)</f>
        <v>Добавить строку</v>
      </c>
      <c r="BG57" s="670"/>
      <c r="BH57" s="670"/>
      <c r="BI57" s="1325">
        <v>11</v>
      </c>
    </row>
    <row s="11993" customFormat="1" customHeight="1" ht="0">
      <c r="A58" s="1513" t="s">
        <v>288</v>
      </c>
      <c r="B58" s="1513" t="s">
        <v>289</v>
      </c>
      <c r="C58" s="1513" t="s">
        <v>290</v>
      </c>
      <c r="D58" s="1513" t="s">
        <v>544</v>
      </c>
      <c r="E58" s="2429"/>
      <c r="F58" s="2429"/>
      <c r="G58" s="2429"/>
      <c r="H58" s="2429"/>
      <c r="I58" s="2426"/>
      <c r="J58" s="1513"/>
      <c r="K58" s="1513"/>
      <c r="L58" s="1516"/>
      <c r="M58" s="680"/>
      <c r="N58" s="680"/>
      <c r="O58" s="680"/>
      <c r="P58" s="2427"/>
      <c r="Q58" s="1651"/>
      <c r="R58" s="526"/>
      <c r="S58" s="1556"/>
      <c r="T58" s="1557"/>
      <c r="U58" s="1558"/>
      <c r="V58" s="1558"/>
      <c r="W58" s="1558"/>
      <c r="X58" s="1558"/>
      <c r="Y58" s="1558"/>
      <c r="Z58" s="1558"/>
      <c r="AA58" s="1558"/>
      <c r="AB58" s="1558"/>
      <c r="AC58" s="1558"/>
      <c r="AD58" s="1558"/>
      <c r="AE58" s="1558"/>
      <c r="AF58" s="1558"/>
      <c r="AG58" s="1558"/>
      <c r="AH58" s="1558"/>
      <c r="AI58" s="1558"/>
      <c r="AJ58" s="1558"/>
      <c r="AK58" s="1558"/>
      <c r="AL58" s="1558"/>
      <c r="AM58" s="1558"/>
      <c r="AN58" s="1558"/>
      <c r="AO58" s="1558"/>
      <c r="AP58" s="1558"/>
      <c r="AQ58" s="1558"/>
      <c r="AR58" s="1558"/>
      <c r="AS58" s="1558"/>
      <c r="AT58" s="1558"/>
      <c r="AU58" s="1558"/>
      <c r="AV58" s="1558"/>
      <c r="AW58" s="1558"/>
      <c r="AX58" s="1558"/>
      <c r="AY58" s="1558"/>
      <c r="AZ58" s="1558"/>
      <c r="BA58" s="1558"/>
      <c r="BB58" s="1558"/>
      <c r="BC58" s="1559"/>
      <c r="BE58" s="670"/>
      <c r="BF58" s="670" t="str">
        <f>IF(T58="","",T58)</f>
        <v/>
      </c>
      <c r="BG58" s="670"/>
      <c r="BH58" s="670"/>
      <c r="BI58" s="681">
        <v>0</v>
      </c>
    </row>
    <row s="11993" customFormat="1" customHeight="1" ht="0">
      <c r="A59" s="1513" t="s">
        <v>288</v>
      </c>
      <c r="B59" s="1513" t="s">
        <v>289</v>
      </c>
      <c r="C59" s="1513" t="s">
        <v>290</v>
      </c>
      <c r="D59" s="1513" t="s">
        <v>544</v>
      </c>
      <c r="E59" s="2429"/>
      <c r="F59" s="2429"/>
      <c r="G59" s="2429"/>
      <c r="H59" s="2428"/>
      <c r="I59" s="1513"/>
      <c r="J59" s="1513"/>
      <c r="K59" s="1513"/>
      <c r="L59" s="1516"/>
      <c r="M59" s="1485"/>
      <c r="N59" s="1485"/>
      <c r="O59" s="688"/>
      <c r="P59" s="550"/>
      <c r="Q59" s="1514"/>
      <c r="R59" s="1571"/>
      <c r="S59" s="1556"/>
      <c r="T59" s="1557"/>
      <c r="U59" s="1558"/>
      <c r="V59" s="1558"/>
      <c r="W59" s="1558"/>
      <c r="X59" s="1558"/>
      <c r="Y59" s="1558"/>
      <c r="Z59" s="1558"/>
      <c r="AA59" s="1558"/>
      <c r="AB59" s="1558"/>
      <c r="AC59" s="1558"/>
      <c r="AD59" s="1558"/>
      <c r="AE59" s="1558"/>
      <c r="AF59" s="1558"/>
      <c r="AG59" s="1558"/>
      <c r="AH59" s="1558"/>
      <c r="AI59" s="1558"/>
      <c r="AJ59" s="1558"/>
      <c r="AK59" s="1558"/>
      <c r="AL59" s="1558"/>
      <c r="AM59" s="1558"/>
      <c r="AN59" s="1558"/>
      <c r="AO59" s="1558"/>
      <c r="AP59" s="1558"/>
      <c r="AQ59" s="1558"/>
      <c r="AR59" s="1558"/>
      <c r="AS59" s="1558"/>
      <c r="AT59" s="1558"/>
      <c r="AU59" s="1558"/>
      <c r="AV59" s="1558"/>
      <c r="AW59" s="1558"/>
      <c r="AX59" s="1558"/>
      <c r="AY59" s="1558"/>
      <c r="AZ59" s="1558"/>
      <c r="BA59" s="1558"/>
      <c r="BB59" s="1558"/>
      <c r="BC59" s="1559"/>
      <c r="BE59" s="670"/>
      <c r="BF59" s="670" t="str">
        <f>IF(T59="","",T59)</f>
        <v/>
      </c>
      <c r="BG59" s="670"/>
      <c r="BH59" s="670"/>
      <c r="BI59" s="681">
        <v>0</v>
      </c>
    </row>
    <row s="11993" customFormat="1" customHeight="1" ht="0">
      <c r="A60" s="1513" t="s">
        <v>288</v>
      </c>
      <c r="B60" s="1513" t="s">
        <v>289</v>
      </c>
      <c r="C60" s="1513" t="s">
        <v>290</v>
      </c>
      <c r="D60" s="1484"/>
      <c r="E60" s="2429"/>
      <c r="F60" s="2429"/>
      <c r="G60" s="2428"/>
      <c r="H60" s="1484"/>
      <c r="I60" s="1484"/>
      <c r="J60" s="1484"/>
      <c r="K60" s="1484"/>
      <c r="L60" s="1664"/>
      <c r="M60" s="1485"/>
      <c r="N60" s="1485"/>
      <c r="P60" s="1486"/>
      <c r="Q60" s="1487"/>
      <c r="R60" s="1486"/>
      <c r="S60" s="1492"/>
      <c r="T60" s="1495"/>
      <c r="U60" s="1494"/>
      <c r="V60" s="1494"/>
      <c r="W60" s="1494"/>
      <c r="X60" s="1494"/>
      <c r="Y60" s="1494"/>
      <c r="Z60" s="1494"/>
      <c r="AA60" s="1494"/>
      <c r="AB60" s="1494"/>
      <c r="AC60" s="1494"/>
      <c r="AD60" s="1494"/>
      <c r="AE60" s="1494"/>
      <c r="AF60" s="1494"/>
      <c r="AG60" s="1494"/>
      <c r="AH60" s="1494"/>
      <c r="AI60" s="1494"/>
      <c r="AJ60" s="1494"/>
      <c r="AK60" s="1494"/>
      <c r="AL60" s="1494"/>
      <c r="AM60" s="1494"/>
      <c r="AN60" s="1494"/>
      <c r="AO60" s="1494"/>
      <c r="AP60" s="1494"/>
      <c r="AQ60" s="1494"/>
      <c r="AR60" s="1494"/>
      <c r="AS60" s="1494"/>
      <c r="AT60" s="1494"/>
      <c r="AU60" s="1494"/>
      <c r="AV60" s="1494"/>
      <c r="AW60" s="1494"/>
      <c r="AX60" s="1494"/>
      <c r="AY60" s="1494"/>
      <c r="AZ60" s="1494"/>
      <c r="BA60" s="1494"/>
      <c r="BB60" s="1494"/>
      <c r="BC60" s="1494"/>
      <c r="BE60" s="959"/>
      <c r="BF60" s="959" t="str">
        <f>IF(T60="","",T60)</f>
        <v/>
      </c>
      <c r="BG60" s="959"/>
      <c r="BH60" s="959"/>
      <c r="BI60" s="688">
        <v>0</v>
      </c>
    </row>
    <row s="11993" customFormat="1" customHeight="1" ht="0">
      <c r="A61" s="1513" t="s">
        <v>288</v>
      </c>
      <c r="B61" s="1513" t="s">
        <v>289</v>
      </c>
      <c r="C61" s="1484"/>
      <c r="D61" s="1484"/>
      <c r="E61" s="2429"/>
      <c r="F61" s="2428"/>
      <c r="G61" s="1484"/>
      <c r="H61" s="1484"/>
      <c r="I61" s="1484"/>
      <c r="J61" s="1484"/>
      <c r="K61" s="1484"/>
      <c r="L61" s="1664"/>
      <c r="M61" s="1491"/>
      <c r="N61" s="1491"/>
      <c r="P61" s="1486"/>
      <c r="Q61" s="1487"/>
      <c r="R61" s="1486"/>
      <c r="S61" s="1492"/>
      <c r="T61" s="1495" t="s">
        <v>166</v>
      </c>
      <c r="U61" s="1494"/>
      <c r="V61" s="1494"/>
      <c r="W61" s="1494"/>
      <c r="X61" s="1494"/>
      <c r="Y61" s="1494"/>
      <c r="Z61" s="1494"/>
      <c r="AA61" s="1494"/>
      <c r="AB61" s="1494"/>
      <c r="AC61" s="1494"/>
      <c r="AD61" s="1494"/>
      <c r="AE61" s="1494"/>
      <c r="AF61" s="1494"/>
      <c r="AG61" s="1494"/>
      <c r="AH61" s="1494"/>
      <c r="AI61" s="1494"/>
      <c r="AJ61" s="1494"/>
      <c r="AK61" s="1494"/>
      <c r="AL61" s="1494"/>
      <c r="AM61" s="1494"/>
      <c r="AN61" s="1494"/>
      <c r="AO61" s="1494"/>
      <c r="AP61" s="1494"/>
      <c r="AQ61" s="1494"/>
      <c r="AR61" s="1494"/>
      <c r="AS61" s="1494"/>
      <c r="AT61" s="1494"/>
      <c r="AU61" s="1494"/>
      <c r="AV61" s="1494"/>
      <c r="AW61" s="1494"/>
      <c r="AX61" s="1494"/>
      <c r="AY61" s="1494"/>
      <c r="AZ61" s="1494"/>
      <c r="BA61" s="1494"/>
      <c r="BB61" s="1494"/>
      <c r="BC61" s="1494"/>
      <c r="BE61" s="959"/>
      <c r="BF61" s="959" t="str">
        <f>IF(T61="","",T61)</f>
        <v>Добавить централизованную систему для дифференциации</v>
      </c>
      <c r="BG61" s="959"/>
      <c r="BH61" s="959"/>
      <c r="BI61" s="688">
        <v>0</v>
      </c>
    </row>
    <row s="11993" customFormat="1" customHeight="1" ht="0">
      <c r="A62" s="1513" t="s">
        <v>288</v>
      </c>
      <c r="B62" s="1513"/>
      <c r="C62" s="1513"/>
      <c r="D62" s="1513"/>
      <c r="E62" s="2428"/>
      <c r="F62" s="1513"/>
      <c r="G62" s="1513"/>
      <c r="H62" s="1513"/>
      <c r="I62" s="1513"/>
      <c r="J62" s="1513"/>
      <c r="K62" s="1513"/>
      <c r="L62" s="1516"/>
      <c r="M62" s="1491"/>
      <c r="N62" s="1491"/>
      <c r="O62" s="688"/>
      <c r="P62" s="550"/>
      <c r="Q62" s="1514"/>
      <c r="R62" s="550"/>
      <c r="S62" s="1492"/>
      <c r="T62" s="1495" t="s">
        <v>167</v>
      </c>
      <c r="U62" s="1494"/>
      <c r="V62" s="1494"/>
      <c r="W62" s="1494"/>
      <c r="X62" s="1494"/>
      <c r="Y62" s="1494"/>
      <c r="Z62" s="1494"/>
      <c r="AA62" s="1494"/>
      <c r="AB62" s="1494"/>
      <c r="AC62" s="1494"/>
      <c r="AD62" s="1494"/>
      <c r="AE62" s="1494"/>
      <c r="AF62" s="1494"/>
      <c r="AG62" s="1494"/>
      <c r="AH62" s="1494"/>
      <c r="AI62" s="1494"/>
      <c r="AJ62" s="1494"/>
      <c r="AK62" s="1494"/>
      <c r="AL62" s="1494"/>
      <c r="AM62" s="1494"/>
      <c r="AN62" s="1494"/>
      <c r="AO62" s="1494"/>
      <c r="AP62" s="1494"/>
      <c r="AQ62" s="1494"/>
      <c r="AR62" s="1494"/>
      <c r="AS62" s="1494"/>
      <c r="AT62" s="1494"/>
      <c r="AU62" s="1494"/>
      <c r="AV62" s="1494"/>
      <c r="AW62" s="1494"/>
      <c r="AX62" s="1494"/>
      <c r="AY62" s="1494"/>
      <c r="AZ62" s="1494"/>
      <c r="BA62" s="1494"/>
      <c r="BB62" s="1494"/>
      <c r="BC62" s="1494"/>
      <c r="BE62" s="670"/>
      <c r="BF62" s="670" t="str">
        <f>IF(T62="","",T62)</f>
        <v>Добавить территорию для дифференциации</v>
      </c>
      <c r="BG62" s="670"/>
      <c r="BH62" s="670"/>
      <c r="BI62" s="681">
        <v>0</v>
      </c>
    </row>
    <row s="11993" customFormat="1" customHeight="1" ht="0">
      <c r="A63" s="1484"/>
      <c r="B63" s="1484"/>
      <c r="C63" s="1484"/>
      <c r="D63" s="1484"/>
      <c r="E63" s="1513"/>
      <c r="F63" s="1484"/>
      <c r="G63" s="1484"/>
      <c r="H63" s="1484"/>
      <c r="I63" s="1484"/>
      <c r="J63" s="1484"/>
      <c r="K63" s="1484"/>
      <c r="L63" s="1664"/>
      <c r="M63" s="1491"/>
      <c r="N63" s="1491"/>
      <c r="P63" s="1486"/>
      <c r="Q63" s="1487"/>
      <c r="R63" s="1486"/>
      <c r="S63" s="1492"/>
      <c r="T63" s="1495" t="s">
        <v>168</v>
      </c>
      <c r="U63" s="1494"/>
      <c r="V63" s="1494"/>
      <c r="W63" s="1494"/>
      <c r="X63" s="1494"/>
      <c r="Y63" s="1494"/>
      <c r="Z63" s="1494"/>
      <c r="AA63" s="1494"/>
      <c r="AB63" s="1494"/>
      <c r="AC63" s="1494"/>
      <c r="AD63" s="1494"/>
      <c r="AE63" s="1494"/>
      <c r="AF63" s="1494"/>
      <c r="AG63" s="1494"/>
      <c r="AH63" s="1494"/>
      <c r="AI63" s="1494"/>
      <c r="AJ63" s="1494"/>
      <c r="AK63" s="1494"/>
      <c r="AL63" s="1494"/>
      <c r="AM63" s="1494"/>
      <c r="AN63" s="1494"/>
      <c r="AO63" s="1494"/>
      <c r="AP63" s="1494"/>
      <c r="AQ63" s="1494"/>
      <c r="AR63" s="1494"/>
      <c r="AS63" s="1494"/>
      <c r="AT63" s="1494"/>
      <c r="AU63" s="1494"/>
      <c r="AV63" s="1494"/>
      <c r="AW63" s="1494"/>
      <c r="AX63" s="1494"/>
      <c r="AY63" s="1494"/>
      <c r="AZ63" s="1494"/>
      <c r="BA63" s="1494"/>
      <c r="BB63" s="1494"/>
      <c r="BC63" s="1494"/>
      <c r="BE63" s="959"/>
      <c r="BF63" s="959" t="str">
        <f>IF(T63="","",T63)</f>
        <v>Добавить наименование тарифа</v>
      </c>
      <c r="BG63" s="959"/>
      <c r="BH63" s="959"/>
      <c r="BI63" s="688">
        <v>0</v>
      </c>
    </row>
    <row customHeight="1" ht="11.549999999999999">
      <c r="M64" s="1330"/>
      <c r="N64" s="1330"/>
      <c r="O64" s="707"/>
      <c r="P64" s="1330"/>
      <c r="Q64" s="1330"/>
      <c r="R64" s="1325"/>
      <c r="S64" s="1325"/>
      <c r="BD64" s="1325"/>
      <c r="BE64" s="1325"/>
      <c r="BF64" s="1325"/>
      <c r="BG64" s="1325"/>
      <c r="BH64" s="1325"/>
      <c r="BI64" s="1325">
        <v>11</v>
      </c>
    </row>
    <row customHeight="1" ht="14.699999999999998">
      <c r="O65" s="707"/>
      <c r="S65" s="1423"/>
      <c r="T65" s="2455"/>
      <c r="U65" s="2455"/>
      <c r="V65" s="2455"/>
      <c r="W65" s="2455"/>
      <c r="X65" s="2455"/>
      <c r="Y65" s="2455"/>
      <c r="Z65" s="2455"/>
      <c r="AA65" s="2455"/>
      <c r="AB65" s="2455"/>
      <c r="AC65" s="2455"/>
      <c r="AD65" s="2455"/>
      <c r="AE65" s="2455"/>
      <c r="AF65" s="2455"/>
      <c r="AG65" s="2455"/>
      <c r="AH65" s="2455"/>
      <c r="AI65" s="2455"/>
      <c r="AJ65" s="2455"/>
      <c r="AK65" s="2455"/>
      <c r="AL65" s="2455"/>
      <c r="AM65" s="2455"/>
      <c r="AN65" s="2455"/>
      <c r="AO65" s="2455"/>
      <c r="AP65" s="2455"/>
      <c r="AQ65" s="2455"/>
      <c r="AR65" s="2455"/>
      <c r="AS65" s="2455"/>
      <c r="AT65" s="2455"/>
      <c r="AU65" s="2455"/>
      <c r="AV65" s="2455"/>
      <c r="AW65" s="2455"/>
      <c r="AX65" s="2455"/>
      <c r="AY65" s="2455"/>
      <c r="AZ65" s="2455"/>
      <c r="BA65" s="2455"/>
      <c r="BB65" s="2455"/>
      <c r="BC65" s="2455"/>
      <c r="BI65" s="1325">
        <v>14</v>
      </c>
    </row>
    <row customHeight="1" ht="14.699999999999998">
      <c r="O66" s="707"/>
      <c r="T66" s="1650"/>
      <c r="U66" s="1650"/>
      <c r="V66" s="1650"/>
      <c r="W66" s="1650"/>
      <c r="X66" s="1650"/>
      <c r="Y66" s="1650"/>
      <c r="Z66" s="1650"/>
      <c r="AA66" s="1650"/>
      <c r="AB66" s="1650"/>
      <c r="AC66" s="1650"/>
      <c r="AD66" s="1650"/>
      <c r="AE66" s="1650"/>
      <c r="AF66" s="1650"/>
      <c r="AG66" s="1650"/>
      <c r="AH66" s="1650"/>
      <c r="AI66" s="1650"/>
      <c r="AJ66" s="1650"/>
      <c r="AK66" s="1650"/>
      <c r="AL66" s="1650"/>
      <c r="AM66" s="1650"/>
      <c r="AN66" s="1650"/>
      <c r="AO66" s="1650"/>
      <c r="AP66" s="1650"/>
      <c r="AQ66" s="1650"/>
      <c r="AR66" s="1650"/>
      <c r="AS66" s="1650"/>
      <c r="AT66" s="1650"/>
      <c r="AU66" s="1650"/>
      <c r="AV66" s="1650"/>
      <c r="AW66" s="1650"/>
      <c r="AX66" s="1650"/>
      <c r="AY66" s="1650"/>
      <c r="AZ66" s="1650"/>
      <c r="BA66" s="1650"/>
      <c r="BB66" s="1650"/>
      <c r="BC66" s="1650"/>
      <c r="BI66" s="1325">
        <v>14</v>
      </c>
    </row>
    <row customHeight="1" ht="14.699999999999998">
      <c r="O67" s="707"/>
      <c r="S67" s="1423"/>
      <c r="T67" s="2455"/>
      <c r="U67" s="2455"/>
      <c r="V67" s="2455"/>
      <c r="W67" s="2455"/>
      <c r="X67" s="2455"/>
      <c r="Y67" s="2455"/>
      <c r="Z67" s="2455"/>
      <c r="AA67" s="2455"/>
      <c r="AB67" s="2455"/>
      <c r="AC67" s="2455"/>
      <c r="AD67" s="2455"/>
      <c r="AE67" s="2455"/>
      <c r="AF67" s="2455"/>
      <c r="AG67" s="2455"/>
      <c r="AH67" s="2455"/>
      <c r="AI67" s="2455"/>
      <c r="AJ67" s="2455"/>
      <c r="AK67" s="2455"/>
      <c r="AL67" s="2455"/>
      <c r="AM67" s="2455"/>
      <c r="AN67" s="2455"/>
      <c r="AO67" s="2455"/>
      <c r="AP67" s="2455"/>
      <c r="AQ67" s="2455"/>
      <c r="AR67" s="2455"/>
      <c r="AS67" s="2455"/>
      <c r="AT67" s="2455"/>
      <c r="AU67" s="2455"/>
      <c r="AV67" s="2455"/>
      <c r="AW67" s="2455"/>
      <c r="AX67" s="2455"/>
      <c r="AY67" s="2455"/>
      <c r="AZ67" s="2455"/>
      <c r="BA67" s="2455"/>
      <c r="BB67" s="2455"/>
      <c r="BC67" s="2455"/>
      <c r="BI67" s="1325">
        <v>14</v>
      </c>
    </row>
    <row customHeight="1" ht="14.699999999999998">
      <c r="O68" s="707"/>
      <c r="BI68" s="1325">
        <v>14</v>
      </c>
    </row>
    <row customHeight="1" ht="14.25" hidden="1">
      <c r="A69" s="1330" t="s">
        <v>85</v>
      </c>
      <c r="B69" s="1330">
        <v>0</v>
      </c>
      <c r="C69" s="1330">
        <v>0</v>
      </c>
      <c r="D69" s="1330">
        <v>0</v>
      </c>
      <c r="E69" s="1330">
        <v>0</v>
      </c>
      <c r="F69" s="1330">
        <v>0</v>
      </c>
      <c r="G69" s="1330">
        <v>0</v>
      </c>
      <c r="H69" s="1330">
        <v>0</v>
      </c>
      <c r="I69" s="1330">
        <v>0</v>
      </c>
      <c r="J69" s="1330">
        <v>0</v>
      </c>
      <c r="K69" s="1330">
        <v>0</v>
      </c>
      <c r="L69" s="1648">
        <v>0</v>
      </c>
      <c r="M69" s="1532">
        <v>0</v>
      </c>
      <c r="N69" s="1532">
        <v>0</v>
      </c>
      <c r="O69" s="1532">
        <v>0</v>
      </c>
      <c r="P69" s="1532">
        <v>0</v>
      </c>
      <c r="Q69" s="1541">
        <v>0</v>
      </c>
      <c r="R69" s="514">
        <v>3</v>
      </c>
      <c r="S69" s="751">
        <v>12</v>
      </c>
      <c r="T69" s="1325">
        <v>31</v>
      </c>
      <c r="U69" s="1325">
        <v>0</v>
      </c>
      <c r="V69" s="1325">
        <v>0</v>
      </c>
      <c r="W69" s="1325">
        <v>0</v>
      </c>
      <c r="X69" s="1325">
        <v>0</v>
      </c>
      <c r="Y69" s="1325">
        <v>0</v>
      </c>
      <c r="Z69" s="1325">
        <v>0</v>
      </c>
      <c r="AA69" s="1325">
        <v>0</v>
      </c>
      <c r="AB69" s="1325">
        <v>0</v>
      </c>
      <c r="AC69" s="1325">
        <v>0</v>
      </c>
      <c r="AD69" s="1325">
        <v>3</v>
      </c>
      <c r="AE69" s="1325">
        <v>3</v>
      </c>
      <c r="AF69" s="1325">
        <v>3</v>
      </c>
      <c r="AG69" s="1325">
        <v>24</v>
      </c>
      <c r="AH69" s="1325">
        <v>3</v>
      </c>
      <c r="AI69" s="1325">
        <v>3</v>
      </c>
      <c r="AJ69" s="1325">
        <v>3</v>
      </c>
      <c r="AK69" s="1325">
        <v>24</v>
      </c>
      <c r="AL69" s="1325">
        <v>3</v>
      </c>
      <c r="AM69" s="1325">
        <v>3</v>
      </c>
      <c r="AN69" s="1325">
        <v>3</v>
      </c>
      <c r="AO69" s="1325">
        <v>18</v>
      </c>
      <c r="AP69" s="1325">
        <v>3</v>
      </c>
      <c r="AQ69" s="1325">
        <v>3</v>
      </c>
      <c r="AR69" s="1325">
        <v>3</v>
      </c>
      <c r="AS69" s="1325">
        <v>18</v>
      </c>
      <c r="AT69" s="1325">
        <v>21</v>
      </c>
      <c r="AU69" s="1325">
        <v>21</v>
      </c>
      <c r="AV69" s="1325">
        <v>21</v>
      </c>
      <c r="AW69" s="1325">
        <v>21</v>
      </c>
      <c r="AX69" s="1325">
        <v>11</v>
      </c>
      <c r="AY69" s="1325">
        <v>3</v>
      </c>
      <c r="AZ69" s="1325">
        <v>11</v>
      </c>
      <c r="BA69" s="1325">
        <v>0</v>
      </c>
      <c r="BB69" s="1325">
        <v>4</v>
      </c>
      <c r="BC69" s="1325">
        <v>115</v>
      </c>
      <c r="BD69" s="681">
        <v>10</v>
      </c>
      <c r="BE69" s="681">
        <v>10</v>
      </c>
      <c r="BF69" s="681">
        <v>10</v>
      </c>
      <c r="BG69" s="681">
        <v>10</v>
      </c>
      <c r="BH69" s="681">
        <v>10</v>
      </c>
      <c r="BI69" s="132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99F61C-1E9D-9B3F-54EB-9C34549A5F85}"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1913" width="8.00390625" hidden="1" customWidth="1"/>
    <col min="2" max="2" style="11992" width="6.00390625" hidden="1" customWidth="1"/>
    <col min="3" max="3" style="11913" width="3.00390625" customWidth="1"/>
    <col min="4" max="4" style="12081" width="3.00390625" customWidth="1"/>
    <col min="5" max="5" style="11913" width="6.00390625" customWidth="1"/>
    <col min="6" max="6" style="11913" width="2.7109375" hidden="1" customWidth="1"/>
    <col min="7" max="7" style="11913" width="46.7109375" customWidth="1"/>
    <col min="8" max="8" style="11913" width="42.00390625" customWidth="1"/>
    <col min="9" max="9" style="11913" width="14.00390625" customWidth="1"/>
    <col min="10" max="10" style="12082" width="3.00390625" customWidth="1"/>
    <col min="11" max="13" style="12082" width="9.140625" hidden="1"/>
    <col min="14" max="14" style="12082" width="25.7109375" hidden="1" customWidth="1"/>
    <col min="15" max="15" style="12082" width="14.421875" hidden="1" customWidth="1"/>
    <col min="16" max="19" style="12083" width="9.140625" hidden="1"/>
    <col min="20" max="27" style="11913" width="9.140625" hidden="1"/>
    <col min="28" max="28" style="11913" width="8.00390625" customWidth="1"/>
    <col min="29" max="29" style="11913" width="9.140625" hidden="1"/>
  </cols>
  <sheetData>
    <row s="11993" customFormat="1" customHeight="1" ht="5.25" hidden="1">
      <c r="A1" s="666"/>
      <c r="B1" s="681"/>
      <c r="C1" s="681"/>
      <c r="D1" s="391"/>
      <c r="F1" s="681"/>
      <c r="G1" s="417" t="s">
        <v>86</v>
      </c>
      <c r="H1" s="664" t="s">
        <v>87</v>
      </c>
      <c r="I1" s="397" t="s">
        <v>88</v>
      </c>
      <c r="J1" s="417" t="s">
        <v>86</v>
      </c>
      <c r="K1" s="417"/>
      <c r="L1" s="417"/>
      <c r="M1" s="417"/>
      <c r="N1" s="418"/>
      <c r="O1" s="417"/>
      <c r="P1" s="417"/>
      <c r="Q1" s="417"/>
      <c r="R1" s="417"/>
      <c r="S1" s="417"/>
      <c r="T1" s="397"/>
      <c r="U1" s="397"/>
      <c r="V1" s="397"/>
      <c r="W1" s="397"/>
      <c r="X1" s="397"/>
      <c r="Y1" s="397"/>
      <c r="Z1" s="397"/>
      <c r="AA1" s="397"/>
      <c r="AB1" s="397"/>
      <c r="AC1" s="322" t="s">
        <v>14</v>
      </c>
    </row>
    <row s="12002" customFormat="1" customHeight="1" ht="11.25">
      <c r="A2" s="1001"/>
      <c r="B2" s="398"/>
      <c r="C2" s="398"/>
      <c r="D2" s="399"/>
      <c r="E2" s="398"/>
      <c r="F2" s="398"/>
      <c r="G2" s="398"/>
      <c r="H2" s="398"/>
      <c r="I2" s="398"/>
      <c r="J2" s="417"/>
      <c r="K2" s="417"/>
      <c r="L2" s="417"/>
      <c r="M2" s="417"/>
      <c r="N2" s="418"/>
      <c r="O2" s="417"/>
      <c r="P2" s="400"/>
      <c r="Q2" s="400"/>
      <c r="R2" s="400"/>
      <c r="S2" s="400"/>
      <c r="T2" s="399"/>
      <c r="U2" s="399"/>
      <c r="V2" s="399"/>
      <c r="W2" s="399"/>
      <c r="X2" s="399"/>
      <c r="Y2" s="399"/>
      <c r="Z2" s="399"/>
      <c r="AA2" s="399"/>
      <c r="AB2" s="399"/>
      <c r="AC2" s="401">
        <v>11</v>
      </c>
    </row>
    <row s="12008" customFormat="1" customHeight="1" ht="3">
      <c r="A3" s="928"/>
      <c r="B3" s="587"/>
      <c r="C3" s="928"/>
      <c r="D3" s="334"/>
      <c r="E3" s="273"/>
      <c r="F3" s="679"/>
      <c r="G3" s="273"/>
      <c r="H3" s="273"/>
      <c r="I3" s="336"/>
      <c r="J3" s="417"/>
      <c r="K3" s="325"/>
      <c r="L3" s="325"/>
      <c r="M3" s="325"/>
      <c r="N3" s="396"/>
      <c r="O3" s="325"/>
      <c r="P3" s="395"/>
      <c r="Q3" s="395"/>
      <c r="R3" s="395"/>
      <c r="S3" s="395"/>
      <c r="AC3" s="286">
        <v>3</v>
      </c>
    </row>
    <row s="12008" customFormat="1" customHeight="1" ht="27.299999999999997">
      <c r="A4" s="928"/>
      <c r="B4" s="587"/>
      <c r="C4" s="928"/>
      <c r="D4" s="334"/>
      <c r="E4" s="2270" t="str">
        <f>NameTemplatesInListMO</f>
        <v>Перечень муниципальных районов и муниципальных образований (территорий действия тарифа)</v>
      </c>
      <c r="F4" s="2270"/>
      <c r="G4" s="2270"/>
      <c r="H4" s="2270"/>
      <c r="I4" s="2270"/>
      <c r="J4" s="417"/>
      <c r="K4" s="325"/>
      <c r="L4" s="325"/>
      <c r="M4" s="325"/>
      <c r="N4" s="396"/>
      <c r="O4" s="325"/>
      <c r="P4" s="395"/>
      <c r="Q4" s="395"/>
      <c r="R4" s="395"/>
      <c r="S4" s="395"/>
      <c r="AC4" s="286">
        <v>26</v>
      </c>
    </row>
    <row s="12008" customFormat="1" customHeight="1" ht="3">
      <c r="A5" s="928"/>
      <c r="B5" s="587"/>
      <c r="C5" s="928"/>
      <c r="D5" s="334"/>
      <c r="E5" s="273"/>
      <c r="F5" s="679"/>
      <c r="G5" s="337"/>
      <c r="H5" s="337"/>
      <c r="I5" s="338"/>
      <c r="J5" s="325"/>
      <c r="K5" s="325"/>
      <c r="L5" s="325"/>
      <c r="M5" s="325"/>
      <c r="N5" s="396"/>
      <c r="O5" s="325"/>
      <c r="P5" s="395"/>
      <c r="Q5" s="395"/>
      <c r="R5" s="395"/>
      <c r="S5" s="395"/>
      <c r="AC5" s="286">
        <v>3</v>
      </c>
    </row>
    <row s="12008" customFormat="1" customHeight="1" ht="20.25" hidden="1">
      <c r="A6" s="1007"/>
      <c r="B6" s="1003"/>
      <c r="C6" s="339"/>
      <c r="D6" s="334"/>
      <c r="E6" s="949"/>
      <c r="F6" s="949"/>
      <c r="G6" s="337"/>
      <c r="H6" s="340"/>
      <c r="I6" s="340"/>
      <c r="J6" s="325"/>
      <c r="K6" s="325"/>
      <c r="L6" s="325"/>
      <c r="M6" s="325"/>
      <c r="N6" s="396"/>
      <c r="O6" s="325"/>
      <c r="P6" s="395"/>
      <c r="Q6" s="395"/>
      <c r="R6" s="395"/>
      <c r="S6" s="395"/>
      <c r="AC6" s="286">
        <v>0</v>
      </c>
    </row>
    <row customHeight="1" ht="25.5" hidden="1">
      <c r="AC7" s="253">
        <v>0</v>
      </c>
    </row>
    <row s="12008" customFormat="1" customHeight="1" ht="14.699999999999998">
      <c r="A8" s="928"/>
      <c r="B8" s="587"/>
      <c r="C8" s="928"/>
      <c r="D8" s="334"/>
      <c r="E8" s="2271" t="s">
        <v>89</v>
      </c>
      <c r="F8" s="2272"/>
      <c r="G8" s="2273"/>
      <c r="H8" s="2274" t="s">
        <v>90</v>
      </c>
      <c r="I8" s="2274"/>
      <c r="J8" s="325"/>
      <c r="K8" s="325"/>
      <c r="L8" s="325"/>
      <c r="M8" s="325"/>
      <c r="N8" s="396"/>
      <c r="O8" s="325"/>
      <c r="P8" s="395"/>
      <c r="Q8" s="395"/>
      <c r="R8" s="395"/>
      <c r="S8" s="395"/>
      <c r="AC8" s="286">
        <v>14</v>
      </c>
    </row>
    <row s="12008" customFormat="1" customHeight="1" ht="21">
      <c r="A9" s="928"/>
      <c r="B9" s="587"/>
      <c r="C9" s="928"/>
      <c r="D9" s="334"/>
      <c r="E9" s="947" t="s">
        <v>91</v>
      </c>
      <c r="F9" s="947"/>
      <c r="G9" s="342" t="s">
        <v>92</v>
      </c>
      <c r="H9" s="342" t="s">
        <v>92</v>
      </c>
      <c r="I9" s="342" t="s">
        <v>88</v>
      </c>
      <c r="J9" s="325"/>
      <c r="K9" s="325"/>
      <c r="L9" s="325"/>
      <c r="M9" s="325"/>
      <c r="N9" s="396"/>
      <c r="O9" s="325"/>
      <c r="P9" s="395"/>
      <c r="Q9" s="395"/>
      <c r="R9" s="395"/>
      <c r="S9" s="395"/>
      <c r="AC9" s="286">
        <v>20</v>
      </c>
    </row>
    <row customHeight="1" ht="11.549999999999999">
      <c r="D10" s="346"/>
      <c r="E10" s="948" t="s">
        <v>93</v>
      </c>
      <c r="F10" s="948"/>
      <c r="G10" s="393" t="s">
        <v>94</v>
      </c>
      <c r="H10" s="393" t="s">
        <v>95</v>
      </c>
      <c r="I10" s="393" t="s">
        <v>96</v>
      </c>
      <c r="J10" s="356"/>
      <c r="K10" s="356"/>
      <c r="L10" s="356"/>
      <c r="M10" s="356"/>
      <c r="N10" s="341"/>
      <c r="O10" s="356"/>
      <c r="P10" s="394"/>
      <c r="Q10" s="394"/>
      <c r="R10" s="394"/>
      <c r="S10" s="394"/>
      <c r="AC10" s="253">
        <v>11</v>
      </c>
    </row>
    <row s="12008" customFormat="1" customHeight="1" ht="1.05">
      <c r="A11" s="928"/>
      <c r="B11" s="587"/>
      <c r="C11" s="928"/>
      <c r="D11" s="334"/>
      <c r="E11" s="960"/>
      <c r="F11" s="960"/>
      <c r="G11" s="343"/>
      <c r="H11" s="343"/>
      <c r="I11" s="345"/>
      <c r="J11" s="419" t="s">
        <v>97</v>
      </c>
      <c r="K11" s="325"/>
      <c r="L11" s="325"/>
      <c r="M11" s="325" t="s">
        <v>98</v>
      </c>
      <c r="N11" s="396" t="s">
        <v>99</v>
      </c>
      <c r="O11" s="325" t="s">
        <v>100</v>
      </c>
      <c r="P11" s="395"/>
      <c r="Q11" s="395"/>
      <c r="R11" s="395"/>
      <c r="S11" s="395"/>
      <c r="AC11" s="286">
        <v>1</v>
      </c>
    </row>
    <row s="12008" customFormat="1" customHeight="1" ht="15">
      <c r="A12" s="2269">
        <v>1</v>
      </c>
      <c r="B12" s="587"/>
      <c r="C12" s="928"/>
      <c r="D12" s="952"/>
      <c r="E12" s="389">
        <f>A12</f>
        <v>1</v>
      </c>
      <c r="F12" s="972" t="s">
        <v>101</v>
      </c>
      <c r="G12" s="710" t="str">
        <f>"Территория "&amp;E12</f>
        <v>Территория 1</v>
      </c>
      <c r="H12" s="962"/>
      <c r="I12" s="962"/>
      <c r="J12" s="959"/>
      <c r="K12" s="670"/>
      <c r="L12" s="670"/>
      <c r="M12" s="670"/>
      <c r="N12" s="396"/>
      <c r="O12" s="670"/>
      <c r="P12" s="395"/>
      <c r="Q12" s="395"/>
      <c r="R12" s="395"/>
      <c r="S12" s="395"/>
      <c r="AC12" s="677">
        <v>14</v>
      </c>
    </row>
    <row s="12053" customFormat="1" customHeight="1" ht="15.75">
      <c r="A13" s="2269"/>
      <c r="B13" s="587">
        <v>1</v>
      </c>
      <c r="C13" s="587"/>
      <c r="D13" s="970"/>
      <c r="E13" s="950" t="str">
        <f>A12&amp;"."&amp;B13</f>
        <v>1.1</v>
      </c>
      <c r="F13" s="965" t="s">
        <v>102</v>
      </c>
      <c r="G13" s="963" t="s">
        <v>103</v>
      </c>
      <c r="H13" s="963" t="s">
        <v>103</v>
      </c>
      <c r="I13" s="961" t="s">
        <v>104</v>
      </c>
      <c r="J13" s="670">
        <f>MERGEVALUE(G13)</f>
      </c>
      <c r="K13" s="681"/>
      <c r="L13" s="681"/>
      <c r="M13" s="670" t="str">
        <f t="array" ref="M13:M13">IF(ISERROR(MATCH(MID(N13,1,250),MID(note_ter,1,250),0)),"n","y")</f>
        <v>n</v>
      </c>
      <c r="N13" s="681"/>
      <c r="O13" s="670" t="str">
        <f>H13&amp;"("&amp;I13&amp;")"</f>
        <v>Шатура(46786000)</v>
      </c>
      <c r="P13" s="587"/>
      <c r="Q13" s="587"/>
      <c r="R13" s="590"/>
      <c r="S13" s="587"/>
      <c r="T13" s="587"/>
      <c r="U13" s="587"/>
      <c r="V13" s="592"/>
      <c r="W13" s="592"/>
      <c r="X13" s="589"/>
      <c r="Y13" s="589"/>
      <c r="Z13" s="589"/>
      <c r="AA13" s="589"/>
      <c r="AB13" s="589"/>
      <c r="AC13" s="593">
        <v>15</v>
      </c>
    </row>
    <row s="12053" customFormat="1" customHeight="1" ht="15.75">
      <c r="A14" s="2269"/>
      <c r="B14" s="587"/>
      <c r="C14" s="582"/>
      <c r="D14" s="971"/>
      <c r="E14" s="591"/>
      <c r="F14" s="347"/>
      <c r="G14" s="585" t="s">
        <v>105</v>
      </c>
      <c r="H14" s="357"/>
      <c r="I14" s="594"/>
      <c r="J14" s="681"/>
      <c r="K14" s="681"/>
      <c r="L14" s="681"/>
      <c r="M14" s="681"/>
      <c r="N14" s="670"/>
      <c r="O14" s="681"/>
      <c r="P14" s="587"/>
      <c r="Q14" s="587"/>
      <c r="R14" s="590"/>
      <c r="S14" s="587"/>
      <c r="T14" s="587"/>
      <c r="U14" s="587"/>
      <c r="V14" s="592"/>
      <c r="W14" s="592"/>
      <c r="X14" s="589"/>
      <c r="Y14" s="589"/>
      <c r="Z14" s="589"/>
      <c r="AA14" s="589"/>
      <c r="AB14" s="589"/>
      <c r="AC14" s="593">
        <v>15</v>
      </c>
    </row>
    <row s="12008" customFormat="1" customHeight="1" ht="14.699999999999998">
      <c r="A15" s="928"/>
      <c r="B15" s="587"/>
      <c r="C15" s="928"/>
      <c r="D15" s="952"/>
      <c r="E15" s="964"/>
      <c r="F15" s="348"/>
      <c r="G15" s="586" t="s">
        <v>106</v>
      </c>
      <c r="H15" s="348"/>
      <c r="I15" s="349"/>
      <c r="J15" s="419"/>
      <c r="K15" s="325"/>
      <c r="L15" s="325"/>
      <c r="M15" s="325"/>
      <c r="N15" s="396" t="s">
        <v>107</v>
      </c>
      <c r="O15" s="325"/>
      <c r="P15" s="395"/>
      <c r="Q15" s="395"/>
      <c r="R15" s="395"/>
      <c r="S15" s="395"/>
      <c r="AC15" s="286">
        <v>14</v>
      </c>
    </row>
    <row s="12008" customFormat="1" customHeight="1" ht="22.049999999999997">
      <c r="A16" s="928"/>
      <c r="B16" s="587"/>
      <c r="C16" s="928"/>
      <c r="D16" s="335"/>
      <c r="E16" s="350"/>
      <c r="F16" s="350"/>
      <c r="G16" s="350"/>
      <c r="H16" s="350"/>
      <c r="I16" s="350"/>
      <c r="J16" s="325"/>
      <c r="K16" s="325"/>
      <c r="L16" s="325"/>
      <c r="M16" s="325"/>
      <c r="N16" s="396"/>
      <c r="O16" s="325"/>
      <c r="P16" s="395"/>
      <c r="Q16" s="395"/>
      <c r="R16" s="395"/>
      <c r="S16" s="395"/>
      <c r="AC16" s="286">
        <v>21</v>
      </c>
    </row>
    <row s="12008" customFormat="1" customHeight="1" ht="14.699999999999998">
      <c r="A17" s="928"/>
      <c r="B17" s="587"/>
      <c r="C17" s="928"/>
      <c r="D17" s="335"/>
      <c r="E17" s="253"/>
      <c r="F17" s="928"/>
      <c r="G17" s="253"/>
      <c r="H17" s="253"/>
      <c r="I17" s="253"/>
      <c r="J17" s="325"/>
      <c r="K17" s="325"/>
      <c r="L17" s="325"/>
      <c r="M17" s="325"/>
      <c r="N17" s="396"/>
      <c r="O17" s="325"/>
      <c r="P17" s="395"/>
      <c r="Q17" s="395"/>
      <c r="R17" s="395"/>
      <c r="S17" s="395"/>
      <c r="AC17" s="286">
        <v>14</v>
      </c>
    </row>
    <row s="12008" customFormat="1" customHeight="1" ht="1.05">
      <c r="A18" s="928"/>
      <c r="B18" s="587"/>
      <c r="C18" s="928"/>
      <c r="D18" s="335"/>
      <c r="E18" s="253"/>
      <c r="F18" s="928"/>
      <c r="G18" s="253"/>
      <c r="H18" s="253"/>
      <c r="I18" s="253"/>
      <c r="J18" s="325"/>
      <c r="K18" s="325"/>
      <c r="L18" s="325"/>
      <c r="M18" s="325"/>
      <c r="N18" s="396"/>
      <c r="O18" s="325"/>
      <c r="P18" s="395"/>
      <c r="Q18" s="395"/>
      <c r="R18" s="395"/>
      <c r="S18" s="395"/>
      <c r="AC18" s="286">
        <v>1</v>
      </c>
    </row>
    <row s="12076" customFormat="1" customHeight="1" ht="10.5">
      <c r="B19" s="1004"/>
      <c r="D19" s="352"/>
      <c r="J19" s="325"/>
      <c r="K19" s="325"/>
      <c r="L19" s="325"/>
      <c r="M19" s="325"/>
      <c r="N19" s="396"/>
      <c r="O19" s="325"/>
      <c r="P19" s="395"/>
      <c r="Q19" s="395"/>
      <c r="R19" s="395"/>
      <c r="S19" s="395"/>
      <c r="AC19" s="351">
        <v>10</v>
      </c>
    </row>
    <row s="12076" customFormat="1" customHeight="1" ht="10.5">
      <c r="B20" s="1004"/>
      <c r="D20" s="352"/>
      <c r="J20" s="325"/>
      <c r="K20" s="325"/>
      <c r="L20" s="325"/>
      <c r="M20" s="325"/>
      <c r="N20" s="396"/>
      <c r="O20" s="325"/>
      <c r="P20" s="395"/>
      <c r="Q20" s="395"/>
      <c r="R20" s="395"/>
      <c r="S20" s="395"/>
      <c r="AC20" s="351">
        <v>10</v>
      </c>
    </row>
    <row customHeight="1" ht="14.699999999999998">
      <c r="AC21" s="253">
        <v>14</v>
      </c>
    </row>
    <row customHeight="1" ht="14.699999999999998">
      <c r="AC22" s="253">
        <v>14</v>
      </c>
    </row>
    <row customHeight="1" ht="14.699999999999998">
      <c r="AC23" s="253">
        <v>14</v>
      </c>
    </row>
    <row customHeight="1" ht="14.699999999999998">
      <c r="H24" s="232"/>
      <c r="AC24" s="253">
        <v>14</v>
      </c>
    </row>
    <row customHeight="1" ht="14.699999999999998">
      <c r="AC25" s="253">
        <v>14</v>
      </c>
    </row>
    <row customHeight="1" ht="14.699999999999998">
      <c r="AC26" s="253">
        <v>14</v>
      </c>
    </row>
    <row customHeight="1" ht="14.699999999999998">
      <c r="AC27" s="253">
        <v>14</v>
      </c>
    </row>
    <row customHeight="1" ht="14.699999999999998">
      <c r="J28" s="253"/>
      <c r="K28" s="253"/>
      <c r="L28" s="253"/>
      <c r="AC28" s="253">
        <v>14</v>
      </c>
    </row>
    <row customHeight="1" ht="22.5" hidden="1">
      <c r="A29" s="928" t="s">
        <v>85</v>
      </c>
      <c r="B29" s="587">
        <v>0</v>
      </c>
      <c r="C29" s="928">
        <v>3</v>
      </c>
      <c r="D29" s="335">
        <v>3</v>
      </c>
      <c r="E29" s="253">
        <v>6</v>
      </c>
      <c r="F29" s="928">
        <v>0</v>
      </c>
      <c r="G29" s="253">
        <v>46</v>
      </c>
      <c r="H29" s="253">
        <v>42</v>
      </c>
      <c r="I29" s="253">
        <v>14</v>
      </c>
      <c r="J29" s="325">
        <v>3</v>
      </c>
      <c r="K29" s="325">
        <v>0</v>
      </c>
      <c r="L29" s="325">
        <v>0</v>
      </c>
      <c r="M29" s="325">
        <v>0</v>
      </c>
      <c r="N29" s="396">
        <v>0</v>
      </c>
      <c r="O29" s="325">
        <v>0</v>
      </c>
      <c r="P29" s="395">
        <v>0</v>
      </c>
      <c r="Q29" s="395">
        <v>0</v>
      </c>
      <c r="R29" s="395">
        <v>0</v>
      </c>
      <c r="S29" s="395">
        <v>0</v>
      </c>
      <c r="T29" s="253">
        <v>0</v>
      </c>
      <c r="U29" s="253">
        <v>0</v>
      </c>
      <c r="V29" s="253">
        <v>0</v>
      </c>
      <c r="W29" s="253">
        <v>0</v>
      </c>
      <c r="X29" s="253">
        <v>0</v>
      </c>
      <c r="Y29" s="253">
        <v>0</v>
      </c>
      <c r="Z29" s="253">
        <v>0</v>
      </c>
      <c r="AA29" s="253">
        <v>0</v>
      </c>
      <c r="AB29" s="253">
        <v>8</v>
      </c>
      <c r="AC29" s="25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502F3E-AC4B-721A-99F2-A5930B5C9A9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1992" width="10.57421875" hidden="1"/>
    <col min="2" max="2" style="11992" width="11.00390625" hidden="1" customWidth="1"/>
    <col min="3" max="3" style="11992" width="10.57421875" hidden="1"/>
    <col min="4" max="4" style="11992" width="11.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4.140625" hidden="1" customWidth="1"/>
    <col min="10" max="10" style="11992" width="9.8515625" hidden="1" customWidth="1"/>
    <col min="11" max="11" style="11992" width="14.7109375" hidden="1" customWidth="1"/>
    <col min="12" max="12" style="13388" width="19.140625" hidden="1" customWidth="1"/>
    <col min="13" max="14" style="13389" width="12.28125" hidden="1" customWidth="1"/>
    <col min="15" max="15" style="13389" width="23.421875" hidden="1" customWidth="1"/>
    <col min="16" max="16" style="13390" width="3.00390625" customWidth="1"/>
    <col min="17" max="18" style="13391" width="3.00390625" customWidth="1"/>
    <col min="19" max="19" style="13392" width="12.00390625" customWidth="1"/>
    <col min="20" max="20" style="11913" width="35.00390625" customWidth="1"/>
    <col min="21" max="21" style="11913" width="0.140625" customWidth="1"/>
    <col min="22" max="28" style="11913" width="19.7109375" hidden="1" customWidth="1"/>
    <col min="29" max="29" style="11913" width="11.7109375" hidden="1" customWidth="1"/>
    <col min="30" max="30" style="11913" width="3.7109375" hidden="1" customWidth="1"/>
    <col min="31" max="31" style="11913" width="11.7109375" hidden="1" customWidth="1"/>
    <col min="32" max="32" style="11913" width="8.57421875" hidden="1" customWidth="1"/>
    <col min="33" max="33" style="11913" width="19.7109375" customWidth="1"/>
    <col min="34" max="39" style="11913" width="19.00390625" customWidth="1"/>
    <col min="40" max="40" style="11913" width="11.00390625" customWidth="1"/>
    <col min="41" max="41" style="11913" width="3.7109375" customWidth="1"/>
    <col min="42" max="42" style="11913" width="11.00390625" customWidth="1"/>
    <col min="43" max="43" style="11913" width="8.57421875" hidden="1" customWidth="1"/>
    <col min="44" max="44" style="11913" width="4.00390625" customWidth="1"/>
    <col min="45" max="45" style="11913" width="115.00390625" customWidth="1"/>
    <col min="46" max="50" style="11993" width="10.00390625" customWidth="1"/>
    <col min="51" max="51" style="11913" width="10.57421875" hidden="1"/>
  </cols>
  <sheetData>
    <row customHeight="1" ht="22.5" hidden="1">
      <c r="AC1" s="497"/>
      <c r="AN1" s="497"/>
      <c r="AY1" s="1325" t="s">
        <v>14</v>
      </c>
    </row>
    <row customHeight="1" ht="23.25" hidden="1">
      <c r="A2" s="1533"/>
      <c r="B2" s="1533"/>
      <c r="C2" s="1533"/>
      <c r="D2" s="1533"/>
      <c r="E2" s="2428">
        <v>1</v>
      </c>
      <c r="F2" s="1533"/>
      <c r="G2" s="1533"/>
      <c r="H2" s="1533"/>
      <c r="I2" s="1533"/>
      <c r="J2" s="1533"/>
      <c r="K2" s="1533"/>
      <c r="L2" s="1534"/>
      <c r="M2" s="1535"/>
      <c r="N2" s="1535"/>
      <c r="O2" s="1535"/>
      <c r="P2" s="531"/>
      <c r="Q2" s="530"/>
      <c r="R2" s="525"/>
      <c r="S2" s="1663">
        <f>INDEX(PT_DIFFERENTIATION_NUM_NTAR,MATCH(A2,PT_DIFFERENTIATION_NTAR_ID,0))</f>
      </c>
      <c r="T2" s="468" t="s">
        <v>126</v>
      </c>
      <c r="U2" s="470"/>
      <c r="V2" s="2412"/>
      <c r="W2" s="2413"/>
      <c r="X2" s="2413"/>
      <c r="Y2" s="2413"/>
      <c r="Z2" s="2413"/>
      <c r="AA2" s="2413"/>
      <c r="AB2" s="2413"/>
      <c r="AC2" s="2413"/>
      <c r="AD2" s="2413"/>
      <c r="AE2" s="2413"/>
      <c r="AF2" s="2414"/>
      <c r="AG2" s="2412">
        <f>INDEX(PT_DIFFERENTIATION_NTAR,MATCH(A2,PT_DIFFERENTIATION_NTAR_ID,0))</f>
      </c>
      <c r="AH2" s="2413"/>
      <c r="AI2" s="2413"/>
      <c r="AJ2" s="2413"/>
      <c r="AK2" s="2413"/>
      <c r="AL2" s="2413"/>
      <c r="AM2" s="2413"/>
      <c r="AN2" s="2413"/>
      <c r="AO2" s="2413"/>
      <c r="AP2" s="2413"/>
      <c r="AQ2" s="2413"/>
      <c r="AR2" s="2414"/>
      <c r="AS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670"/>
      <c r="AV2" s="670" t="str">
        <f>IF(T2="","",T2)</f>
        <v>Наименование тарифа</v>
      </c>
      <c r="AW2" s="670"/>
      <c r="AX2" s="670"/>
      <c r="AY2" s="1325">
        <v>0</v>
      </c>
    </row>
    <row customHeight="1" ht="23.25" hidden="1">
      <c r="A3" s="1533"/>
      <c r="B3" s="1533"/>
      <c r="C3" s="1533"/>
      <c r="D3" s="1533"/>
      <c r="E3" s="2429"/>
      <c r="F3" s="2428">
        <v>1</v>
      </c>
      <c r="G3" s="1533"/>
      <c r="H3" s="1533"/>
      <c r="I3" s="1533"/>
      <c r="J3" s="1533"/>
      <c r="K3" s="1533"/>
      <c r="L3" s="1534"/>
      <c r="M3" s="1535"/>
      <c r="N3" s="1535"/>
      <c r="O3" s="1535"/>
      <c r="P3" s="1657"/>
      <c r="Q3" s="522"/>
      <c r="R3" s="523"/>
      <c r="S3" s="1663">
        <f>INDEX(PT_DIFFERENTIATION_NUM_TER,MATCH(B3,PT_DIFFERENTIATION_TER_ID,0))</f>
      </c>
      <c r="T3" s="478" t="s">
        <v>409</v>
      </c>
      <c r="U3" s="470"/>
      <c r="V3" s="2412"/>
      <c r="W3" s="2413"/>
      <c r="X3" s="2413"/>
      <c r="Y3" s="2413"/>
      <c r="Z3" s="2413"/>
      <c r="AA3" s="2413"/>
      <c r="AB3" s="2413"/>
      <c r="AC3" s="2413"/>
      <c r="AD3" s="2413"/>
      <c r="AE3" s="2413"/>
      <c r="AF3" s="2414"/>
      <c r="AG3" s="2412">
        <f>INDEX(PT_DIFFERENTIATION_TER,MATCH(B3,PT_DIFFERENTIATION_TER_ID,0))</f>
      </c>
      <c r="AH3" s="2413"/>
      <c r="AI3" s="2413"/>
      <c r="AJ3" s="2413"/>
      <c r="AK3" s="2413"/>
      <c r="AL3" s="2413"/>
      <c r="AM3" s="2413"/>
      <c r="AN3" s="2413"/>
      <c r="AO3" s="2413"/>
      <c r="AP3" s="2413"/>
      <c r="AQ3" s="2413"/>
      <c r="AR3" s="2414"/>
      <c r="AS3" s="1428" t="s">
        <v>410</v>
      </c>
      <c r="AU3" s="670"/>
      <c r="AV3" s="670" t="str">
        <f>IF(T3="","",T3)</f>
        <v>Территория действия тарифа</v>
      </c>
      <c r="AW3" s="670"/>
      <c r="AX3" s="670"/>
      <c r="AY3" s="1325">
        <v>0</v>
      </c>
    </row>
    <row customHeight="1" ht="23.25" hidden="1">
      <c r="A4" s="1533"/>
      <c r="B4" s="1533"/>
      <c r="C4" s="1533"/>
      <c r="D4" s="1533"/>
      <c r="E4" s="2429"/>
      <c r="F4" s="2429"/>
      <c r="G4" s="2428">
        <v>1</v>
      </c>
      <c r="H4" s="1533"/>
      <c r="I4" s="1533"/>
      <c r="J4" s="1533"/>
      <c r="K4" s="1533"/>
      <c r="L4" s="1534"/>
      <c r="M4" s="1535"/>
      <c r="N4" s="1535"/>
      <c r="O4" s="1535"/>
      <c r="P4" s="524"/>
      <c r="Q4" s="522"/>
      <c r="R4" s="523"/>
      <c r="S4" s="1663">
        <f>INDEX(PT_DIFFERENTIATION_NUM_CS,MATCH(C4,PT_DIFFERENTIATION_CS_ID,0))</f>
      </c>
      <c r="T4" s="479" t="s">
        <v>545</v>
      </c>
      <c r="U4" s="470"/>
      <c r="V4" s="2412"/>
      <c r="W4" s="2413"/>
      <c r="X4" s="2413"/>
      <c r="Y4" s="2413"/>
      <c r="Z4" s="2413"/>
      <c r="AA4" s="2413"/>
      <c r="AB4" s="2413"/>
      <c r="AC4" s="2413"/>
      <c r="AD4" s="2413"/>
      <c r="AE4" s="2413"/>
      <c r="AF4" s="2414"/>
      <c r="AG4" s="2412">
        <f>INDEX(PT_DIFFERENTIATION_CS,MATCH(C4,PT_DIFFERENTIATION_CS_ID,0))</f>
      </c>
      <c r="AH4" s="2413"/>
      <c r="AI4" s="2413"/>
      <c r="AJ4" s="2413"/>
      <c r="AK4" s="2413"/>
      <c r="AL4" s="2413"/>
      <c r="AM4" s="2413"/>
      <c r="AN4" s="2413"/>
      <c r="AO4" s="2413"/>
      <c r="AP4" s="2413"/>
      <c r="AQ4" s="2413"/>
      <c r="AR4" s="2414"/>
      <c r="AS4" s="1428" t="s">
        <v>546</v>
      </c>
      <c r="AU4" s="670"/>
      <c r="AV4" s="670" t="str">
        <f>IF(T4="","",T4)</f>
        <v>Наименование централизованной системы горячего водоснабжения</v>
      </c>
      <c r="AW4" s="670"/>
      <c r="AX4" s="670"/>
      <c r="AY4" s="1325">
        <v>0</v>
      </c>
    </row>
    <row customHeight="1" ht="23.25" hidden="1">
      <c r="A5" s="1533"/>
      <c r="B5" s="1533"/>
      <c r="C5" s="1533"/>
      <c r="D5" s="1533"/>
      <c r="E5" s="2429"/>
      <c r="F5" s="2429"/>
      <c r="G5" s="2429"/>
      <c r="H5" s="2429"/>
      <c r="I5" s="2426">
        <f>S4&amp;".1"</f>
      </c>
      <c r="J5" s="1533"/>
      <c r="K5" s="1533"/>
      <c r="L5" s="1534"/>
      <c r="P5" s="2427">
        <v>1</v>
      </c>
      <c r="Q5" s="1651"/>
      <c r="R5" s="526"/>
      <c r="S5" s="1663">
        <f>$I5</f>
      </c>
      <c r="T5" s="455" t="s">
        <v>498</v>
      </c>
      <c r="U5" s="470"/>
      <c r="V5" s="2520"/>
      <c r="W5" s="2521"/>
      <c r="X5" s="2521"/>
      <c r="Y5" s="2521"/>
      <c r="Z5" s="2521"/>
      <c r="AA5" s="2521"/>
      <c r="AB5" s="2521"/>
      <c r="AC5" s="2521"/>
      <c r="AD5" s="2521"/>
      <c r="AE5" s="2521"/>
      <c r="AF5" s="2522"/>
      <c r="AG5" s="2523"/>
      <c r="AH5" s="2524"/>
      <c r="AI5" s="2524"/>
      <c r="AJ5" s="2524"/>
      <c r="AK5" s="2524"/>
      <c r="AL5" s="2524"/>
      <c r="AM5" s="2524"/>
      <c r="AN5" s="2524"/>
      <c r="AO5" s="2524"/>
      <c r="AP5" s="2524"/>
      <c r="AQ5" s="2524"/>
      <c r="AR5" s="2525"/>
      <c r="AS5" s="1428" t="s">
        <v>499</v>
      </c>
      <c r="AU5" s="670"/>
      <c r="AV5" s="670" t="str">
        <f>IF(T5="","",T5)</f>
        <v>Наименование признака дифференциации</v>
      </c>
      <c r="AW5" s="670"/>
      <c r="AX5" s="670"/>
      <c r="AY5" s="1325">
        <v>0</v>
      </c>
    </row>
    <row customHeight="1" ht="23.25" hidden="1">
      <c r="A6" s="1533"/>
      <c r="B6" s="1533"/>
      <c r="C6" s="1533"/>
      <c r="D6" s="1533"/>
      <c r="E6" s="2429"/>
      <c r="F6" s="2429"/>
      <c r="G6" s="2429"/>
      <c r="H6" s="2429"/>
      <c r="I6" s="2456"/>
      <c r="J6" s="2426">
        <f>I5&amp;".1"</f>
      </c>
      <c r="K6" s="1533"/>
      <c r="L6" s="1534" t="s">
        <v>418</v>
      </c>
      <c r="P6" s="2427"/>
      <c r="Q6" s="2427">
        <v>1</v>
      </c>
      <c r="R6" s="527"/>
      <c r="S6" s="1663">
        <f>$J6</f>
      </c>
      <c r="T6" s="456" t="s">
        <v>419</v>
      </c>
      <c r="U6" s="470"/>
      <c r="V6" s="2415"/>
      <c r="W6" s="2416"/>
      <c r="X6" s="2416"/>
      <c r="Y6" s="2416"/>
      <c r="Z6" s="2416"/>
      <c r="AA6" s="2416"/>
      <c r="AB6" s="2416"/>
      <c r="AC6" s="2416"/>
      <c r="AD6" s="2416"/>
      <c r="AE6" s="2416"/>
      <c r="AF6" s="2417"/>
      <c r="AG6" s="2415"/>
      <c r="AH6" s="2416"/>
      <c r="AI6" s="2416"/>
      <c r="AJ6" s="2416"/>
      <c r="AK6" s="2416"/>
      <c r="AL6" s="2416"/>
      <c r="AM6" s="2416"/>
      <c r="AN6" s="2416"/>
      <c r="AO6" s="2416"/>
      <c r="AP6" s="2416"/>
      <c r="AQ6" s="2416"/>
      <c r="AR6" s="2417"/>
      <c r="AS6" s="1477" t="s">
        <v>500</v>
      </c>
      <c r="AU6" s="670"/>
      <c r="AV6" s="670" t="str">
        <f>IF(T6="","",T6)</f>
        <v>Группа потребителей</v>
      </c>
      <c r="AW6" s="670"/>
      <c r="AX6" s="670"/>
      <c r="AY6" s="1325">
        <v>0</v>
      </c>
    </row>
    <row customHeight="1" ht="23.25" hidden="1">
      <c r="A7" s="1533"/>
      <c r="B7" s="1533"/>
      <c r="C7" s="1533"/>
      <c r="D7" s="1533"/>
      <c r="E7" s="2429"/>
      <c r="F7" s="2429"/>
      <c r="G7" s="2429"/>
      <c r="H7" s="2429"/>
      <c r="I7" s="2456"/>
      <c r="J7" s="2456"/>
      <c r="K7" s="2426">
        <f>J6&amp;".1"</f>
      </c>
      <c r="L7" s="1534"/>
      <c r="P7" s="2427"/>
      <c r="Q7" s="2427"/>
      <c r="R7" s="527">
        <v>1</v>
      </c>
      <c r="S7" s="1663">
        <f>$K7</f>
      </c>
      <c r="T7" s="1607"/>
      <c r="U7" s="470"/>
      <c r="V7" s="921"/>
      <c r="W7" s="921"/>
      <c r="X7" s="921"/>
      <c r="Y7" s="921"/>
      <c r="Z7" s="921"/>
      <c r="AA7" s="921"/>
      <c r="AB7" s="921"/>
      <c r="AC7" s="2435"/>
      <c r="AD7" s="2277" t="s">
        <v>64</v>
      </c>
      <c r="AE7" s="2435"/>
      <c r="AF7" s="2277" t="s">
        <v>64</v>
      </c>
      <c r="AG7" s="921"/>
      <c r="AH7" s="921"/>
      <c r="AI7" s="921"/>
      <c r="AJ7" s="921"/>
      <c r="AK7" s="921"/>
      <c r="AL7" s="921"/>
      <c r="AM7" s="921"/>
      <c r="AN7" s="2435"/>
      <c r="AO7" s="2277" t="s">
        <v>64</v>
      </c>
      <c r="AP7" s="2457"/>
      <c r="AQ7" s="2277" t="s">
        <v>64</v>
      </c>
      <c r="AR7" s="1608"/>
      <c r="AS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81">
        <f>STRCHECKDATE(V8:AR8)</f>
      </c>
      <c r="AU7" s="670"/>
      <c r="AV7" s="670" t="str">
        <f>IF(T7="","",T7)</f>
        <v/>
      </c>
      <c r="AW7" s="670"/>
      <c r="AX7" s="670"/>
      <c r="AY7" s="1325">
        <v>0</v>
      </c>
    </row>
    <row customHeight="1" ht="14.25" hidden="1">
      <c r="A8" s="1533"/>
      <c r="B8" s="1533"/>
      <c r="C8" s="1533"/>
      <c r="D8" s="1533"/>
      <c r="E8" s="2429"/>
      <c r="F8" s="2429"/>
      <c r="G8" s="2429"/>
      <c r="H8" s="2429"/>
      <c r="I8" s="2456"/>
      <c r="J8" s="2456"/>
      <c r="K8" s="2426"/>
      <c r="L8" s="1534"/>
      <c r="P8" s="2427"/>
      <c r="Q8" s="2427"/>
      <c r="R8" s="527"/>
      <c r="S8" s="1660"/>
      <c r="T8" s="470"/>
      <c r="U8" s="470"/>
      <c r="V8" s="495"/>
      <c r="W8" s="495"/>
      <c r="X8" s="495"/>
      <c r="Y8" s="495"/>
      <c r="Z8" s="495"/>
      <c r="AA8" s="495"/>
      <c r="AB8" s="495"/>
      <c r="AC8" s="2436"/>
      <c r="AD8" s="2277"/>
      <c r="AE8" s="2436"/>
      <c r="AF8" s="2277"/>
      <c r="AG8" s="495"/>
      <c r="AH8" s="495"/>
      <c r="AI8" s="495"/>
      <c r="AJ8" s="495"/>
      <c r="AK8" s="495"/>
      <c r="AL8" s="495"/>
      <c r="AM8" s="495"/>
      <c r="AN8" s="2436"/>
      <c r="AO8" s="2277"/>
      <c r="AP8" s="2458"/>
      <c r="AQ8" s="2277"/>
      <c r="AR8" s="1609"/>
      <c r="AS8" s="2519"/>
      <c r="AU8" s="670"/>
      <c r="AV8" s="670" t="str">
        <f>IF(T8="","",T8)</f>
        <v/>
      </c>
      <c r="AW8" s="670"/>
      <c r="AX8" s="670"/>
      <c r="AY8" s="1325">
        <v>0</v>
      </c>
    </row>
    <row customHeight="1" ht="21" hidden="1">
      <c r="A9" s="1533"/>
      <c r="B9" s="1533"/>
      <c r="C9" s="1533"/>
      <c r="D9" s="1533"/>
      <c r="E9" s="2429"/>
      <c r="F9" s="2429"/>
      <c r="G9" s="2429"/>
      <c r="H9" s="2429"/>
      <c r="I9" s="2456"/>
      <c r="J9" s="2426"/>
      <c r="K9" s="1533"/>
      <c r="L9" s="1534"/>
      <c r="P9" s="2427"/>
      <c r="Q9" s="2427"/>
      <c r="R9" s="526"/>
      <c r="S9" s="1448"/>
      <c r="T9" s="457" t="s">
        <v>501</v>
      </c>
      <c r="U9" s="537"/>
      <c r="V9" s="537"/>
      <c r="W9" s="770"/>
      <c r="X9" s="770"/>
      <c r="Y9" s="770"/>
      <c r="Z9" s="770"/>
      <c r="AA9" s="770"/>
      <c r="AB9" s="770"/>
      <c r="AC9" s="537"/>
      <c r="AD9" s="537"/>
      <c r="AE9" s="537"/>
      <c r="AF9" s="537"/>
      <c r="AG9" s="537"/>
      <c r="AH9" s="770"/>
      <c r="AI9" s="770"/>
      <c r="AJ9" s="770"/>
      <c r="AK9" s="770"/>
      <c r="AL9" s="770"/>
      <c r="AM9" s="537"/>
      <c r="AN9" s="537"/>
      <c r="AO9" s="537"/>
      <c r="AP9" s="537"/>
      <c r="AQ9" s="537"/>
      <c r="AR9" s="537"/>
      <c r="AS9" s="1428" t="s">
        <v>502</v>
      </c>
      <c r="AU9" s="670"/>
      <c r="AV9" s="670" t="str">
        <f>IF(T9="","",T9)</f>
        <v>Добавить значение признака дифференциации</v>
      </c>
      <c r="AW9" s="670"/>
      <c r="AX9" s="670"/>
      <c r="AY9" s="1325">
        <v>0</v>
      </c>
    </row>
    <row customHeight="1" ht="21" hidden="1">
      <c r="A10" s="1533"/>
      <c r="B10" s="1533"/>
      <c r="C10" s="1533"/>
      <c r="D10" s="1533"/>
      <c r="E10" s="2429"/>
      <c r="F10" s="2429"/>
      <c r="G10" s="2429"/>
      <c r="H10" s="2429"/>
      <c r="I10" s="2426"/>
      <c r="J10" s="1533"/>
      <c r="K10" s="1533"/>
      <c r="L10" s="1534"/>
      <c r="P10" s="2427"/>
      <c r="Q10" s="1651"/>
      <c r="R10" s="526"/>
      <c r="S10" s="1448"/>
      <c r="T10" s="535" t="s">
        <v>424</v>
      </c>
      <c r="U10" s="537"/>
      <c r="V10" s="537"/>
      <c r="W10" s="770"/>
      <c r="X10" s="770"/>
      <c r="Y10" s="770"/>
      <c r="Z10" s="770"/>
      <c r="AA10" s="770"/>
      <c r="AB10" s="770"/>
      <c r="AC10" s="537"/>
      <c r="AD10" s="537"/>
      <c r="AE10" s="537"/>
      <c r="AF10" s="536"/>
      <c r="AG10" s="537"/>
      <c r="AH10" s="770"/>
      <c r="AI10" s="770"/>
      <c r="AJ10" s="770"/>
      <c r="AK10" s="770"/>
      <c r="AL10" s="770"/>
      <c r="AM10" s="537"/>
      <c r="AN10" s="537"/>
      <c r="AO10" s="537"/>
      <c r="AP10" s="537"/>
      <c r="AQ10" s="536"/>
      <c r="AR10" s="537"/>
      <c r="AS10" s="1610"/>
      <c r="AU10" s="670"/>
      <c r="AV10" s="670" t="str">
        <f>IF(T10="","",T10)</f>
        <v>Добавить группу потребителей</v>
      </c>
      <c r="AW10" s="670"/>
      <c r="AX10" s="670"/>
      <c r="AY10" s="1325">
        <v>0</v>
      </c>
    </row>
    <row customHeight="1" ht="21" hidden="1">
      <c r="A11" s="1533"/>
      <c r="B11" s="1533"/>
      <c r="C11" s="1533"/>
      <c r="D11" s="1533"/>
      <c r="E11" s="2429"/>
      <c r="F11" s="2429"/>
      <c r="G11" s="2429"/>
      <c r="H11" s="2428"/>
      <c r="I11" s="1533"/>
      <c r="J11" s="1533"/>
      <c r="K11" s="1533"/>
      <c r="L11" s="1534"/>
      <c r="M11" s="1535"/>
      <c r="N11" s="1535"/>
      <c r="O11" s="707"/>
      <c r="P11" s="530"/>
      <c r="Q11" s="545"/>
      <c r="R11" s="525"/>
      <c r="S11" s="1448"/>
      <c r="T11" s="542" t="s">
        <v>503</v>
      </c>
      <c r="U11" s="537"/>
      <c r="V11" s="537"/>
      <c r="W11" s="770"/>
      <c r="X11" s="770"/>
      <c r="Y11" s="770"/>
      <c r="Z11" s="770"/>
      <c r="AA11" s="770"/>
      <c r="AB11" s="770"/>
      <c r="AC11" s="537"/>
      <c r="AD11" s="537"/>
      <c r="AE11" s="537"/>
      <c r="AF11" s="536"/>
      <c r="AG11" s="537"/>
      <c r="AH11" s="770"/>
      <c r="AI11" s="770"/>
      <c r="AJ11" s="770"/>
      <c r="AK11" s="770"/>
      <c r="AL11" s="770"/>
      <c r="AM11" s="537"/>
      <c r="AN11" s="537"/>
      <c r="AO11" s="537"/>
      <c r="AP11" s="537"/>
      <c r="AQ11" s="536"/>
      <c r="AR11" s="537"/>
      <c r="AS11" s="473"/>
      <c r="AU11" s="670"/>
      <c r="AV11" s="670" t="str">
        <f>IF(T11="","",T11)</f>
        <v>Добавить наименование признака дифференциации</v>
      </c>
      <c r="AW11" s="670"/>
      <c r="AX11" s="670"/>
      <c r="AY11" s="1325">
        <v>0</v>
      </c>
    </row>
    <row s="11993" customFormat="1" customHeight="1" ht="14.25" hidden="1">
      <c r="A12" s="1513"/>
      <c r="B12" s="1513"/>
      <c r="C12" s="1484"/>
      <c r="D12" s="1484"/>
      <c r="E12" s="2429"/>
      <c r="F12" s="2428"/>
      <c r="G12" s="1484"/>
      <c r="H12" s="1484"/>
      <c r="I12" s="1484"/>
      <c r="J12" s="1484"/>
      <c r="K12" s="1484"/>
      <c r="L12" s="1664"/>
      <c r="M12" s="1491"/>
      <c r="N12" s="1491"/>
      <c r="P12" s="1486"/>
      <c r="Q12" s="1487"/>
      <c r="R12" s="1486"/>
      <c r="S12" s="1492"/>
      <c r="T12" s="1495" t="s">
        <v>166</v>
      </c>
      <c r="U12" s="1494"/>
      <c r="V12" s="1494"/>
      <c r="W12" s="1494"/>
      <c r="X12" s="1494"/>
      <c r="Y12" s="1494"/>
      <c r="Z12" s="1494"/>
      <c r="AA12" s="1494"/>
      <c r="AB12" s="1494"/>
      <c r="AC12" s="1494"/>
      <c r="AD12" s="1494"/>
      <c r="AE12" s="1494"/>
      <c r="AF12" s="1494"/>
      <c r="AG12" s="1494"/>
      <c r="AH12" s="1494"/>
      <c r="AI12" s="1494"/>
      <c r="AJ12" s="1494"/>
      <c r="AK12" s="1494"/>
      <c r="AL12" s="1494"/>
      <c r="AM12" s="1494"/>
      <c r="AN12" s="1494"/>
      <c r="AO12" s="1494"/>
      <c r="AP12" s="1494"/>
      <c r="AQ12" s="1494"/>
      <c r="AR12" s="1494"/>
      <c r="AS12" s="1494"/>
      <c r="AU12" s="959"/>
      <c r="AV12" s="959" t="str">
        <f>IF(T12="","",T12)</f>
        <v>Добавить централизованную систему для дифференциации</v>
      </c>
      <c r="AW12" s="959"/>
      <c r="AX12" s="959"/>
      <c r="AY12" s="688">
        <v>0</v>
      </c>
    </row>
    <row s="11993" customFormat="1" customHeight="1" ht="14.25" hidden="1">
      <c r="A13" s="1513"/>
      <c r="B13" s="1513"/>
      <c r="C13" s="1513"/>
      <c r="D13" s="1513"/>
      <c r="E13" s="2428"/>
      <c r="F13" s="1513"/>
      <c r="G13" s="1513"/>
      <c r="H13" s="1513"/>
      <c r="I13" s="1513"/>
      <c r="J13" s="1513"/>
      <c r="K13" s="1513"/>
      <c r="L13" s="1516"/>
      <c r="M13" s="1491"/>
      <c r="N13" s="1491"/>
      <c r="O13" s="688"/>
      <c r="P13" s="550"/>
      <c r="Q13" s="1514"/>
      <c r="R13" s="550"/>
      <c r="S13" s="1492"/>
      <c r="T13" s="1495" t="s">
        <v>167</v>
      </c>
      <c r="U13" s="1494"/>
      <c r="V13" s="1494"/>
      <c r="W13" s="1494"/>
      <c r="X13" s="1494"/>
      <c r="Y13" s="1494"/>
      <c r="Z13" s="1494"/>
      <c r="AA13" s="1494"/>
      <c r="AB13" s="1494"/>
      <c r="AC13" s="1494"/>
      <c r="AD13" s="1494"/>
      <c r="AE13" s="1494"/>
      <c r="AF13" s="1494"/>
      <c r="AG13" s="1494"/>
      <c r="AH13" s="1494"/>
      <c r="AI13" s="1494"/>
      <c r="AJ13" s="1494"/>
      <c r="AK13" s="1494"/>
      <c r="AL13" s="1494"/>
      <c r="AM13" s="1494"/>
      <c r="AN13" s="1494"/>
      <c r="AO13" s="1494"/>
      <c r="AP13" s="1494"/>
      <c r="AQ13" s="1494"/>
      <c r="AR13" s="1494"/>
      <c r="AS13" s="1494"/>
      <c r="AU13" s="670"/>
      <c r="AV13" s="670" t="str">
        <f>IF(T13="","",T13)</f>
        <v>Добавить территорию для дифференциации</v>
      </c>
      <c r="AW13" s="670"/>
      <c r="AX13" s="670"/>
      <c r="AY13" s="681">
        <v>0</v>
      </c>
    </row>
    <row customHeight="1" ht="14.25" hidden="1">
      <c r="AF14" s="497"/>
      <c r="AQ14" s="497"/>
      <c r="AY14" s="1325">
        <v>0</v>
      </c>
    </row>
    <row customHeight="1" ht="14.25" hidden="1">
      <c r="AG15" s="1530"/>
      <c r="AH15" s="1530"/>
      <c r="AI15" s="1530"/>
      <c r="AJ15" s="1530"/>
      <c r="AK15" s="1530"/>
      <c r="AL15" s="1530"/>
      <c r="AM15" s="1530"/>
      <c r="AN15" s="2437"/>
      <c r="AO15" s="2438" t="s">
        <v>64</v>
      </c>
      <c r="AP15" s="2437"/>
      <c r="AQ15" s="2438" t="s">
        <v>64</v>
      </c>
      <c r="AY15" s="1325">
        <v>0</v>
      </c>
    </row>
    <row customHeight="1" ht="14.25" hidden="1">
      <c r="AG16" s="1530"/>
      <c r="AH16" s="1530"/>
      <c r="AI16" s="1530"/>
      <c r="AJ16" s="1530"/>
      <c r="AK16" s="1530"/>
      <c r="AL16" s="1530"/>
      <c r="AM16" s="1530"/>
      <c r="AN16" s="2438"/>
      <c r="AO16" s="2438"/>
      <c r="AP16" s="2438"/>
      <c r="AQ16" s="2438"/>
      <c r="AY16" s="1325">
        <v>0</v>
      </c>
    </row>
    <row customHeight="1" ht="14.25" hidden="1">
      <c r="AQ17" s="497"/>
      <c r="AY17" s="1325">
        <v>0</v>
      </c>
    </row>
    <row s="11992" customFormat="1" customHeight="1" ht="22.5" hidden="1">
      <c r="L18" s="1648"/>
      <c r="M18" s="1532"/>
      <c r="N18" s="1532"/>
      <c r="O18" s="1537" t="s">
        <v>426</v>
      </c>
      <c r="P18" s="1532"/>
      <c r="Q18" s="1541"/>
      <c r="R18" s="1541"/>
      <c r="S18" s="899"/>
      <c r="W18" s="1536"/>
      <c r="X18" s="1536"/>
      <c r="Y18" s="1536"/>
      <c r="Z18" s="1536"/>
      <c r="AA18" s="1536"/>
      <c r="AB18" s="1536"/>
      <c r="AC18" s="1537"/>
      <c r="AE18" s="1537"/>
      <c r="AF18" s="1536"/>
      <c r="AH18" s="1536"/>
      <c r="AI18" s="1536"/>
      <c r="AJ18" s="1536"/>
      <c r="AK18" s="1536"/>
      <c r="AL18" s="1536"/>
      <c r="AN18" s="1537"/>
      <c r="AP18" s="1537"/>
      <c r="AQ18" s="1536"/>
      <c r="AT18" s="681"/>
      <c r="AU18" s="681"/>
      <c r="AV18" s="681"/>
      <c r="AW18" s="681"/>
      <c r="AX18" s="681"/>
      <c r="AY18" s="1330">
        <v>0</v>
      </c>
    </row>
    <row s="11992" customFormat="1" customHeight="1" ht="14.25" hidden="1">
      <c r="L19" s="1648"/>
      <c r="M19" s="1532"/>
      <c r="N19" s="1532"/>
      <c r="O19" s="1532"/>
      <c r="P19" s="1532"/>
      <c r="Q19" s="1541"/>
      <c r="R19" s="1541"/>
      <c r="S19" s="899"/>
      <c r="W19" s="1536"/>
      <c r="X19" s="1536"/>
      <c r="Y19" s="1536"/>
      <c r="Z19" s="1536"/>
      <c r="AA19" s="1536"/>
      <c r="AB19" s="1536"/>
      <c r="AF19" s="1536"/>
      <c r="AH19" s="1536"/>
      <c r="AI19" s="1536"/>
      <c r="AJ19" s="1536"/>
      <c r="AK19" s="1536"/>
      <c r="AL19" s="1536"/>
      <c r="AQ19" s="1536"/>
      <c r="AT19" s="681"/>
      <c r="AU19" s="681"/>
      <c r="AV19" s="681"/>
      <c r="AW19" s="681"/>
      <c r="AX19" s="681"/>
      <c r="AY19" s="1330">
        <v>0</v>
      </c>
    </row>
    <row s="11992" customFormat="1" customHeight="1" ht="12" hidden="1">
      <c r="L20" s="1648"/>
      <c r="M20" s="1532"/>
      <c r="N20" s="1532"/>
      <c r="O20" s="1534" t="s">
        <v>427</v>
      </c>
      <c r="P20" s="1532"/>
      <c r="Q20" s="1612"/>
      <c r="R20" s="1612"/>
      <c r="S20" s="899"/>
      <c r="T20" s="1330" t="s">
        <v>428</v>
      </c>
      <c r="W20" s="1536"/>
      <c r="X20" s="1536"/>
      <c r="Y20" s="1536"/>
      <c r="Z20" s="1536"/>
      <c r="AA20" s="1536"/>
      <c r="AB20" s="1536"/>
      <c r="AD20" s="356" t="s">
        <v>429</v>
      </c>
      <c r="AF20" s="356" t="s">
        <v>430</v>
      </c>
      <c r="AG20" s="1330" t="s">
        <v>428</v>
      </c>
      <c r="AH20" s="1536"/>
      <c r="AI20" s="1536"/>
      <c r="AJ20" s="1536"/>
      <c r="AK20" s="1536"/>
      <c r="AL20" s="1536"/>
      <c r="AO20" s="356" t="s">
        <v>431</v>
      </c>
      <c r="AQ20" s="356" t="s">
        <v>430</v>
      </c>
      <c r="AY20" s="1330">
        <v>0</v>
      </c>
    </row>
    <row customHeight="1" ht="14.25" hidden="1">
      <c r="O21" s="1534"/>
      <c r="AY21" s="1325">
        <v>0</v>
      </c>
    </row>
    <row customHeight="1" ht="14.25" hidden="1">
      <c r="O22" s="1534"/>
      <c r="AY22" s="1325">
        <v>0</v>
      </c>
    </row>
    <row customHeight="1" ht="14.699999999999998">
      <c r="Q23" s="546"/>
      <c r="R23" s="546"/>
      <c r="S23" s="1445"/>
      <c r="T23" s="533"/>
      <c r="U23" s="533"/>
      <c r="V23" s="679"/>
      <c r="W23" s="1805"/>
      <c r="X23" s="1805"/>
      <c r="Y23" s="1805"/>
      <c r="Z23" s="1805"/>
      <c r="AA23" s="1805"/>
      <c r="AB23" s="1805"/>
      <c r="AC23" s="679"/>
      <c r="AD23" s="679"/>
      <c r="AE23" s="679"/>
      <c r="AF23" s="679"/>
      <c r="AG23" s="679"/>
      <c r="AH23" s="1805"/>
      <c r="AI23" s="1805"/>
      <c r="AJ23" s="1805"/>
      <c r="AK23" s="1805"/>
      <c r="AL23" s="1805"/>
      <c r="AM23" s="679"/>
      <c r="AN23" s="679"/>
      <c r="AO23" s="679"/>
      <c r="AP23" s="679"/>
      <c r="AQ23" s="679"/>
      <c r="AY23" s="1325">
        <v>14</v>
      </c>
    </row>
    <row customHeight="1" ht="26.25">
      <c r="Q24" s="546"/>
      <c r="R24" s="546"/>
      <c r="S24" s="241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418"/>
      <c r="U24" s="2418"/>
      <c r="V24" s="2418"/>
      <c r="W24" s="2418"/>
      <c r="X24" s="2418"/>
      <c r="Y24" s="2418"/>
      <c r="Z24" s="2418"/>
      <c r="AA24" s="2418"/>
      <c r="AB24" s="2418"/>
      <c r="AC24" s="2418"/>
      <c r="AD24" s="2418"/>
      <c r="AE24" s="2418"/>
      <c r="AF24" s="2418"/>
      <c r="AG24" s="2418"/>
      <c r="AH24" s="2418"/>
      <c r="AI24" s="2418"/>
      <c r="AJ24" s="2418"/>
      <c r="AK24" s="2418"/>
      <c r="AL24" s="2418"/>
      <c r="AM24" s="2418"/>
      <c r="AN24" s="2418"/>
      <c r="AO24" s="2418"/>
      <c r="AP24" s="2418"/>
      <c r="AQ24" s="1413"/>
      <c r="AY24" s="1325">
        <v>25</v>
      </c>
    </row>
    <row customHeight="1" ht="14.699999999999998">
      <c r="Q25" s="546"/>
      <c r="R25" s="546"/>
      <c r="S25" s="2419" t="str">
        <f>IF(org=0,"Не определено",org)</f>
        <v>Филиал "Шатурская ГРЭС" ПАО "Юнипро"</v>
      </c>
      <c r="T25" s="2419"/>
      <c r="U25" s="2419"/>
      <c r="V25" s="2419"/>
      <c r="W25" s="2419"/>
      <c r="X25" s="2419"/>
      <c r="Y25" s="2419"/>
      <c r="Z25" s="2419"/>
      <c r="AA25" s="2419"/>
      <c r="AB25" s="2419"/>
      <c r="AC25" s="2419"/>
      <c r="AD25" s="2419"/>
      <c r="AE25" s="2419"/>
      <c r="AF25" s="2419"/>
      <c r="AG25" s="2419"/>
      <c r="AH25" s="2419"/>
      <c r="AI25" s="2419"/>
      <c r="AJ25" s="2419"/>
      <c r="AK25" s="2419"/>
      <c r="AL25" s="2419"/>
      <c r="AM25" s="2419"/>
      <c r="AN25" s="2419"/>
      <c r="AO25" s="2419"/>
      <c r="AP25" s="2419"/>
      <c r="AQ25" s="1413"/>
      <c r="AY25" s="1325">
        <v>14</v>
      </c>
    </row>
    <row customHeight="1" ht="14.25">
      <c r="Q26" s="546"/>
      <c r="R26" s="546"/>
      <c r="S26" s="1445"/>
      <c r="T26" s="533"/>
      <c r="U26" s="533"/>
      <c r="V26" s="492"/>
      <c r="W26" s="492"/>
      <c r="X26" s="492"/>
      <c r="Y26" s="492"/>
      <c r="Z26" s="492"/>
      <c r="AA26" s="492"/>
      <c r="AB26" s="492"/>
      <c r="AC26" s="492"/>
      <c r="AD26" s="492"/>
      <c r="AE26" s="492"/>
      <c r="AF26" s="492"/>
      <c r="AG26" s="492"/>
      <c r="AH26" s="492"/>
      <c r="AI26" s="492"/>
      <c r="AJ26" s="492"/>
      <c r="AK26" s="492"/>
      <c r="AL26" s="492"/>
      <c r="AM26" s="492"/>
      <c r="AN26" s="492"/>
      <c r="AO26" s="492"/>
      <c r="AP26" s="492"/>
      <c r="AQ26" s="492"/>
      <c r="AR26" s="679"/>
      <c r="AY26" s="1325">
        <v>0</v>
      </c>
    </row>
    <row s="12119" customFormat="1" customHeight="1" ht="25.5">
      <c r="A27" s="1538"/>
      <c r="B27" s="1538"/>
      <c r="C27" s="1538"/>
      <c r="D27" s="1538"/>
      <c r="E27" s="1538"/>
      <c r="F27" s="1538"/>
      <c r="G27" s="1538"/>
      <c r="H27" s="1538"/>
      <c r="I27" s="1538"/>
      <c r="J27" s="1538"/>
      <c r="K27" s="1538"/>
      <c r="L27" s="1539"/>
      <c r="M27" s="1538"/>
      <c r="N27" s="1538"/>
      <c r="O27" s="1538"/>
      <c r="S27" s="2420" t="s">
        <v>42</v>
      </c>
      <c r="T27" s="2420"/>
      <c r="U27" s="1542"/>
      <c r="V27" s="2421" t="str">
        <f>IF(TITLE_NAME_OR_PR_CHANGE="",IF(TITLE_NAME_OR_PR="","",TITLE_NAME_OR_PR),TITLE_NAME_OR_PR_CHANGE)</f>
        <v>Комитет по ценам и тарифам Московской области</v>
      </c>
      <c r="W27" s="2421"/>
      <c r="X27" s="2421"/>
      <c r="Y27" s="2421"/>
      <c r="Z27" s="2421"/>
      <c r="AA27" s="2421"/>
      <c r="AB27" s="2421"/>
      <c r="AC27" s="2421"/>
      <c r="AD27" s="2421"/>
      <c r="AE27" s="2421"/>
      <c r="AF27" s="496"/>
      <c r="AG27" s="2421" t="str">
        <f>IF(TITLE_NAME_OR_PR_CHANGE="",IF(TITLE_NAME_OR_PR="","",TITLE_NAME_OR_PR),TITLE_NAME_OR_PR_CHANGE)</f>
        <v>Комитет по ценам и тарифам Московской области</v>
      </c>
      <c r="AH27" s="2421"/>
      <c r="AI27" s="2421"/>
      <c r="AJ27" s="2421"/>
      <c r="AK27" s="2421"/>
      <c r="AL27" s="2421"/>
      <c r="AM27" s="2421"/>
      <c r="AN27" s="2421"/>
      <c r="AO27" s="2421"/>
      <c r="AP27" s="2421"/>
      <c r="AQ27" s="496"/>
      <c r="AR27" s="496"/>
      <c r="AS27" s="450"/>
      <c r="AT27" s="538"/>
      <c r="AU27" s="538"/>
      <c r="AV27" s="538"/>
      <c r="AW27" s="538"/>
      <c r="AX27" s="538"/>
      <c r="AY27" s="588">
        <v>0</v>
      </c>
    </row>
    <row s="12119" customFormat="1" customHeight="1" ht="18.75">
      <c r="A28" s="1538"/>
      <c r="B28" s="1538"/>
      <c r="C28" s="1538"/>
      <c r="D28" s="1538"/>
      <c r="E28" s="1538"/>
      <c r="F28" s="1538"/>
      <c r="G28" s="1538"/>
      <c r="H28" s="1538"/>
      <c r="I28" s="1538"/>
      <c r="J28" s="1538"/>
      <c r="K28" s="1538"/>
      <c r="L28" s="1539"/>
      <c r="M28" s="1538"/>
      <c r="N28" s="1538"/>
      <c r="O28" s="1538"/>
      <c r="S28" s="2420" t="s">
        <v>432</v>
      </c>
      <c r="T28" s="2420"/>
      <c r="U28" s="1542"/>
      <c r="V28" s="2434" t="str">
        <f>IF(TITLE_DATE_PR_CHANGE="",IF(TITLE_DATE_PR="","",TITLE_DATE_PR),TITLE_DATE_PR_CHANGE)</f>
        <v>45646.459814814814</v>
      </c>
      <c r="W28" s="2434"/>
      <c r="X28" s="2434"/>
      <c r="Y28" s="2434"/>
      <c r="Z28" s="2434"/>
      <c r="AA28" s="2434"/>
      <c r="AB28" s="2434"/>
      <c r="AC28" s="2434"/>
      <c r="AD28" s="2434"/>
      <c r="AE28" s="2434"/>
      <c r="AF28" s="496"/>
      <c r="AG28" s="2434" t="str">
        <f>IF(TITLE_DATE_PR_CHANGE="",IF(TITLE_DATE_PR="","",TITLE_DATE_PR),TITLE_DATE_PR_CHANGE)</f>
        <v>45646.459814814814</v>
      </c>
      <c r="AH28" s="2434"/>
      <c r="AI28" s="2434"/>
      <c r="AJ28" s="2434"/>
      <c r="AK28" s="2434"/>
      <c r="AL28" s="2434"/>
      <c r="AM28" s="2434"/>
      <c r="AN28" s="2434"/>
      <c r="AO28" s="2434"/>
      <c r="AP28" s="2434"/>
      <c r="AQ28" s="496"/>
      <c r="AR28" s="496"/>
      <c r="AS28" s="450"/>
      <c r="AT28" s="538"/>
      <c r="AU28" s="538"/>
      <c r="AV28" s="538"/>
      <c r="AW28" s="538"/>
      <c r="AX28" s="538"/>
      <c r="AY28" s="588">
        <v>0</v>
      </c>
    </row>
    <row s="12119" customFormat="1" customHeight="1" ht="18.75">
      <c r="A29" s="1538"/>
      <c r="B29" s="1538"/>
      <c r="C29" s="1538"/>
      <c r="D29" s="1538"/>
      <c r="E29" s="1538"/>
      <c r="F29" s="1538"/>
      <c r="G29" s="1538"/>
      <c r="H29" s="1538"/>
      <c r="I29" s="1538"/>
      <c r="J29" s="1538"/>
      <c r="K29" s="1538"/>
      <c r="L29" s="1539"/>
      <c r="M29" s="1538"/>
      <c r="N29" s="1538"/>
      <c r="O29" s="1538"/>
      <c r="S29" s="2420" t="s">
        <v>433</v>
      </c>
      <c r="T29" s="2420"/>
      <c r="U29" s="1542"/>
      <c r="V29" s="2421" t="str">
        <f>IF(TITLE_NUMBER_PR_CHANGE="",IF(TITLE_NUMBER_PR="","",TITLE_NUMBER_PR),TITLE_NUMBER_PR_CHANGE)</f>
        <v>329-Р</v>
      </c>
      <c r="W29" s="2421"/>
      <c r="X29" s="2421"/>
      <c r="Y29" s="2421"/>
      <c r="Z29" s="2421"/>
      <c r="AA29" s="2421"/>
      <c r="AB29" s="2421"/>
      <c r="AC29" s="2421"/>
      <c r="AD29" s="2421"/>
      <c r="AE29" s="2421"/>
      <c r="AF29" s="496"/>
      <c r="AG29" s="2421" t="str">
        <f>IF(TITLE_NUMBER_PR_CHANGE="",IF(TITLE_NUMBER_PR="","",TITLE_NUMBER_PR),TITLE_NUMBER_PR_CHANGE)</f>
        <v>329-Р</v>
      </c>
      <c r="AH29" s="2421"/>
      <c r="AI29" s="2421"/>
      <c r="AJ29" s="2421"/>
      <c r="AK29" s="2421"/>
      <c r="AL29" s="2421"/>
      <c r="AM29" s="2421"/>
      <c r="AN29" s="2421"/>
      <c r="AO29" s="2421"/>
      <c r="AP29" s="2421"/>
      <c r="AQ29" s="496"/>
      <c r="AR29" s="496"/>
      <c r="AS29" s="450"/>
      <c r="AT29" s="538"/>
      <c r="AU29" s="538"/>
      <c r="AV29" s="538"/>
      <c r="AW29" s="538"/>
      <c r="AX29" s="538"/>
      <c r="AY29" s="588">
        <v>0</v>
      </c>
    </row>
    <row s="12119" customFormat="1" customHeight="1" ht="18.75">
      <c r="A30" s="1538"/>
      <c r="B30" s="1538"/>
      <c r="C30" s="1538"/>
      <c r="D30" s="1538"/>
      <c r="E30" s="1538"/>
      <c r="F30" s="1538"/>
      <c r="G30" s="1538"/>
      <c r="H30" s="1538"/>
      <c r="I30" s="1538"/>
      <c r="J30" s="1538"/>
      <c r="K30" s="1538"/>
      <c r="L30" s="1539"/>
      <c r="M30" s="1538"/>
      <c r="N30" s="1538"/>
      <c r="O30" s="1538"/>
      <c r="S30" s="2420" t="s">
        <v>44</v>
      </c>
      <c r="T30" s="2420"/>
      <c r="U30" s="1542"/>
      <c r="V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421"/>
      <c r="X30" s="2421"/>
      <c r="Y30" s="2421"/>
      <c r="Z30" s="2421"/>
      <c r="AA30" s="2421"/>
      <c r="AB30" s="2421"/>
      <c r="AC30" s="2421"/>
      <c r="AD30" s="2421"/>
      <c r="AE30" s="2421"/>
      <c r="AF30" s="496"/>
      <c r="AG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H30" s="2421"/>
      <c r="AI30" s="2421"/>
      <c r="AJ30" s="2421"/>
      <c r="AK30" s="2421"/>
      <c r="AL30" s="2421"/>
      <c r="AM30" s="2421"/>
      <c r="AN30" s="2421"/>
      <c r="AO30" s="2421"/>
      <c r="AP30" s="2421"/>
      <c r="AQ30" s="496"/>
      <c r="AR30" s="496"/>
      <c r="AS30" s="450"/>
      <c r="AT30" s="538"/>
      <c r="AU30" s="538"/>
      <c r="AV30" s="538"/>
      <c r="AW30" s="538"/>
      <c r="AX30" s="538"/>
      <c r="AY30" s="588">
        <v>0</v>
      </c>
    </row>
    <row customHeight="1" ht="14.25" hidden="1">
      <c r="Q31" s="546"/>
      <c r="R31" s="546"/>
      <c r="S31" s="1445"/>
      <c r="T31" s="533"/>
      <c r="U31" s="533"/>
      <c r="V31" s="492"/>
      <c r="W31" s="492"/>
      <c r="X31" s="492"/>
      <c r="Y31" s="492"/>
      <c r="Z31" s="492"/>
      <c r="AA31" s="492"/>
      <c r="AB31" s="492"/>
      <c r="AC31" s="492"/>
      <c r="AD31" s="492"/>
      <c r="AE31" s="492"/>
      <c r="AF31" s="492"/>
      <c r="AG31" s="492"/>
      <c r="AH31" s="492"/>
      <c r="AI31" s="492"/>
      <c r="AJ31" s="492"/>
      <c r="AK31" s="492"/>
      <c r="AL31" s="492"/>
      <c r="AM31" s="492"/>
      <c r="AN31" s="492"/>
      <c r="AO31" s="492"/>
      <c r="AP31" s="492"/>
      <c r="AQ31" s="492"/>
      <c r="AR31" s="679"/>
      <c r="AY31" s="1325">
        <v>0</v>
      </c>
    </row>
    <row s="12119" customFormat="1" customHeight="1" ht="18.75" hidden="1">
      <c r="A32" s="1538"/>
      <c r="B32" s="1538"/>
      <c r="C32" s="1538"/>
      <c r="D32" s="1538"/>
      <c r="E32" s="1538"/>
      <c r="F32" s="1538"/>
      <c r="G32" s="1538"/>
      <c r="H32" s="1538"/>
      <c r="I32" s="1538"/>
      <c r="J32" s="1538"/>
      <c r="K32" s="1538"/>
      <c r="L32" s="1539"/>
      <c r="M32" s="1538"/>
      <c r="N32" s="1538"/>
      <c r="O32" s="1538"/>
      <c r="S32" s="2420" t="s">
        <v>434</v>
      </c>
      <c r="T32" s="2420"/>
      <c r="U32" s="1542"/>
      <c r="V32" s="2434" t="str">
        <f>IF(TITLE_DATE_PR_CHANGE="",IF(TITLE_DATE_PR="","",TITLE_DATE_PR),TITLE_DATE_PR_CHANGE)</f>
        <v>45646.459814814814</v>
      </c>
      <c r="W32" s="2434"/>
      <c r="X32" s="2434"/>
      <c r="Y32" s="2434"/>
      <c r="Z32" s="2434"/>
      <c r="AA32" s="2434"/>
      <c r="AB32" s="2434"/>
      <c r="AC32" s="2434"/>
      <c r="AD32" s="2434"/>
      <c r="AE32" s="2434"/>
      <c r="AF32" s="496"/>
      <c r="AG32" s="2434" t="str">
        <f>IF(TITLE_DATE_PR_CHANGE="",IF(TITLE_DATE_PR="","",TITLE_DATE_PR),TITLE_DATE_PR_CHANGE)</f>
        <v>45646.459814814814</v>
      </c>
      <c r="AH32" s="2434"/>
      <c r="AI32" s="2434"/>
      <c r="AJ32" s="2434"/>
      <c r="AK32" s="2434"/>
      <c r="AL32" s="2434"/>
      <c r="AM32" s="2434"/>
      <c r="AN32" s="2434"/>
      <c r="AO32" s="2434"/>
      <c r="AP32" s="2434"/>
      <c r="AQ32" s="496"/>
      <c r="AR32" s="496"/>
      <c r="AS32" s="450"/>
      <c r="AT32" s="538"/>
      <c r="AU32" s="538"/>
      <c r="AV32" s="538"/>
      <c r="AW32" s="538"/>
      <c r="AX32" s="538"/>
      <c r="AY32" s="588">
        <v>0</v>
      </c>
    </row>
    <row s="12119" customFormat="1" customHeight="1" ht="18.75" hidden="1">
      <c r="A33" s="1538"/>
      <c r="B33" s="1538"/>
      <c r="C33" s="1538"/>
      <c r="D33" s="1538"/>
      <c r="E33" s="1538"/>
      <c r="F33" s="1538"/>
      <c r="G33" s="1538"/>
      <c r="H33" s="1538"/>
      <c r="I33" s="1538"/>
      <c r="J33" s="1538"/>
      <c r="K33" s="1538"/>
      <c r="L33" s="1539"/>
      <c r="M33" s="1538"/>
      <c r="N33" s="1538"/>
      <c r="O33" s="1538"/>
      <c r="S33" s="2420" t="s">
        <v>435</v>
      </c>
      <c r="T33" s="2420"/>
      <c r="U33" s="1542"/>
      <c r="V33" s="2421" t="str">
        <f>IF(TITLE_NUMBER_PR_CHANGE="",IF(TITLE_NUMBER_PR="","",TITLE_NUMBER_PR),TITLE_NUMBER_PR_CHANGE)</f>
        <v>329-Р</v>
      </c>
      <c r="W33" s="2421"/>
      <c r="X33" s="2421"/>
      <c r="Y33" s="2421"/>
      <c r="Z33" s="2421"/>
      <c r="AA33" s="2421"/>
      <c r="AB33" s="2421"/>
      <c r="AC33" s="2421"/>
      <c r="AD33" s="2421"/>
      <c r="AE33" s="2421"/>
      <c r="AF33" s="496"/>
      <c r="AG33" s="2421" t="str">
        <f>IF(TITLE_NUMBER_PR_CHANGE="",IF(TITLE_NUMBER_PR="","",TITLE_NUMBER_PR),TITLE_NUMBER_PR_CHANGE)</f>
        <v>329-Р</v>
      </c>
      <c r="AH33" s="2421"/>
      <c r="AI33" s="2421"/>
      <c r="AJ33" s="2421"/>
      <c r="AK33" s="2421"/>
      <c r="AL33" s="2421"/>
      <c r="AM33" s="2421"/>
      <c r="AN33" s="2421"/>
      <c r="AO33" s="2421"/>
      <c r="AP33" s="2421"/>
      <c r="AQ33" s="496"/>
      <c r="AR33" s="496"/>
      <c r="AS33" s="450"/>
      <c r="AT33" s="538"/>
      <c r="AU33" s="538"/>
      <c r="AV33" s="538"/>
      <c r="AW33" s="538"/>
      <c r="AX33" s="538"/>
      <c r="AY33" s="588">
        <v>0</v>
      </c>
    </row>
    <row s="12119" customFormat="1" customHeight="1" ht="1.05">
      <c r="A34" s="1538"/>
      <c r="B34" s="1538"/>
      <c r="C34" s="1538"/>
      <c r="D34" s="1538"/>
      <c r="E34" s="1538"/>
      <c r="F34" s="1538"/>
      <c r="G34" s="1538"/>
      <c r="H34" s="1538"/>
      <c r="I34" s="1538"/>
      <c r="J34" s="1538"/>
      <c r="K34" s="1538"/>
      <c r="L34" s="1539"/>
      <c r="M34" s="1538"/>
      <c r="N34" s="1538"/>
      <c r="O34" s="1538"/>
      <c r="S34" s="493"/>
      <c r="T34" s="493"/>
      <c r="U34" s="1658"/>
      <c r="V34" s="496"/>
      <c r="W34" s="1805"/>
      <c r="X34" s="1805"/>
      <c r="Y34" s="1805"/>
      <c r="Z34" s="1805"/>
      <c r="AA34" s="1805"/>
      <c r="AB34" s="1805"/>
      <c r="AC34" s="496"/>
      <c r="AD34" s="496"/>
      <c r="AE34" s="496"/>
      <c r="AF34" s="448" t="s">
        <v>436</v>
      </c>
      <c r="AG34" s="496"/>
      <c r="AH34" s="1805"/>
      <c r="AI34" s="1805"/>
      <c r="AJ34" s="1805"/>
      <c r="AK34" s="1805"/>
      <c r="AL34" s="1805"/>
      <c r="AM34" s="496"/>
      <c r="AN34" s="496"/>
      <c r="AO34" s="496"/>
      <c r="AP34" s="496"/>
      <c r="AQ34" s="448" t="s">
        <v>436</v>
      </c>
      <c r="AT34" s="538"/>
      <c r="AU34" s="538"/>
      <c r="AV34" s="538"/>
      <c r="AW34" s="538"/>
      <c r="AX34" s="538"/>
      <c r="AY34" s="588">
        <v>1</v>
      </c>
    </row>
    <row customHeight="1" ht="14.699999999999998">
      <c r="Q35" s="546"/>
      <c r="R35" s="546"/>
      <c r="S35" s="1445"/>
      <c r="T35" s="533"/>
      <c r="U35" s="1414"/>
      <c r="V35" s="2422"/>
      <c r="W35" s="2422"/>
      <c r="X35" s="2422"/>
      <c r="Y35" s="2422"/>
      <c r="Z35" s="2422"/>
      <c r="AA35" s="2422"/>
      <c r="AB35" s="2422"/>
      <c r="AC35" s="2422"/>
      <c r="AD35" s="2422"/>
      <c r="AE35" s="2422"/>
      <c r="AF35" s="2422"/>
      <c r="AG35" s="2422"/>
      <c r="AH35" s="2422"/>
      <c r="AI35" s="2422"/>
      <c r="AJ35" s="2422"/>
      <c r="AK35" s="2422"/>
      <c r="AL35" s="2422"/>
      <c r="AM35" s="2422"/>
      <c r="AN35" s="2422"/>
      <c r="AO35" s="2422"/>
      <c r="AP35" s="2422"/>
      <c r="AQ35" s="2422"/>
      <c r="AY35" s="1325">
        <v>14</v>
      </c>
    </row>
    <row customHeight="1" ht="14.699999999999998">
      <c r="Q36" s="546"/>
      <c r="R36" s="546"/>
      <c r="S36" s="2297" t="s">
        <v>312</v>
      </c>
      <c r="T36" s="2297"/>
      <c r="U36" s="2297"/>
      <c r="V36" s="2297"/>
      <c r="W36" s="2297"/>
      <c r="X36" s="2297"/>
      <c r="Y36" s="2297"/>
      <c r="Z36" s="2297"/>
      <c r="AA36" s="2297"/>
      <c r="AB36" s="2297"/>
      <c r="AC36" s="2297"/>
      <c r="AD36" s="2297"/>
      <c r="AE36" s="2297"/>
      <c r="AF36" s="2297"/>
      <c r="AG36" s="2297"/>
      <c r="AH36" s="2297"/>
      <c r="AI36" s="2297"/>
      <c r="AJ36" s="2297"/>
      <c r="AK36" s="2297"/>
      <c r="AL36" s="2297"/>
      <c r="AM36" s="2297"/>
      <c r="AN36" s="2297"/>
      <c r="AO36" s="2297"/>
      <c r="AP36" s="2297"/>
      <c r="AQ36" s="2297"/>
      <c r="AR36" s="2297"/>
      <c r="AS36" s="2297" t="s">
        <v>313</v>
      </c>
      <c r="AY36" s="1325">
        <v>14</v>
      </c>
    </row>
    <row customHeight="1" ht="14.699999999999998">
      <c r="Q37" s="546"/>
      <c r="R37" s="546"/>
      <c r="S37" s="2443" t="s">
        <v>91</v>
      </c>
      <c r="T37" s="2379" t="s">
        <v>438</v>
      </c>
      <c r="U37" s="471"/>
      <c r="V37" s="2444" t="s">
        <v>439</v>
      </c>
      <c r="W37" s="2461"/>
      <c r="X37" s="2461"/>
      <c r="Y37" s="2461"/>
      <c r="Z37" s="2461"/>
      <c r="AA37" s="2461"/>
      <c r="AB37" s="2461"/>
      <c r="AC37" s="2445"/>
      <c r="AD37" s="2445"/>
      <c r="AE37" s="2446"/>
      <c r="AF37" s="2447" t="s">
        <v>440</v>
      </c>
      <c r="AG37" s="2444" t="s">
        <v>439</v>
      </c>
      <c r="AH37" s="2445"/>
      <c r="AI37" s="2445"/>
      <c r="AJ37" s="2445"/>
      <c r="AK37" s="2445"/>
      <c r="AL37" s="2445"/>
      <c r="AM37" s="2445"/>
      <c r="AN37" s="2445"/>
      <c r="AO37" s="2445"/>
      <c r="AP37" s="2446"/>
      <c r="AQ37" s="2447" t="s">
        <v>441</v>
      </c>
      <c r="AR37" s="2450" t="s">
        <v>442</v>
      </c>
      <c r="AS37" s="2297"/>
      <c r="AY37" s="1325">
        <v>14</v>
      </c>
    </row>
    <row customHeight="1" ht="19.95">
      <c r="Q38" s="546"/>
      <c r="R38" s="546"/>
      <c r="S38" s="2443"/>
      <c r="T38" s="2379"/>
      <c r="U38" s="1201"/>
      <c r="V38" s="2536" t="s">
        <v>547</v>
      </c>
      <c r="W38" s="2535" t="s">
        <v>548</v>
      </c>
      <c r="X38" s="2535"/>
      <c r="Y38" s="2535"/>
      <c r="Z38" s="2535" t="s">
        <v>549</v>
      </c>
      <c r="AA38" s="2535"/>
      <c r="AB38" s="2535"/>
      <c r="AC38" s="2464" t="s">
        <v>446</v>
      </c>
      <c r="AD38" s="2483"/>
      <c r="AE38" s="2484"/>
      <c r="AF38" s="2448"/>
      <c r="AG38" s="2536" t="s">
        <v>547</v>
      </c>
      <c r="AH38" s="2535" t="s">
        <v>548</v>
      </c>
      <c r="AI38" s="2535"/>
      <c r="AJ38" s="2535"/>
      <c r="AK38" s="2535" t="s">
        <v>549</v>
      </c>
      <c r="AL38" s="2535"/>
      <c r="AM38" s="2535"/>
      <c r="AN38" s="2464" t="s">
        <v>446</v>
      </c>
      <c r="AO38" s="2483"/>
      <c r="AP38" s="2484"/>
      <c r="AQ38" s="2448"/>
      <c r="AR38" s="2451"/>
      <c r="AS38" s="2297"/>
      <c r="AY38" s="1325">
        <v>19</v>
      </c>
    </row>
    <row s="11913" customFormat="1" customHeight="1" ht="19.95">
      <c r="A39" s="1536"/>
      <c r="B39" s="1536"/>
      <c r="C39" s="1536"/>
      <c r="D39" s="1536"/>
      <c r="E39" s="1536"/>
      <c r="F39" s="1536"/>
      <c r="G39" s="1536"/>
      <c r="H39" s="1536"/>
      <c r="I39" s="1536"/>
      <c r="J39" s="1536"/>
      <c r="K39" s="1536"/>
      <c r="L39" s="2121"/>
      <c r="M39" s="1532"/>
      <c r="N39" s="1532"/>
      <c r="O39" s="1532"/>
      <c r="P39" s="2135"/>
      <c r="Q39" s="546"/>
      <c r="R39" s="546"/>
      <c r="S39" s="2443"/>
      <c r="T39" s="2379"/>
      <c r="U39" s="1201"/>
      <c r="V39" s="2536"/>
      <c r="W39" s="2535" t="s">
        <v>550</v>
      </c>
      <c r="X39" s="2535" t="s">
        <v>551</v>
      </c>
      <c r="Y39" s="2535"/>
      <c r="Z39" s="2535" t="s">
        <v>552</v>
      </c>
      <c r="AA39" s="2535" t="s">
        <v>551</v>
      </c>
      <c r="AB39" s="2535"/>
      <c r="AC39" s="2465"/>
      <c r="AD39" s="2485"/>
      <c r="AE39" s="2486"/>
      <c r="AF39" s="2448"/>
      <c r="AG39" s="2536"/>
      <c r="AH39" s="2535" t="s">
        <v>550</v>
      </c>
      <c r="AI39" s="2535" t="s">
        <v>551</v>
      </c>
      <c r="AJ39" s="2535"/>
      <c r="AK39" s="2535" t="s">
        <v>552</v>
      </c>
      <c r="AL39" s="2535" t="s">
        <v>551</v>
      </c>
      <c r="AM39" s="2535"/>
      <c r="AN39" s="2465"/>
      <c r="AO39" s="2485"/>
      <c r="AP39" s="2486"/>
      <c r="AQ39" s="2448"/>
      <c r="AR39" s="2451"/>
      <c r="AS39" s="2297"/>
      <c r="AT39" s="1806"/>
      <c r="AU39" s="1806"/>
      <c r="AV39" s="1806"/>
      <c r="AW39" s="1806"/>
      <c r="AX39" s="1806"/>
      <c r="AY39" s="1801">
        <v>19</v>
      </c>
    </row>
    <row customHeight="1" ht="61.949999999999996">
      <c r="A40" s="1540"/>
      <c r="B40" s="1540" t="s">
        <v>138</v>
      </c>
      <c r="C40" s="1540" t="s">
        <v>139</v>
      </c>
      <c r="D40" s="1540" t="s">
        <v>140</v>
      </c>
      <c r="E40" s="1534" t="s">
        <v>447</v>
      </c>
      <c r="F40" s="1534" t="s">
        <v>448</v>
      </c>
      <c r="G40" s="1534" t="s">
        <v>449</v>
      </c>
      <c r="H40" s="1534"/>
      <c r="I40" s="1534" t="s">
        <v>505</v>
      </c>
      <c r="J40" s="1534" t="s">
        <v>452</v>
      </c>
      <c r="K40" s="1534" t="s">
        <v>506</v>
      </c>
      <c r="L40" s="1534" t="s">
        <v>427</v>
      </c>
      <c r="Q40" s="546"/>
      <c r="R40" s="546"/>
      <c r="S40" s="2443"/>
      <c r="T40" s="2379"/>
      <c r="U40" s="472"/>
      <c r="V40" s="2536"/>
      <c r="W40" s="2535"/>
      <c r="X40" s="2153" t="s">
        <v>553</v>
      </c>
      <c r="Y40" s="2153" t="s">
        <v>554</v>
      </c>
      <c r="Z40" s="2535"/>
      <c r="AA40" s="2153" t="s">
        <v>555</v>
      </c>
      <c r="AB40" s="2153" t="s">
        <v>556</v>
      </c>
      <c r="AC40" s="1659" t="s">
        <v>456</v>
      </c>
      <c r="AD40" s="2440" t="s">
        <v>457</v>
      </c>
      <c r="AE40" s="2441"/>
      <c r="AF40" s="2449"/>
      <c r="AG40" s="2536"/>
      <c r="AH40" s="2535"/>
      <c r="AI40" s="2153" t="s">
        <v>553</v>
      </c>
      <c r="AJ40" s="2153" t="s">
        <v>554</v>
      </c>
      <c r="AK40" s="2535"/>
      <c r="AL40" s="2153" t="s">
        <v>555</v>
      </c>
      <c r="AM40" s="2153" t="s">
        <v>556</v>
      </c>
      <c r="AN40" s="1659" t="s">
        <v>456</v>
      </c>
      <c r="AO40" s="2440" t="s">
        <v>457</v>
      </c>
      <c r="AP40" s="2441"/>
      <c r="AQ40" s="2449"/>
      <c r="AR40" s="2452"/>
      <c r="AS40" s="2297"/>
      <c r="AY40" s="1325">
        <v>59</v>
      </c>
    </row>
    <row s="12668" customFormat="1" customHeight="1" ht="11.25" hidden="1">
      <c r="A41" s="1540"/>
      <c r="B41" s="1540"/>
      <c r="C41" s="1540"/>
      <c r="D41" s="1540"/>
      <c r="E41" s="1540"/>
      <c r="F41" s="1540"/>
      <c r="G41" s="1540"/>
      <c r="H41" s="1540"/>
      <c r="I41" s="1540"/>
      <c r="J41" s="1540"/>
      <c r="K41" s="1540"/>
      <c r="L41" s="1534"/>
      <c r="M41" s="1532"/>
      <c r="N41" s="1532"/>
      <c r="O41" s="1532"/>
      <c r="P41" s="1416"/>
      <c r="Q41" s="1417"/>
      <c r="R41" s="1424">
        <v>1</v>
      </c>
      <c r="S41" s="1447" t="s">
        <v>112</v>
      </c>
      <c r="T41" s="1425" t="s">
        <v>113</v>
      </c>
      <c r="U41" s="1415" t="str">
        <f>OFFSET(U41,0,-1)</f>
        <v>2</v>
      </c>
      <c r="V41" s="1652">
        <f>OFFSET(V41,0,-1)+1</f>
        <v>3</v>
      </c>
      <c r="W41" s="1511"/>
      <c r="X41" s="1511"/>
      <c r="Y41" s="1511"/>
      <c r="Z41" s="1511"/>
      <c r="AA41" s="1511"/>
      <c r="AB41" s="1511"/>
      <c r="AC41" s="1652">
        <f>OFFSET(AC41,0,-1)+1</f>
        <v>1</v>
      </c>
      <c r="AD41" s="2442">
        <f>OFFSET(AD41,0,-1)+1</f>
        <v>2</v>
      </c>
      <c r="AE41" s="2442"/>
      <c r="AF41" s="1652">
        <f>OFFSET(AF41,0,-2)+1</f>
        <v>3</v>
      </c>
      <c r="AG41" s="1652">
        <f>OFFSET(AG41,0,-1)+1</f>
        <v>4</v>
      </c>
      <c r="AH41" s="2126"/>
      <c r="AI41" s="2126"/>
      <c r="AJ41" s="2126"/>
      <c r="AK41" s="2126"/>
      <c r="AL41" s="2126"/>
      <c r="AM41" s="1652">
        <f>OFFSET(AM41,0,-1)+1</f>
        <v>1</v>
      </c>
      <c r="AN41" s="1652">
        <f>OFFSET(AN41,0,-1)+1</f>
        <v>2</v>
      </c>
      <c r="AO41" s="2442">
        <f>OFFSET(AO41,0,-1)+1</f>
        <v>3</v>
      </c>
      <c r="AP41" s="2442"/>
      <c r="AQ41" s="1652">
        <f>OFFSET(AQ41,0,-2)+1</f>
        <v>4</v>
      </c>
      <c r="AR41" s="1415">
        <f>OFFSET(AR41,0,-1)</f>
        <v>4</v>
      </c>
      <c r="AS41" s="1652">
        <f>OFFSET(AS41,0,-1)+1</f>
        <v>5</v>
      </c>
      <c r="AT41" s="681"/>
      <c r="AU41" s="681"/>
      <c r="AV41" s="681"/>
      <c r="AW41" s="681"/>
      <c r="AX41" s="681"/>
      <c r="AY41" s="666">
        <v>0</v>
      </c>
    </row>
    <row customHeight="1" ht="24">
      <c r="A42" s="1533" t="s">
        <v>263</v>
      </c>
      <c r="B42" s="1533"/>
      <c r="C42" s="1533"/>
      <c r="D42" s="1533"/>
      <c r="E42" s="2428">
        <v>1</v>
      </c>
      <c r="F42" s="1533"/>
      <c r="G42" s="1533"/>
      <c r="H42" s="1533"/>
      <c r="I42" s="1533"/>
      <c r="J42" s="1533"/>
      <c r="K42" s="1533"/>
      <c r="L42" s="1534"/>
      <c r="M42" s="1535"/>
      <c r="N42" s="1535"/>
      <c r="O42" s="1535"/>
      <c r="P42" s="531"/>
      <c r="Q42" s="530"/>
      <c r="R42" s="525"/>
      <c r="S42" s="1663">
        <f>INDEX(PT_DIFFERENTIATION_NUM_NTAR,MATCH(A42,PT_DIFFERENTIATION_NTAR_ID,0))</f>
        <v>0</v>
      </c>
      <c r="T42" s="468" t="s">
        <v>126</v>
      </c>
      <c r="U42" s="470"/>
      <c r="V42" s="2412"/>
      <c r="W42" s="2413"/>
      <c r="X42" s="2413"/>
      <c r="Y42" s="2413"/>
      <c r="Z42" s="2413"/>
      <c r="AA42" s="2413"/>
      <c r="AB42" s="2413"/>
      <c r="AC42" s="2413"/>
      <c r="AD42" s="2413"/>
      <c r="AE42" s="2413"/>
      <c r="AF42" s="2414"/>
      <c r="AG42" s="2412" t="str">
        <f>INDEX(PT_DIFFERENTIATION_NTAR,MATCH(A42,PT_DIFFERENTIATION_NTAR_ID,0))</f>
        <v/>
      </c>
      <c r="AH42" s="2413"/>
      <c r="AI42" s="2413"/>
      <c r="AJ42" s="2413"/>
      <c r="AK42" s="2413"/>
      <c r="AL42" s="2413"/>
      <c r="AM42" s="2413"/>
      <c r="AN42" s="2413"/>
      <c r="AO42" s="2413"/>
      <c r="AP42" s="2413"/>
      <c r="AQ42" s="2413"/>
      <c r="AR42" s="2414"/>
      <c r="AS4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670"/>
      <c r="AV42" s="670" t="str">
        <f>IF(T42="","",T42)</f>
        <v>Наименование тарифа</v>
      </c>
      <c r="AW42" s="670"/>
      <c r="AX42" s="670"/>
      <c r="AY42" s="1325">
        <v>23</v>
      </c>
    </row>
    <row customHeight="1" ht="24">
      <c r="A43" s="1533" t="s">
        <v>263</v>
      </c>
      <c r="B43" s="1533" t="s">
        <v>264</v>
      </c>
      <c r="C43" s="1533"/>
      <c r="D43" s="1533"/>
      <c r="E43" s="2429"/>
      <c r="F43" s="2428">
        <v>1</v>
      </c>
      <c r="G43" s="1533"/>
      <c r="H43" s="1533"/>
      <c r="I43" s="1533"/>
      <c r="J43" s="1533"/>
      <c r="K43" s="1533"/>
      <c r="L43" s="1534"/>
      <c r="M43" s="1535"/>
      <c r="N43" s="1535"/>
      <c r="O43" s="1535"/>
      <c r="P43" s="1657"/>
      <c r="Q43" s="522"/>
      <c r="R43" s="523"/>
      <c r="S43" s="1663" t="str">
        <f>INDEX(PT_DIFFERENTIATION_NUM_TER,MATCH(B43,PT_DIFFERENTIATION_TER_ID,0))</f>
        <v>.</v>
      </c>
      <c r="T43" s="478" t="s">
        <v>409</v>
      </c>
      <c r="U43" s="470"/>
      <c r="V43" s="2412"/>
      <c r="W43" s="2413"/>
      <c r="X43" s="2413"/>
      <c r="Y43" s="2413"/>
      <c r="Z43" s="2413"/>
      <c r="AA43" s="2413"/>
      <c r="AB43" s="2413"/>
      <c r="AC43" s="2413"/>
      <c r="AD43" s="2413"/>
      <c r="AE43" s="2413"/>
      <c r="AF43" s="2414"/>
      <c r="AG43" s="2412" t="str">
        <f>INDEX(PT_DIFFERENTIATION_TER,MATCH(B43,PT_DIFFERENTIATION_TER_ID,0))</f>
        <v/>
      </c>
      <c r="AH43" s="2413"/>
      <c r="AI43" s="2413"/>
      <c r="AJ43" s="2413"/>
      <c r="AK43" s="2413"/>
      <c r="AL43" s="2413"/>
      <c r="AM43" s="2413"/>
      <c r="AN43" s="2413"/>
      <c r="AO43" s="2413"/>
      <c r="AP43" s="2413"/>
      <c r="AQ43" s="2413"/>
      <c r="AR43" s="2414"/>
      <c r="AS43" s="1428" t="s">
        <v>410</v>
      </c>
      <c r="AU43" s="670"/>
      <c r="AV43" s="670" t="str">
        <f>IF(T43="","",T43)</f>
        <v>Территория действия тарифа</v>
      </c>
      <c r="AW43" s="670"/>
      <c r="AX43" s="670"/>
      <c r="AY43" s="1325">
        <v>23</v>
      </c>
    </row>
    <row customHeight="1" ht="24">
      <c r="A44" s="1533" t="s">
        <v>263</v>
      </c>
      <c r="B44" s="1533" t="s">
        <v>264</v>
      </c>
      <c r="C44" s="1533" t="s">
        <v>265</v>
      </c>
      <c r="D44" s="1533"/>
      <c r="E44" s="2429"/>
      <c r="F44" s="2429"/>
      <c r="G44" s="2428">
        <v>1</v>
      </c>
      <c r="H44" s="1533"/>
      <c r="I44" s="1533"/>
      <c r="J44" s="1533"/>
      <c r="K44" s="1533"/>
      <c r="L44" s="1534"/>
      <c r="M44" s="1535"/>
      <c r="N44" s="1535"/>
      <c r="O44" s="1535"/>
      <c r="P44" s="524"/>
      <c r="Q44" s="522"/>
      <c r="R44" s="523"/>
      <c r="S44" s="1663" t="str">
        <f>INDEX(PT_DIFFERENTIATION_NUM_CS,MATCH(C44,PT_DIFFERENTIATION_CS_ID,0))</f>
        <v>..</v>
      </c>
      <c r="T44" s="479" t="s">
        <v>545</v>
      </c>
      <c r="U44" s="470"/>
      <c r="V44" s="2412"/>
      <c r="W44" s="2413"/>
      <c r="X44" s="2413"/>
      <c r="Y44" s="2413"/>
      <c r="Z44" s="2413"/>
      <c r="AA44" s="2413"/>
      <c r="AB44" s="2413"/>
      <c r="AC44" s="2413"/>
      <c r="AD44" s="2413"/>
      <c r="AE44" s="2413"/>
      <c r="AF44" s="2414"/>
      <c r="AG44" s="2412" t="str">
        <f>INDEX(PT_DIFFERENTIATION_CS,MATCH(C44,PT_DIFFERENTIATION_CS_ID,0))</f>
        <v/>
      </c>
      <c r="AH44" s="2413"/>
      <c r="AI44" s="2413"/>
      <c r="AJ44" s="2413"/>
      <c r="AK44" s="2413"/>
      <c r="AL44" s="2413"/>
      <c r="AM44" s="2413"/>
      <c r="AN44" s="2413"/>
      <c r="AO44" s="2413"/>
      <c r="AP44" s="2413"/>
      <c r="AQ44" s="2413"/>
      <c r="AR44" s="2414"/>
      <c r="AS44" s="1428" t="s">
        <v>546</v>
      </c>
      <c r="AU44" s="670"/>
      <c r="AV44" s="670" t="str">
        <f>IF(T44="","",T44)</f>
        <v>Наименование централизованной системы горячего водоснабжения</v>
      </c>
      <c r="AW44" s="670"/>
      <c r="AX44" s="670"/>
      <c r="AY44" s="1325">
        <v>23</v>
      </c>
    </row>
    <row customHeight="1" ht="24">
      <c r="A45" s="1533" t="s">
        <v>263</v>
      </c>
      <c r="B45" s="1533" t="s">
        <v>264</v>
      </c>
      <c r="C45" s="1533" t="s">
        <v>265</v>
      </c>
      <c r="D45" s="1533" t="s">
        <v>557</v>
      </c>
      <c r="E45" s="2429"/>
      <c r="F45" s="2429"/>
      <c r="G45" s="2429"/>
      <c r="H45" s="2429"/>
      <c r="I45" s="2426" t="str">
        <f>S44&amp;".1"</f>
        <v>...1</v>
      </c>
      <c r="J45" s="1533"/>
      <c r="K45" s="1533"/>
      <c r="L45" s="1534"/>
      <c r="P45" s="2427">
        <v>1</v>
      </c>
      <c r="Q45" s="1651"/>
      <c r="R45" s="526"/>
      <c r="S45" s="1663" t="str">
        <f>$I45</f>
        <v>...1</v>
      </c>
      <c r="T45" s="455" t="s">
        <v>498</v>
      </c>
      <c r="U45" s="470"/>
      <c r="V45" s="2520"/>
      <c r="W45" s="2521"/>
      <c r="X45" s="2521"/>
      <c r="Y45" s="2521"/>
      <c r="Z45" s="2521"/>
      <c r="AA45" s="2521"/>
      <c r="AB45" s="2521"/>
      <c r="AC45" s="2521"/>
      <c r="AD45" s="2521"/>
      <c r="AE45" s="2521"/>
      <c r="AF45" s="2522"/>
      <c r="AG45" s="2523"/>
      <c r="AH45" s="2524"/>
      <c r="AI45" s="2524"/>
      <c r="AJ45" s="2524"/>
      <c r="AK45" s="2524"/>
      <c r="AL45" s="2524"/>
      <c r="AM45" s="2524"/>
      <c r="AN45" s="2524"/>
      <c r="AO45" s="2524"/>
      <c r="AP45" s="2524"/>
      <c r="AQ45" s="2524"/>
      <c r="AR45" s="2525"/>
      <c r="AS45" s="1428" t="s">
        <v>499</v>
      </c>
      <c r="AU45" s="670"/>
      <c r="AV45" s="670" t="str">
        <f>IF(T45="","",T45)</f>
        <v>Наименование признака дифференциации</v>
      </c>
      <c r="AW45" s="670"/>
      <c r="AX45" s="670"/>
      <c r="AY45" s="1325">
        <v>23</v>
      </c>
    </row>
    <row customHeight="1" ht="24">
      <c r="A46" s="1533" t="s">
        <v>263</v>
      </c>
      <c r="B46" s="1533" t="s">
        <v>264</v>
      </c>
      <c r="C46" s="1533" t="s">
        <v>265</v>
      </c>
      <c r="D46" s="1533" t="s">
        <v>557</v>
      </c>
      <c r="E46" s="2429"/>
      <c r="F46" s="2429"/>
      <c r="G46" s="2429"/>
      <c r="H46" s="2429"/>
      <c r="I46" s="2456"/>
      <c r="J46" s="2426" t="str">
        <f>I45&amp;".1"</f>
        <v>...1.1</v>
      </c>
      <c r="K46" s="1533"/>
      <c r="L46" s="1534" t="s">
        <v>418</v>
      </c>
      <c r="P46" s="2427"/>
      <c r="Q46" s="2427">
        <v>1</v>
      </c>
      <c r="R46" s="527"/>
      <c r="S46" s="1663" t="str">
        <f>$J46</f>
        <v>...1.1</v>
      </c>
      <c r="T46" s="456" t="s">
        <v>419</v>
      </c>
      <c r="U46" s="470"/>
      <c r="V46" s="2415"/>
      <c r="W46" s="2416"/>
      <c r="X46" s="2416"/>
      <c r="Y46" s="2416"/>
      <c r="Z46" s="2416"/>
      <c r="AA46" s="2416"/>
      <c r="AB46" s="2416"/>
      <c r="AC46" s="2416"/>
      <c r="AD46" s="2416"/>
      <c r="AE46" s="2416"/>
      <c r="AF46" s="2417"/>
      <c r="AG46" s="2415"/>
      <c r="AH46" s="2416"/>
      <c r="AI46" s="2416"/>
      <c r="AJ46" s="2416"/>
      <c r="AK46" s="2416"/>
      <c r="AL46" s="2416"/>
      <c r="AM46" s="2416"/>
      <c r="AN46" s="2416"/>
      <c r="AO46" s="2416"/>
      <c r="AP46" s="2416"/>
      <c r="AQ46" s="2416"/>
      <c r="AR46" s="2417"/>
      <c r="AS46" s="1477" t="s">
        <v>500</v>
      </c>
      <c r="AU46" s="670"/>
      <c r="AV46" s="670" t="str">
        <f>IF(T46="","",T46)</f>
        <v>Группа потребителей</v>
      </c>
      <c r="AW46" s="670"/>
      <c r="AX46" s="670"/>
      <c r="AY46" s="1325">
        <v>23</v>
      </c>
    </row>
    <row customHeight="1" ht="24">
      <c r="A47" s="1533" t="s">
        <v>263</v>
      </c>
      <c r="B47" s="1533" t="s">
        <v>264</v>
      </c>
      <c r="C47" s="1533" t="s">
        <v>265</v>
      </c>
      <c r="D47" s="1533" t="s">
        <v>557</v>
      </c>
      <c r="E47" s="2429"/>
      <c r="F47" s="2429"/>
      <c r="G47" s="2429"/>
      <c r="H47" s="2429"/>
      <c r="I47" s="2456"/>
      <c r="J47" s="2456"/>
      <c r="K47" s="2426" t="str">
        <f>J46&amp;".1"</f>
        <v>...1.1.1</v>
      </c>
      <c r="L47" s="1534"/>
      <c r="P47" s="2427"/>
      <c r="Q47" s="2427"/>
      <c r="R47" s="527">
        <v>1</v>
      </c>
      <c r="S47" s="1663" t="str">
        <f>$K47</f>
        <v>...1.1.1</v>
      </c>
      <c r="T47" s="1607"/>
      <c r="U47" s="470"/>
      <c r="V47" s="921"/>
      <c r="W47" s="921"/>
      <c r="X47" s="921"/>
      <c r="Y47" s="921"/>
      <c r="Z47" s="921"/>
      <c r="AA47" s="921"/>
      <c r="AB47" s="921"/>
      <c r="AC47" s="2437"/>
      <c r="AD47" s="2438" t="s">
        <v>64</v>
      </c>
      <c r="AE47" s="2437"/>
      <c r="AF47" s="2438" t="s">
        <v>64</v>
      </c>
      <c r="AG47" s="921"/>
      <c r="AH47" s="921"/>
      <c r="AI47" s="921"/>
      <c r="AJ47" s="921"/>
      <c r="AK47" s="921"/>
      <c r="AL47" s="921"/>
      <c r="AM47" s="921"/>
      <c r="AN47" s="2435"/>
      <c r="AO47" s="2277" t="s">
        <v>64</v>
      </c>
      <c r="AP47" s="2457"/>
      <c r="AQ47" s="2277" t="s">
        <v>19</v>
      </c>
      <c r="AR47" s="1608"/>
      <c r="AS4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81">
        <f>STRCHECKDATE(V48:AR48)</f>
      </c>
      <c r="AU47" s="670"/>
      <c r="AV47" s="670" t="str">
        <f>IF(T47="","",T47)</f>
        <v/>
      </c>
      <c r="AW47" s="670"/>
      <c r="AX47" s="670"/>
      <c r="AY47" s="1325">
        <v>23</v>
      </c>
    </row>
    <row customHeight="1" ht="0">
      <c r="A48" s="1533" t="s">
        <v>263</v>
      </c>
      <c r="B48" s="1533" t="s">
        <v>264</v>
      </c>
      <c r="C48" s="1533" t="s">
        <v>265</v>
      </c>
      <c r="D48" s="1533" t="s">
        <v>557</v>
      </c>
      <c r="E48" s="2429"/>
      <c r="F48" s="2429"/>
      <c r="G48" s="2429"/>
      <c r="H48" s="2429"/>
      <c r="I48" s="2456"/>
      <c r="J48" s="2456"/>
      <c r="K48" s="2426"/>
      <c r="L48" s="1534"/>
      <c r="P48" s="2427"/>
      <c r="Q48" s="2427"/>
      <c r="R48" s="527"/>
      <c r="S48" s="1660"/>
      <c r="T48" s="470"/>
      <c r="U48" s="470"/>
      <c r="V48" s="1530"/>
      <c r="W48" s="1530"/>
      <c r="X48" s="1530"/>
      <c r="Y48" s="1530"/>
      <c r="Z48" s="1530"/>
      <c r="AA48" s="1530"/>
      <c r="AB48" s="1530"/>
      <c r="AC48" s="2438"/>
      <c r="AD48" s="2438"/>
      <c r="AE48" s="2438"/>
      <c r="AF48" s="2438"/>
      <c r="AG48" s="495"/>
      <c r="AH48" s="495"/>
      <c r="AI48" s="495"/>
      <c r="AJ48" s="495"/>
      <c r="AK48" s="495"/>
      <c r="AL48" s="495"/>
      <c r="AM48" s="495"/>
      <c r="AN48" s="2436"/>
      <c r="AO48" s="2277"/>
      <c r="AP48" s="2458"/>
      <c r="AQ48" s="2277"/>
      <c r="AR48" s="1609"/>
      <c r="AS48" s="2519"/>
      <c r="AU48" s="670"/>
      <c r="AV48" s="670" t="str">
        <f>IF(T48="","",T48)</f>
        <v/>
      </c>
      <c r="AW48" s="670"/>
      <c r="AX48" s="670"/>
      <c r="AY48" s="1325">
        <v>0</v>
      </c>
    </row>
    <row customHeight="1" ht="21">
      <c r="A49" s="1533" t="s">
        <v>263</v>
      </c>
      <c r="B49" s="1533" t="s">
        <v>264</v>
      </c>
      <c r="C49" s="1533" t="s">
        <v>265</v>
      </c>
      <c r="D49" s="1533" t="s">
        <v>557</v>
      </c>
      <c r="E49" s="2429"/>
      <c r="F49" s="2429"/>
      <c r="G49" s="2429"/>
      <c r="H49" s="2429"/>
      <c r="I49" s="2456"/>
      <c r="J49" s="2426"/>
      <c r="K49" s="1533"/>
      <c r="L49" s="1534"/>
      <c r="P49" s="2427"/>
      <c r="Q49" s="2427"/>
      <c r="R49" s="526"/>
      <c r="S49" s="1448"/>
      <c r="T49" s="457" t="s">
        <v>501</v>
      </c>
      <c r="U49" s="537"/>
      <c r="V49" s="537"/>
      <c r="W49" s="770"/>
      <c r="X49" s="770"/>
      <c r="Y49" s="770"/>
      <c r="Z49" s="770"/>
      <c r="AA49" s="770"/>
      <c r="AB49" s="770"/>
      <c r="AC49" s="537"/>
      <c r="AD49" s="537"/>
      <c r="AE49" s="537"/>
      <c r="AF49" s="537"/>
      <c r="AG49" s="537"/>
      <c r="AH49" s="770"/>
      <c r="AI49" s="770"/>
      <c r="AJ49" s="770"/>
      <c r="AK49" s="770"/>
      <c r="AL49" s="770"/>
      <c r="AM49" s="537"/>
      <c r="AN49" s="537"/>
      <c r="AO49" s="537"/>
      <c r="AP49" s="537"/>
      <c r="AQ49" s="537"/>
      <c r="AR49" s="537"/>
      <c r="AS49" s="1428" t="s">
        <v>502</v>
      </c>
      <c r="AU49" s="670"/>
      <c r="AV49" s="670" t="str">
        <f>IF(T49="","",T49)</f>
        <v>Добавить значение признака дифференциации</v>
      </c>
      <c r="AW49" s="670"/>
      <c r="AX49" s="670"/>
      <c r="AY49" s="1325">
        <v>20</v>
      </c>
    </row>
    <row customHeight="1" ht="22.049999999999997">
      <c r="A50" s="1533" t="s">
        <v>263</v>
      </c>
      <c r="B50" s="1533" t="s">
        <v>264</v>
      </c>
      <c r="C50" s="1533" t="s">
        <v>265</v>
      </c>
      <c r="D50" s="1533" t="s">
        <v>557</v>
      </c>
      <c r="E50" s="2429"/>
      <c r="F50" s="2429"/>
      <c r="G50" s="2429"/>
      <c r="H50" s="2429"/>
      <c r="I50" s="2426"/>
      <c r="J50" s="1533"/>
      <c r="K50" s="1533"/>
      <c r="L50" s="1534"/>
      <c r="P50" s="2427"/>
      <c r="Q50" s="1651"/>
      <c r="R50" s="526"/>
      <c r="S50" s="1448"/>
      <c r="T50" s="535" t="s">
        <v>424</v>
      </c>
      <c r="U50" s="537"/>
      <c r="V50" s="537"/>
      <c r="W50" s="770"/>
      <c r="X50" s="770"/>
      <c r="Y50" s="770"/>
      <c r="Z50" s="770"/>
      <c r="AA50" s="770"/>
      <c r="AB50" s="770"/>
      <c r="AC50" s="537"/>
      <c r="AD50" s="537"/>
      <c r="AE50" s="537"/>
      <c r="AF50" s="536"/>
      <c r="AG50" s="537"/>
      <c r="AH50" s="770"/>
      <c r="AI50" s="770"/>
      <c r="AJ50" s="770"/>
      <c r="AK50" s="770"/>
      <c r="AL50" s="770"/>
      <c r="AM50" s="537"/>
      <c r="AN50" s="537"/>
      <c r="AO50" s="537"/>
      <c r="AP50" s="537"/>
      <c r="AQ50" s="536"/>
      <c r="AR50" s="537"/>
      <c r="AS50" s="1610"/>
      <c r="AU50" s="670"/>
      <c r="AV50" s="670" t="str">
        <f>IF(T50="","",T50)</f>
        <v>Добавить группу потребителей</v>
      </c>
      <c r="AW50" s="670"/>
      <c r="AX50" s="670"/>
      <c r="AY50" s="1325">
        <v>21</v>
      </c>
    </row>
    <row customHeight="1" ht="22.049999999999997">
      <c r="A51" s="1533" t="s">
        <v>263</v>
      </c>
      <c r="B51" s="1533" t="s">
        <v>264</v>
      </c>
      <c r="C51" s="1533" t="s">
        <v>265</v>
      </c>
      <c r="D51" s="1533" t="s">
        <v>557</v>
      </c>
      <c r="E51" s="2429"/>
      <c r="F51" s="2429"/>
      <c r="G51" s="2429"/>
      <c r="H51" s="2428"/>
      <c r="I51" s="1533"/>
      <c r="J51" s="1533"/>
      <c r="K51" s="1533"/>
      <c r="L51" s="1534"/>
      <c r="M51" s="1535"/>
      <c r="N51" s="1535"/>
      <c r="O51" s="707"/>
      <c r="P51" s="530"/>
      <c r="Q51" s="545"/>
      <c r="R51" s="525"/>
      <c r="S51" s="1448"/>
      <c r="T51" s="542" t="s">
        <v>503</v>
      </c>
      <c r="U51" s="537"/>
      <c r="V51" s="537"/>
      <c r="W51" s="770"/>
      <c r="X51" s="770"/>
      <c r="Y51" s="770"/>
      <c r="Z51" s="770"/>
      <c r="AA51" s="770"/>
      <c r="AB51" s="770"/>
      <c r="AC51" s="537"/>
      <c r="AD51" s="537"/>
      <c r="AE51" s="537"/>
      <c r="AF51" s="536"/>
      <c r="AG51" s="537"/>
      <c r="AH51" s="770"/>
      <c r="AI51" s="770"/>
      <c r="AJ51" s="770"/>
      <c r="AK51" s="770"/>
      <c r="AL51" s="770"/>
      <c r="AM51" s="537"/>
      <c r="AN51" s="537"/>
      <c r="AO51" s="537"/>
      <c r="AP51" s="537"/>
      <c r="AQ51" s="536"/>
      <c r="AR51" s="537"/>
      <c r="AS51" s="473"/>
      <c r="AU51" s="670"/>
      <c r="AV51" s="670" t="str">
        <f>IF(T51="","",T51)</f>
        <v>Добавить наименование признака дифференциации</v>
      </c>
      <c r="AW51" s="670"/>
      <c r="AX51" s="670"/>
      <c r="AY51" s="1325">
        <v>21</v>
      </c>
    </row>
    <row s="11993" customFormat="1" customHeight="1" ht="0">
      <c r="A52" s="1513" t="s">
        <v>263</v>
      </c>
      <c r="B52" s="1513" t="s">
        <v>264</v>
      </c>
      <c r="C52" s="1484"/>
      <c r="D52" s="1484"/>
      <c r="E52" s="2429"/>
      <c r="F52" s="2428"/>
      <c r="G52" s="1484"/>
      <c r="H52" s="1484"/>
      <c r="I52" s="1484"/>
      <c r="J52" s="1484"/>
      <c r="K52" s="1484"/>
      <c r="L52" s="1664"/>
      <c r="M52" s="1491"/>
      <c r="N52" s="1491"/>
      <c r="P52" s="1486"/>
      <c r="Q52" s="1487"/>
      <c r="R52" s="1486"/>
      <c r="S52" s="1492"/>
      <c r="T52" s="1495" t="s">
        <v>166</v>
      </c>
      <c r="U52" s="1494"/>
      <c r="V52" s="1494"/>
      <c r="W52" s="1494"/>
      <c r="X52" s="1494"/>
      <c r="Y52" s="1494"/>
      <c r="Z52" s="1494"/>
      <c r="AA52" s="1494"/>
      <c r="AB52" s="1494"/>
      <c r="AC52" s="1494"/>
      <c r="AD52" s="1494"/>
      <c r="AE52" s="1494"/>
      <c r="AF52" s="1494"/>
      <c r="AG52" s="1494"/>
      <c r="AH52" s="1494"/>
      <c r="AI52" s="1494"/>
      <c r="AJ52" s="1494"/>
      <c r="AK52" s="1494"/>
      <c r="AL52" s="1494"/>
      <c r="AM52" s="1494"/>
      <c r="AN52" s="1494"/>
      <c r="AO52" s="1494"/>
      <c r="AP52" s="1494"/>
      <c r="AQ52" s="1494"/>
      <c r="AR52" s="1494"/>
      <c r="AS52" s="1494"/>
      <c r="AU52" s="959"/>
      <c r="AV52" s="959" t="str">
        <f>IF(T52="","",T52)</f>
        <v>Добавить централизованную систему для дифференциации</v>
      </c>
      <c r="AW52" s="959"/>
      <c r="AX52" s="959"/>
      <c r="AY52" s="688">
        <v>0</v>
      </c>
    </row>
    <row s="11993" customFormat="1" customHeight="1" ht="0">
      <c r="A53" s="1513" t="s">
        <v>263</v>
      </c>
      <c r="B53" s="1513"/>
      <c r="C53" s="1513"/>
      <c r="D53" s="1513"/>
      <c r="E53" s="2428"/>
      <c r="F53" s="1513"/>
      <c r="G53" s="1513"/>
      <c r="H53" s="1513"/>
      <c r="I53" s="1513"/>
      <c r="J53" s="1513"/>
      <c r="K53" s="1513"/>
      <c r="L53" s="1516"/>
      <c r="M53" s="1491"/>
      <c r="N53" s="1491"/>
      <c r="O53" s="688"/>
      <c r="P53" s="550"/>
      <c r="Q53" s="1514"/>
      <c r="R53" s="550"/>
      <c r="S53" s="1492"/>
      <c r="T53" s="1495" t="s">
        <v>167</v>
      </c>
      <c r="U53" s="1494"/>
      <c r="V53" s="1494"/>
      <c r="W53" s="1494"/>
      <c r="X53" s="1494"/>
      <c r="Y53" s="1494"/>
      <c r="Z53" s="1494"/>
      <c r="AA53" s="1494"/>
      <c r="AB53" s="1494"/>
      <c r="AC53" s="1494"/>
      <c r="AD53" s="1494"/>
      <c r="AE53" s="1494"/>
      <c r="AF53" s="1494"/>
      <c r="AG53" s="1494"/>
      <c r="AH53" s="1494"/>
      <c r="AI53" s="1494"/>
      <c r="AJ53" s="1494"/>
      <c r="AK53" s="1494"/>
      <c r="AL53" s="1494"/>
      <c r="AM53" s="1494"/>
      <c r="AN53" s="1494"/>
      <c r="AO53" s="1494"/>
      <c r="AP53" s="1494"/>
      <c r="AQ53" s="1494"/>
      <c r="AR53" s="1494"/>
      <c r="AS53" s="1494"/>
      <c r="AU53" s="670"/>
      <c r="AV53" s="670" t="str">
        <f>IF(T53="","",T53)</f>
        <v>Добавить территорию для дифференциации</v>
      </c>
      <c r="AW53" s="670"/>
      <c r="AX53" s="670"/>
      <c r="AY53" s="681">
        <v>0</v>
      </c>
    </row>
    <row s="11993" customFormat="1" customHeight="1" ht="0">
      <c r="A54" s="1484"/>
      <c r="B54" s="1484"/>
      <c r="C54" s="1484"/>
      <c r="D54" s="1484"/>
      <c r="E54" s="1513"/>
      <c r="F54" s="1484"/>
      <c r="G54" s="1484"/>
      <c r="H54" s="1484"/>
      <c r="I54" s="1484"/>
      <c r="J54" s="1484"/>
      <c r="K54" s="1484"/>
      <c r="L54" s="1664"/>
      <c r="M54" s="1491"/>
      <c r="N54" s="1491"/>
      <c r="P54" s="1486"/>
      <c r="Q54" s="1487"/>
      <c r="R54" s="1486"/>
      <c r="S54" s="1492"/>
      <c r="T54" s="1495" t="s">
        <v>168</v>
      </c>
      <c r="U54" s="1494"/>
      <c r="V54" s="1494"/>
      <c r="W54" s="1494"/>
      <c r="X54" s="1494"/>
      <c r="Y54" s="1494"/>
      <c r="Z54" s="1494"/>
      <c r="AA54" s="1494"/>
      <c r="AB54" s="1494"/>
      <c r="AC54" s="1494"/>
      <c r="AD54" s="1494"/>
      <c r="AE54" s="1494"/>
      <c r="AF54" s="1494"/>
      <c r="AG54" s="1494"/>
      <c r="AH54" s="1494"/>
      <c r="AI54" s="1494"/>
      <c r="AJ54" s="1494"/>
      <c r="AK54" s="1494"/>
      <c r="AL54" s="1494"/>
      <c r="AM54" s="1494"/>
      <c r="AN54" s="1494"/>
      <c r="AO54" s="1494"/>
      <c r="AP54" s="1494"/>
      <c r="AQ54" s="1494"/>
      <c r="AR54" s="1494"/>
      <c r="AS54" s="1494"/>
      <c r="AU54" s="959"/>
      <c r="AV54" s="959" t="str">
        <f>IF(T54="","",T54)</f>
        <v>Добавить наименование тарифа</v>
      </c>
      <c r="AW54" s="959"/>
      <c r="AX54" s="959"/>
      <c r="AY54" s="688">
        <v>0</v>
      </c>
    </row>
    <row customHeight="1" ht="11.549999999999999">
      <c r="M55" s="1330"/>
      <c r="N55" s="1330"/>
      <c r="O55" s="707"/>
      <c r="P55" s="1325"/>
      <c r="Q55" s="1325"/>
      <c r="R55" s="1325"/>
      <c r="S55" s="1325"/>
      <c r="AT55" s="1325"/>
      <c r="AU55" s="1325"/>
      <c r="AV55" s="1325"/>
      <c r="AW55" s="1325"/>
      <c r="AX55" s="1325"/>
      <c r="AY55" s="1325">
        <v>11</v>
      </c>
    </row>
    <row customHeight="1" ht="14.699999999999998">
      <c r="O56" s="707"/>
      <c r="S56" s="1423"/>
      <c r="T56" s="2455"/>
      <c r="U56" s="2455"/>
      <c r="V56" s="2455"/>
      <c r="W56" s="2455"/>
      <c r="X56" s="2455"/>
      <c r="Y56" s="2455"/>
      <c r="Z56" s="2455"/>
      <c r="AA56" s="2455"/>
      <c r="AB56" s="2455"/>
      <c r="AC56" s="2455"/>
      <c r="AD56" s="2455"/>
      <c r="AE56" s="2455"/>
      <c r="AF56" s="2455"/>
      <c r="AG56" s="2455"/>
      <c r="AH56" s="2455"/>
      <c r="AI56" s="2455"/>
      <c r="AJ56" s="2455"/>
      <c r="AK56" s="2455"/>
      <c r="AL56" s="2455"/>
      <c r="AM56" s="2455"/>
      <c r="AN56" s="2455"/>
      <c r="AO56" s="2455"/>
      <c r="AP56" s="2455"/>
      <c r="AQ56" s="2455"/>
      <c r="AR56" s="2455"/>
      <c r="AS56" s="2455"/>
      <c r="AY56" s="1325">
        <v>14</v>
      </c>
    </row>
    <row customHeight="1" ht="14.699999999999998">
      <c r="O57" s="707"/>
      <c r="AY57" s="1325">
        <v>14</v>
      </c>
    </row>
    <row customHeight="1" ht="14.699999999999998">
      <c r="O58" s="707"/>
      <c r="S58" s="1423"/>
      <c r="T58" s="2455"/>
      <c r="U58" s="2455"/>
      <c r="V58" s="2455"/>
      <c r="W58" s="2455"/>
      <c r="X58" s="2455"/>
      <c r="Y58" s="2455"/>
      <c r="Z58" s="2455"/>
      <c r="AA58" s="2455"/>
      <c r="AB58" s="2455"/>
      <c r="AC58" s="2455"/>
      <c r="AD58" s="2455"/>
      <c r="AE58" s="2455"/>
      <c r="AF58" s="2455"/>
      <c r="AG58" s="2455"/>
      <c r="AH58" s="2455"/>
      <c r="AI58" s="2455"/>
      <c r="AJ58" s="2455"/>
      <c r="AK58" s="2455"/>
      <c r="AL58" s="2455"/>
      <c r="AM58" s="2455"/>
      <c r="AN58" s="2455"/>
      <c r="AO58" s="2455"/>
      <c r="AP58" s="2455"/>
      <c r="AQ58" s="2455"/>
      <c r="AR58" s="2455"/>
      <c r="AS58" s="2455"/>
      <c r="AY58" s="1325">
        <v>14</v>
      </c>
    </row>
    <row customHeight="1" ht="22.5" hidden="1">
      <c r="A59" s="1330" t="s">
        <v>85</v>
      </c>
      <c r="B59" s="1330">
        <v>0</v>
      </c>
      <c r="C59" s="1330">
        <v>0</v>
      </c>
      <c r="D59" s="1330">
        <v>0</v>
      </c>
      <c r="E59" s="1330">
        <v>0</v>
      </c>
      <c r="F59" s="1330">
        <v>0</v>
      </c>
      <c r="G59" s="1330">
        <v>0</v>
      </c>
      <c r="H59" s="1330">
        <v>0</v>
      </c>
      <c r="I59" s="1330">
        <v>0</v>
      </c>
      <c r="J59" s="1330">
        <v>0</v>
      </c>
      <c r="K59" s="1330">
        <v>0</v>
      </c>
      <c r="L59" s="1648">
        <v>0</v>
      </c>
      <c r="M59" s="1532">
        <v>0</v>
      </c>
      <c r="N59" s="1532">
        <v>0</v>
      </c>
      <c r="O59" s="1532">
        <v>0</v>
      </c>
      <c r="P59" s="1643">
        <v>3</v>
      </c>
      <c r="Q59" s="514">
        <v>3</v>
      </c>
      <c r="R59" s="514">
        <v>3</v>
      </c>
      <c r="S59" s="751">
        <v>12</v>
      </c>
      <c r="T59" s="1325">
        <v>35</v>
      </c>
      <c r="U59" s="1325">
        <v>0</v>
      </c>
      <c r="V59" s="1325">
        <v>0</v>
      </c>
      <c r="W59" s="1801">
        <v>0</v>
      </c>
      <c r="X59" s="1801">
        <v>0</v>
      </c>
      <c r="Y59" s="1801">
        <v>0</v>
      </c>
      <c r="Z59" s="1801">
        <v>0</v>
      </c>
      <c r="AA59" s="1801">
        <v>0</v>
      </c>
      <c r="AB59" s="1801">
        <v>0</v>
      </c>
      <c r="AC59" s="1325">
        <v>0</v>
      </c>
      <c r="AD59" s="1325">
        <v>0</v>
      </c>
      <c r="AE59" s="1325">
        <v>0</v>
      </c>
      <c r="AF59" s="1325">
        <v>0</v>
      </c>
      <c r="AG59" s="1325">
        <v>19</v>
      </c>
      <c r="AH59" s="1801">
        <v>19</v>
      </c>
      <c r="AI59" s="1801">
        <v>19</v>
      </c>
      <c r="AJ59" s="1801">
        <v>19</v>
      </c>
      <c r="AK59" s="1801">
        <v>19</v>
      </c>
      <c r="AL59" s="1801">
        <v>19</v>
      </c>
      <c r="AM59" s="1325">
        <v>19</v>
      </c>
      <c r="AN59" s="1325">
        <v>11</v>
      </c>
      <c r="AO59" s="1325">
        <v>3</v>
      </c>
      <c r="AP59" s="1325">
        <v>11</v>
      </c>
      <c r="AQ59" s="1325">
        <v>0</v>
      </c>
      <c r="AR59" s="1325">
        <v>4</v>
      </c>
      <c r="AS59" s="1325">
        <v>115</v>
      </c>
      <c r="AT59" s="681">
        <v>10</v>
      </c>
      <c r="AU59" s="681">
        <v>10</v>
      </c>
      <c r="AV59" s="681">
        <v>10</v>
      </c>
      <c r="AW59" s="681">
        <v>10</v>
      </c>
      <c r="AX59" s="681">
        <v>10</v>
      </c>
      <c r="AY59" s="132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45C422-36C7-5334-2B86-05C814DE5F1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1992" width="10.57421875" hidden="1"/>
    <col min="2" max="2" style="11992" width="11.00390625" hidden="1" customWidth="1"/>
    <col min="3" max="3" style="11992" width="10.57421875" hidden="1"/>
    <col min="4" max="4" style="11992" width="11.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4.140625" hidden="1" customWidth="1"/>
    <col min="10" max="10" style="11992" width="9.8515625" hidden="1" customWidth="1"/>
    <col min="11" max="11" style="11992" width="14.7109375" hidden="1" customWidth="1"/>
    <col min="12" max="12" style="13388" width="19.140625" hidden="1" customWidth="1"/>
    <col min="13" max="14" style="13389" width="12.28125" hidden="1" customWidth="1"/>
    <col min="15" max="15" style="13389" width="23.421875" hidden="1" customWidth="1"/>
    <col min="16" max="16" style="13390" width="3.00390625" customWidth="1"/>
    <col min="17" max="18" style="13391" width="3.00390625" customWidth="1"/>
    <col min="19" max="19" style="13392" width="12.00390625" customWidth="1"/>
    <col min="20" max="20" style="11913" width="35.00390625" customWidth="1"/>
    <col min="21" max="21" style="11913" width="0.140625" customWidth="1"/>
    <col min="22" max="28" style="11913" width="19.7109375" hidden="1" customWidth="1"/>
    <col min="29" max="29" style="11913" width="11.7109375" hidden="1" customWidth="1"/>
    <col min="30" max="30" style="11913" width="3.7109375" hidden="1" customWidth="1"/>
    <col min="31" max="31" style="11913" width="11.7109375" hidden="1" customWidth="1"/>
    <col min="32" max="32" style="11913" width="8.57421875" hidden="1" customWidth="1"/>
    <col min="33" max="33" style="11913" width="19.7109375" customWidth="1"/>
    <col min="34" max="39" style="11913" width="19.00390625" customWidth="1"/>
    <col min="40" max="40" style="11913" width="11.00390625" customWidth="1"/>
    <col min="41" max="41" style="11913" width="3.7109375" customWidth="1"/>
    <col min="42" max="42" style="11913" width="11.00390625" customWidth="1"/>
    <col min="43" max="43" style="11913" width="8.57421875" hidden="1" customWidth="1"/>
    <col min="44" max="44" style="11913" width="4.00390625" customWidth="1"/>
    <col min="45" max="45" style="11913" width="115.00390625" customWidth="1"/>
    <col min="46" max="50" style="11993" width="10.00390625" customWidth="1"/>
    <col min="51" max="51" style="11913" width="10.57421875" hidden="1"/>
  </cols>
  <sheetData>
    <row customHeight="1" ht="22.5" hidden="1">
      <c r="AB1" s="497"/>
      <c r="AC1" s="497"/>
      <c r="AM1" s="497"/>
      <c r="AN1" s="497"/>
      <c r="AY1" s="1325" t="s">
        <v>14</v>
      </c>
    </row>
    <row customHeight="1" ht="23.25" hidden="1">
      <c r="A2" s="1533"/>
      <c r="B2" s="1533"/>
      <c r="C2" s="1533"/>
      <c r="D2" s="1533"/>
      <c r="E2" s="2428">
        <v>1</v>
      </c>
      <c r="F2" s="1533"/>
      <c r="G2" s="1533"/>
      <c r="H2" s="1533"/>
      <c r="I2" s="1533"/>
      <c r="J2" s="1533"/>
      <c r="K2" s="1533"/>
      <c r="L2" s="1534"/>
      <c r="M2" s="1535"/>
      <c r="N2" s="1535"/>
      <c r="O2" s="1535"/>
      <c r="P2" s="531"/>
      <c r="Q2" s="530"/>
      <c r="R2" s="525"/>
      <c r="S2" s="1663">
        <f>INDEX(PT_DIFFERENTIATION_NUM_NTAR,MATCH(A2,PT_DIFFERENTIATION_NTAR_ID,0))</f>
      </c>
      <c r="T2" s="468" t="s">
        <v>126</v>
      </c>
      <c r="U2" s="470"/>
      <c r="V2" s="2412"/>
      <c r="W2" s="2413"/>
      <c r="X2" s="2413"/>
      <c r="Y2" s="2413"/>
      <c r="Z2" s="2413"/>
      <c r="AA2" s="2413"/>
      <c r="AB2" s="2413"/>
      <c r="AC2" s="2413"/>
      <c r="AD2" s="2413"/>
      <c r="AE2" s="2413"/>
      <c r="AF2" s="2414"/>
      <c r="AG2" s="2412">
        <f>INDEX(PT_DIFFERENTIATION_NTAR,MATCH(A2,PT_DIFFERENTIATION_NTAR_ID,0))</f>
      </c>
      <c r="AH2" s="2413"/>
      <c r="AI2" s="2413"/>
      <c r="AJ2" s="2413"/>
      <c r="AK2" s="2413"/>
      <c r="AL2" s="2413"/>
      <c r="AM2" s="2413"/>
      <c r="AN2" s="2413"/>
      <c r="AO2" s="2413"/>
      <c r="AP2" s="2413"/>
      <c r="AQ2" s="2413"/>
      <c r="AR2" s="2414"/>
      <c r="AS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670"/>
      <c r="AV2" s="670" t="str">
        <f>IF(T2="","",T2)</f>
        <v>Наименование тарифа</v>
      </c>
      <c r="AW2" s="670"/>
      <c r="AX2" s="670"/>
      <c r="AY2" s="1325">
        <v>0</v>
      </c>
    </row>
    <row customHeight="1" ht="23.25" hidden="1">
      <c r="A3" s="1533"/>
      <c r="B3" s="1533"/>
      <c r="C3" s="1533"/>
      <c r="D3" s="1533"/>
      <c r="E3" s="2429"/>
      <c r="F3" s="2428">
        <v>1</v>
      </c>
      <c r="G3" s="1533"/>
      <c r="H3" s="1533"/>
      <c r="I3" s="1533"/>
      <c r="J3" s="1533"/>
      <c r="K3" s="1533"/>
      <c r="L3" s="1534"/>
      <c r="M3" s="1535"/>
      <c r="N3" s="1535"/>
      <c r="O3" s="1535"/>
      <c r="P3" s="1657"/>
      <c r="Q3" s="522"/>
      <c r="R3" s="523"/>
      <c r="S3" s="1663">
        <f>INDEX(PT_DIFFERENTIATION_NUM_TER,MATCH(B3,PT_DIFFERENTIATION_TER_ID,0))</f>
      </c>
      <c r="T3" s="478" t="s">
        <v>409</v>
      </c>
      <c r="U3" s="470"/>
      <c r="V3" s="2412"/>
      <c r="W3" s="2413"/>
      <c r="X3" s="2413"/>
      <c r="Y3" s="2413"/>
      <c r="Z3" s="2413"/>
      <c r="AA3" s="2413"/>
      <c r="AB3" s="2413"/>
      <c r="AC3" s="2413"/>
      <c r="AD3" s="2413"/>
      <c r="AE3" s="2413"/>
      <c r="AF3" s="2414"/>
      <c r="AG3" s="2412">
        <f>INDEX(PT_DIFFERENTIATION_TER,MATCH(B3,PT_DIFFERENTIATION_TER_ID,0))</f>
      </c>
      <c r="AH3" s="2413"/>
      <c r="AI3" s="2413"/>
      <c r="AJ3" s="2413"/>
      <c r="AK3" s="2413"/>
      <c r="AL3" s="2413"/>
      <c r="AM3" s="2413"/>
      <c r="AN3" s="2413"/>
      <c r="AO3" s="2413"/>
      <c r="AP3" s="2413"/>
      <c r="AQ3" s="2413"/>
      <c r="AR3" s="2414"/>
      <c r="AS3" s="1428" t="s">
        <v>410</v>
      </c>
      <c r="AU3" s="670"/>
      <c r="AV3" s="670" t="str">
        <f>IF(T3="","",T3)</f>
        <v>Территория действия тарифа</v>
      </c>
      <c r="AW3" s="670"/>
      <c r="AX3" s="670"/>
      <c r="AY3" s="1325">
        <v>0</v>
      </c>
    </row>
    <row customHeight="1" ht="23.25" hidden="1">
      <c r="A4" s="1533"/>
      <c r="B4" s="1533"/>
      <c r="C4" s="1533"/>
      <c r="D4" s="1533"/>
      <c r="E4" s="2429"/>
      <c r="F4" s="2429"/>
      <c r="G4" s="2428">
        <v>1</v>
      </c>
      <c r="H4" s="1533"/>
      <c r="I4" s="1533"/>
      <c r="J4" s="1533"/>
      <c r="K4" s="1533"/>
      <c r="L4" s="1534"/>
      <c r="M4" s="1535"/>
      <c r="N4" s="1535"/>
      <c r="O4" s="1535"/>
      <c r="P4" s="524"/>
      <c r="Q4" s="522"/>
      <c r="R4" s="523"/>
      <c r="S4" s="1663">
        <f>INDEX(PT_DIFFERENTIATION_NUM_CS,MATCH(C4,PT_DIFFERENTIATION_CS_ID,0))</f>
      </c>
      <c r="T4" s="479" t="s">
        <v>545</v>
      </c>
      <c r="U4" s="470"/>
      <c r="V4" s="2412"/>
      <c r="W4" s="2413"/>
      <c r="X4" s="2413"/>
      <c r="Y4" s="2413"/>
      <c r="Z4" s="2413"/>
      <c r="AA4" s="2413"/>
      <c r="AB4" s="2413"/>
      <c r="AC4" s="2413"/>
      <c r="AD4" s="2413"/>
      <c r="AE4" s="2413"/>
      <c r="AF4" s="2414"/>
      <c r="AG4" s="2412">
        <f>INDEX(PT_DIFFERENTIATION_CS,MATCH(C4,PT_DIFFERENTIATION_CS_ID,0))</f>
      </c>
      <c r="AH4" s="2413"/>
      <c r="AI4" s="2413"/>
      <c r="AJ4" s="2413"/>
      <c r="AK4" s="2413"/>
      <c r="AL4" s="2413"/>
      <c r="AM4" s="2413"/>
      <c r="AN4" s="2413"/>
      <c r="AO4" s="2413"/>
      <c r="AP4" s="2413"/>
      <c r="AQ4" s="2413"/>
      <c r="AR4" s="2414"/>
      <c r="AS4" s="1428" t="s">
        <v>546</v>
      </c>
      <c r="AU4" s="670"/>
      <c r="AV4" s="670" t="str">
        <f>IF(T4="","",T4)</f>
        <v>Наименование централизованной системы горячего водоснабжения</v>
      </c>
      <c r="AW4" s="670"/>
      <c r="AX4" s="670"/>
      <c r="AY4" s="1325">
        <v>0</v>
      </c>
    </row>
    <row customHeight="1" ht="23.25" hidden="1">
      <c r="A5" s="1533"/>
      <c r="B5" s="1533"/>
      <c r="C5" s="1533"/>
      <c r="D5" s="1533"/>
      <c r="E5" s="2429"/>
      <c r="F5" s="2429"/>
      <c r="G5" s="2429"/>
      <c r="H5" s="2429"/>
      <c r="I5" s="2426">
        <f>S4&amp;".1"</f>
      </c>
      <c r="J5" s="1533"/>
      <c r="K5" s="1533"/>
      <c r="L5" s="1534"/>
      <c r="P5" s="2427">
        <v>1</v>
      </c>
      <c r="Q5" s="1651"/>
      <c r="R5" s="526"/>
      <c r="S5" s="1663">
        <f>$I5</f>
      </c>
      <c r="T5" s="455" t="s">
        <v>498</v>
      </c>
      <c r="U5" s="470"/>
      <c r="V5" s="2520"/>
      <c r="W5" s="2521"/>
      <c r="X5" s="2521"/>
      <c r="Y5" s="2521"/>
      <c r="Z5" s="2521"/>
      <c r="AA5" s="2521"/>
      <c r="AB5" s="2521"/>
      <c r="AC5" s="2521"/>
      <c r="AD5" s="2521"/>
      <c r="AE5" s="2521"/>
      <c r="AF5" s="2522"/>
      <c r="AG5" s="2523"/>
      <c r="AH5" s="2524"/>
      <c r="AI5" s="2524"/>
      <c r="AJ5" s="2524"/>
      <c r="AK5" s="2524"/>
      <c r="AL5" s="2524"/>
      <c r="AM5" s="2524"/>
      <c r="AN5" s="2524"/>
      <c r="AO5" s="2524"/>
      <c r="AP5" s="2524"/>
      <c r="AQ5" s="2524"/>
      <c r="AR5" s="2525"/>
      <c r="AS5" s="1428" t="s">
        <v>499</v>
      </c>
      <c r="AU5" s="670"/>
      <c r="AV5" s="670" t="str">
        <f>IF(T5="","",T5)</f>
        <v>Наименование признака дифференциации</v>
      </c>
      <c r="AW5" s="670"/>
      <c r="AX5" s="670"/>
      <c r="AY5" s="1325">
        <v>0</v>
      </c>
    </row>
    <row customHeight="1" ht="23.25" hidden="1">
      <c r="A6" s="1533"/>
      <c r="B6" s="1533"/>
      <c r="C6" s="1533"/>
      <c r="D6" s="1533"/>
      <c r="E6" s="2429"/>
      <c r="F6" s="2429"/>
      <c r="G6" s="2429"/>
      <c r="H6" s="2429"/>
      <c r="I6" s="2456"/>
      <c r="J6" s="2426">
        <f>I5&amp;".1"</f>
      </c>
      <c r="K6" s="1533"/>
      <c r="L6" s="1534" t="s">
        <v>418</v>
      </c>
      <c r="P6" s="2427"/>
      <c r="Q6" s="2427">
        <v>1</v>
      </c>
      <c r="R6" s="527"/>
      <c r="S6" s="1663">
        <f>$J6</f>
      </c>
      <c r="T6" s="456" t="s">
        <v>419</v>
      </c>
      <c r="U6" s="470"/>
      <c r="V6" s="2415"/>
      <c r="W6" s="2416"/>
      <c r="X6" s="2416"/>
      <c r="Y6" s="2416"/>
      <c r="Z6" s="2416"/>
      <c r="AA6" s="2416"/>
      <c r="AB6" s="2416"/>
      <c r="AC6" s="2416"/>
      <c r="AD6" s="2416"/>
      <c r="AE6" s="2416"/>
      <c r="AF6" s="2417"/>
      <c r="AG6" s="2415"/>
      <c r="AH6" s="2416"/>
      <c r="AI6" s="2416"/>
      <c r="AJ6" s="2416"/>
      <c r="AK6" s="2416"/>
      <c r="AL6" s="2416"/>
      <c r="AM6" s="2416"/>
      <c r="AN6" s="2416"/>
      <c r="AO6" s="2416"/>
      <c r="AP6" s="2416"/>
      <c r="AQ6" s="2416"/>
      <c r="AR6" s="2417"/>
      <c r="AS6" s="1477" t="s">
        <v>500</v>
      </c>
      <c r="AU6" s="670"/>
      <c r="AV6" s="670" t="str">
        <f>IF(T6="","",T6)</f>
        <v>Группа потребителей</v>
      </c>
      <c r="AW6" s="670"/>
      <c r="AX6" s="670"/>
      <c r="AY6" s="1325">
        <v>0</v>
      </c>
    </row>
    <row customHeight="1" ht="23.25" hidden="1">
      <c r="A7" s="1533"/>
      <c r="B7" s="1533"/>
      <c r="C7" s="1533"/>
      <c r="D7" s="1533"/>
      <c r="E7" s="2429"/>
      <c r="F7" s="2429"/>
      <c r="G7" s="2429"/>
      <c r="H7" s="2429"/>
      <c r="I7" s="2456"/>
      <c r="J7" s="2456"/>
      <c r="K7" s="2426">
        <f>J6&amp;".1"</f>
      </c>
      <c r="L7" s="1534"/>
      <c r="P7" s="2427"/>
      <c r="Q7" s="2427"/>
      <c r="R7" s="527">
        <v>1</v>
      </c>
      <c r="S7" s="1663">
        <f>$K7</f>
      </c>
      <c r="T7" s="1607"/>
      <c r="U7" s="470"/>
      <c r="V7" s="921"/>
      <c r="W7" s="921"/>
      <c r="X7" s="921"/>
      <c r="Y7" s="921"/>
      <c r="Z7" s="921"/>
      <c r="AA7" s="921"/>
      <c r="AB7" s="1427"/>
      <c r="AC7" s="2435"/>
      <c r="AD7" s="2277" t="s">
        <v>64</v>
      </c>
      <c r="AE7" s="2435"/>
      <c r="AF7" s="2277" t="s">
        <v>64</v>
      </c>
      <c r="AG7" s="921"/>
      <c r="AH7" s="921"/>
      <c r="AI7" s="921"/>
      <c r="AJ7" s="921"/>
      <c r="AK7" s="921"/>
      <c r="AL7" s="921"/>
      <c r="AM7" s="1427"/>
      <c r="AN7" s="2435"/>
      <c r="AO7" s="2277" t="s">
        <v>64</v>
      </c>
      <c r="AP7" s="2457"/>
      <c r="AQ7" s="2277" t="s">
        <v>64</v>
      </c>
      <c r="AR7" s="1608"/>
      <c r="AS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681">
        <f>STRCHECKDATE(V8:AR8)</f>
      </c>
      <c r="AU7" s="670"/>
      <c r="AV7" s="670" t="str">
        <f>IF(T7="","",T7)</f>
        <v/>
      </c>
      <c r="AW7" s="670"/>
      <c r="AX7" s="670"/>
      <c r="AY7" s="1325">
        <v>0</v>
      </c>
    </row>
    <row customHeight="1" ht="14.25" hidden="1">
      <c r="A8" s="1533"/>
      <c r="B8" s="1533"/>
      <c r="C8" s="1533"/>
      <c r="D8" s="1533"/>
      <c r="E8" s="2429"/>
      <c r="F8" s="2429"/>
      <c r="G8" s="2429"/>
      <c r="H8" s="2429"/>
      <c r="I8" s="2456"/>
      <c r="J8" s="2456"/>
      <c r="K8" s="2426"/>
      <c r="L8" s="1534"/>
      <c r="P8" s="2427"/>
      <c r="Q8" s="2427"/>
      <c r="R8" s="527"/>
      <c r="S8" s="1660"/>
      <c r="T8" s="470"/>
      <c r="U8" s="470"/>
      <c r="V8" s="495"/>
      <c r="W8" s="495"/>
      <c r="X8" s="495"/>
      <c r="Y8" s="495"/>
      <c r="Z8" s="495"/>
      <c r="AA8" s="495"/>
      <c r="AB8" s="498" t="str">
        <f>AC7&amp;"-"&amp;AE7</f>
        <v>-</v>
      </c>
      <c r="AC8" s="2436"/>
      <c r="AD8" s="2277"/>
      <c r="AE8" s="2436"/>
      <c r="AF8" s="2277"/>
      <c r="AG8" s="495"/>
      <c r="AH8" s="495"/>
      <c r="AI8" s="495"/>
      <c r="AJ8" s="495"/>
      <c r="AK8" s="495"/>
      <c r="AL8" s="495"/>
      <c r="AM8" s="498" t="str">
        <f>AN7&amp;"-"&amp;AP7</f>
        <v>-</v>
      </c>
      <c r="AN8" s="2436"/>
      <c r="AO8" s="2277"/>
      <c r="AP8" s="2458"/>
      <c r="AQ8" s="2277"/>
      <c r="AR8" s="1609"/>
      <c r="AS8" s="2519"/>
      <c r="AU8" s="670"/>
      <c r="AV8" s="670" t="str">
        <f>IF(T8="","",T8)</f>
        <v/>
      </c>
      <c r="AW8" s="670"/>
      <c r="AX8" s="670"/>
      <c r="AY8" s="1325">
        <v>0</v>
      </c>
    </row>
    <row customHeight="1" ht="21" hidden="1">
      <c r="A9" s="1533"/>
      <c r="B9" s="1533"/>
      <c r="C9" s="1533"/>
      <c r="D9" s="1533"/>
      <c r="E9" s="2429"/>
      <c r="F9" s="2429"/>
      <c r="G9" s="2429"/>
      <c r="H9" s="2429"/>
      <c r="I9" s="2456"/>
      <c r="J9" s="2426"/>
      <c r="K9" s="1533"/>
      <c r="L9" s="1534"/>
      <c r="P9" s="2427"/>
      <c r="Q9" s="2427"/>
      <c r="R9" s="526"/>
      <c r="S9" s="1448"/>
      <c r="T9" s="457" t="s">
        <v>501</v>
      </c>
      <c r="U9" s="537"/>
      <c r="V9" s="537"/>
      <c r="W9" s="770"/>
      <c r="X9" s="770"/>
      <c r="Y9" s="770"/>
      <c r="Z9" s="770"/>
      <c r="AA9" s="770"/>
      <c r="AB9" s="537"/>
      <c r="AC9" s="537"/>
      <c r="AD9" s="537"/>
      <c r="AE9" s="537"/>
      <c r="AF9" s="537"/>
      <c r="AG9" s="537"/>
      <c r="AH9" s="770"/>
      <c r="AI9" s="770"/>
      <c r="AJ9" s="770"/>
      <c r="AK9" s="770"/>
      <c r="AL9" s="770"/>
      <c r="AM9" s="537"/>
      <c r="AN9" s="537"/>
      <c r="AO9" s="537"/>
      <c r="AP9" s="537"/>
      <c r="AQ9" s="537"/>
      <c r="AR9" s="537"/>
      <c r="AS9" s="1428" t="s">
        <v>502</v>
      </c>
      <c r="AU9" s="670"/>
      <c r="AV9" s="670" t="str">
        <f>IF(T9="","",T9)</f>
        <v>Добавить значение признака дифференциации</v>
      </c>
      <c r="AW9" s="670"/>
      <c r="AX9" s="670"/>
      <c r="AY9" s="1325">
        <v>0</v>
      </c>
    </row>
    <row customHeight="1" ht="21" hidden="1">
      <c r="A10" s="1533"/>
      <c r="B10" s="1533"/>
      <c r="C10" s="1533"/>
      <c r="D10" s="1533"/>
      <c r="E10" s="2429"/>
      <c r="F10" s="2429"/>
      <c r="G10" s="2429"/>
      <c r="H10" s="2429"/>
      <c r="I10" s="2426"/>
      <c r="J10" s="1533"/>
      <c r="K10" s="1533"/>
      <c r="L10" s="1534"/>
      <c r="P10" s="2427"/>
      <c r="Q10" s="1651"/>
      <c r="R10" s="526"/>
      <c r="S10" s="1448"/>
      <c r="T10" s="535" t="s">
        <v>424</v>
      </c>
      <c r="U10" s="537"/>
      <c r="V10" s="537"/>
      <c r="W10" s="770"/>
      <c r="X10" s="770"/>
      <c r="Y10" s="770"/>
      <c r="Z10" s="770"/>
      <c r="AA10" s="770"/>
      <c r="AB10" s="537"/>
      <c r="AC10" s="537"/>
      <c r="AD10" s="537"/>
      <c r="AE10" s="537"/>
      <c r="AF10" s="536"/>
      <c r="AG10" s="537"/>
      <c r="AH10" s="770"/>
      <c r="AI10" s="770"/>
      <c r="AJ10" s="770"/>
      <c r="AK10" s="770"/>
      <c r="AL10" s="770"/>
      <c r="AM10" s="537"/>
      <c r="AN10" s="537"/>
      <c r="AO10" s="537"/>
      <c r="AP10" s="537"/>
      <c r="AQ10" s="536"/>
      <c r="AR10" s="537"/>
      <c r="AS10" s="1610"/>
      <c r="AU10" s="670"/>
      <c r="AV10" s="670" t="str">
        <f>IF(T10="","",T10)</f>
        <v>Добавить группу потребителей</v>
      </c>
      <c r="AW10" s="670"/>
      <c r="AX10" s="670"/>
      <c r="AY10" s="1325">
        <v>0</v>
      </c>
    </row>
    <row customHeight="1" ht="21" hidden="1">
      <c r="A11" s="1533"/>
      <c r="B11" s="1533"/>
      <c r="C11" s="1533"/>
      <c r="D11" s="1533"/>
      <c r="E11" s="2429"/>
      <c r="F11" s="2429"/>
      <c r="G11" s="2429"/>
      <c r="H11" s="2428"/>
      <c r="I11" s="1533"/>
      <c r="J11" s="1533"/>
      <c r="K11" s="1533"/>
      <c r="L11" s="1534"/>
      <c r="M11" s="1535"/>
      <c r="N11" s="1535"/>
      <c r="O11" s="707"/>
      <c r="P11" s="530"/>
      <c r="Q11" s="545"/>
      <c r="R11" s="525"/>
      <c r="S11" s="1448"/>
      <c r="T11" s="542" t="s">
        <v>503</v>
      </c>
      <c r="U11" s="537"/>
      <c r="V11" s="537"/>
      <c r="W11" s="770"/>
      <c r="X11" s="770"/>
      <c r="Y11" s="770"/>
      <c r="Z11" s="770"/>
      <c r="AA11" s="770"/>
      <c r="AB11" s="537"/>
      <c r="AC11" s="537"/>
      <c r="AD11" s="537"/>
      <c r="AE11" s="537"/>
      <c r="AF11" s="536"/>
      <c r="AG11" s="537"/>
      <c r="AH11" s="770"/>
      <c r="AI11" s="770"/>
      <c r="AJ11" s="770"/>
      <c r="AK11" s="770"/>
      <c r="AL11" s="770"/>
      <c r="AM11" s="537"/>
      <c r="AN11" s="537"/>
      <c r="AO11" s="537"/>
      <c r="AP11" s="537"/>
      <c r="AQ11" s="536"/>
      <c r="AR11" s="537"/>
      <c r="AS11" s="473"/>
      <c r="AU11" s="670"/>
      <c r="AV11" s="670" t="str">
        <f>IF(T11="","",T11)</f>
        <v>Добавить наименование признака дифференциации</v>
      </c>
      <c r="AW11" s="670"/>
      <c r="AX11" s="670"/>
      <c r="AY11" s="1325">
        <v>0</v>
      </c>
    </row>
    <row s="11993" customFormat="1" customHeight="1" ht="14.25" hidden="1">
      <c r="A12" s="1513"/>
      <c r="B12" s="1513"/>
      <c r="C12" s="1484"/>
      <c r="D12" s="1484"/>
      <c r="E12" s="2429"/>
      <c r="F12" s="2428"/>
      <c r="G12" s="1484"/>
      <c r="H12" s="1484"/>
      <c r="I12" s="1484"/>
      <c r="J12" s="1484"/>
      <c r="K12" s="1484"/>
      <c r="L12" s="1664"/>
      <c r="M12" s="1491"/>
      <c r="N12" s="1491"/>
      <c r="P12" s="1486"/>
      <c r="Q12" s="1487"/>
      <c r="R12" s="1486"/>
      <c r="S12" s="1492"/>
      <c r="T12" s="1495" t="s">
        <v>166</v>
      </c>
      <c r="U12" s="1494"/>
      <c r="V12" s="1494"/>
      <c r="W12" s="1494"/>
      <c r="X12" s="1494"/>
      <c r="Y12" s="1494"/>
      <c r="Z12" s="1494"/>
      <c r="AA12" s="1494"/>
      <c r="AB12" s="1494"/>
      <c r="AC12" s="1494"/>
      <c r="AD12" s="1494"/>
      <c r="AE12" s="1494"/>
      <c r="AF12" s="1494"/>
      <c r="AG12" s="1494"/>
      <c r="AH12" s="1494"/>
      <c r="AI12" s="1494"/>
      <c r="AJ12" s="1494"/>
      <c r="AK12" s="1494"/>
      <c r="AL12" s="1494"/>
      <c r="AM12" s="1494"/>
      <c r="AN12" s="1494"/>
      <c r="AO12" s="1494"/>
      <c r="AP12" s="1494"/>
      <c r="AQ12" s="1494"/>
      <c r="AR12" s="1494"/>
      <c r="AS12" s="1494"/>
      <c r="AU12" s="959"/>
      <c r="AV12" s="959" t="str">
        <f>IF(T12="","",T12)</f>
        <v>Добавить централизованную систему для дифференциации</v>
      </c>
      <c r="AW12" s="959"/>
      <c r="AX12" s="959"/>
      <c r="AY12" s="688">
        <v>0</v>
      </c>
    </row>
    <row s="11993" customFormat="1" customHeight="1" ht="14.25" hidden="1">
      <c r="A13" s="1513"/>
      <c r="B13" s="1513"/>
      <c r="C13" s="1513"/>
      <c r="D13" s="1513"/>
      <c r="E13" s="2428"/>
      <c r="F13" s="1513"/>
      <c r="G13" s="1513"/>
      <c r="H13" s="1513"/>
      <c r="I13" s="1513"/>
      <c r="J13" s="1513"/>
      <c r="K13" s="1513"/>
      <c r="L13" s="1516"/>
      <c r="M13" s="1491"/>
      <c r="N13" s="1491"/>
      <c r="O13" s="688"/>
      <c r="P13" s="550"/>
      <c r="Q13" s="1514"/>
      <c r="R13" s="550"/>
      <c r="S13" s="1492"/>
      <c r="T13" s="1495" t="s">
        <v>167</v>
      </c>
      <c r="U13" s="1494"/>
      <c r="V13" s="1494"/>
      <c r="W13" s="1494"/>
      <c r="X13" s="1494"/>
      <c r="Y13" s="1494"/>
      <c r="Z13" s="1494"/>
      <c r="AA13" s="1494"/>
      <c r="AB13" s="1494"/>
      <c r="AC13" s="1494"/>
      <c r="AD13" s="1494"/>
      <c r="AE13" s="1494"/>
      <c r="AF13" s="1494"/>
      <c r="AG13" s="1494"/>
      <c r="AH13" s="1494"/>
      <c r="AI13" s="1494"/>
      <c r="AJ13" s="1494"/>
      <c r="AK13" s="1494"/>
      <c r="AL13" s="1494"/>
      <c r="AM13" s="1494"/>
      <c r="AN13" s="1494"/>
      <c r="AO13" s="1494"/>
      <c r="AP13" s="1494"/>
      <c r="AQ13" s="1494"/>
      <c r="AR13" s="1494"/>
      <c r="AS13" s="1494"/>
      <c r="AU13" s="670"/>
      <c r="AV13" s="670" t="str">
        <f>IF(T13="","",T13)</f>
        <v>Добавить территорию для дифференциации</v>
      </c>
      <c r="AW13" s="670"/>
      <c r="AX13" s="670"/>
      <c r="AY13" s="681">
        <v>0</v>
      </c>
    </row>
    <row customHeight="1" ht="14.25" hidden="1">
      <c r="AF14" s="497"/>
      <c r="AQ14" s="497"/>
      <c r="AY14" s="1325">
        <v>0</v>
      </c>
    </row>
    <row customHeight="1" ht="14.25" hidden="1">
      <c r="AG15" s="1530"/>
      <c r="AH15" s="1530"/>
      <c r="AI15" s="1530"/>
      <c r="AJ15" s="1530"/>
      <c r="AK15" s="1530"/>
      <c r="AL15" s="1530"/>
      <c r="AM15" s="1531"/>
      <c r="AN15" s="2437"/>
      <c r="AO15" s="2438" t="s">
        <v>64</v>
      </c>
      <c r="AP15" s="2437"/>
      <c r="AQ15" s="2438" t="s">
        <v>64</v>
      </c>
      <c r="AY15" s="1325">
        <v>0</v>
      </c>
    </row>
    <row customHeight="1" ht="14.25" hidden="1">
      <c r="AG16" s="1530"/>
      <c r="AH16" s="1530"/>
      <c r="AI16" s="1530"/>
      <c r="AJ16" s="1530"/>
      <c r="AK16" s="1530"/>
      <c r="AL16" s="1530"/>
      <c r="AM16" s="498" t="str">
        <f>AN15&amp;"-"&amp;AP15</f>
        <v>-</v>
      </c>
      <c r="AN16" s="2438"/>
      <c r="AO16" s="2438"/>
      <c r="AP16" s="2438"/>
      <c r="AQ16" s="2438"/>
      <c r="AY16" s="1325">
        <v>0</v>
      </c>
    </row>
    <row customHeight="1" ht="14.25" hidden="1">
      <c r="AQ17" s="497"/>
      <c r="AY17" s="1325">
        <v>0</v>
      </c>
    </row>
    <row s="11992" customFormat="1" customHeight="1" ht="22.5" hidden="1">
      <c r="L18" s="1648"/>
      <c r="M18" s="1532"/>
      <c r="N18" s="1532"/>
      <c r="O18" s="1537" t="s">
        <v>426</v>
      </c>
      <c r="P18" s="1532"/>
      <c r="Q18" s="1541"/>
      <c r="R18" s="1541"/>
      <c r="S18" s="899"/>
      <c r="W18" s="1536"/>
      <c r="X18" s="1536"/>
      <c r="Y18" s="1536"/>
      <c r="Z18" s="1536"/>
      <c r="AA18" s="1536"/>
      <c r="AC18" s="1537"/>
      <c r="AE18" s="1537"/>
      <c r="AF18" s="1536"/>
      <c r="AH18" s="1536"/>
      <c r="AI18" s="1536"/>
      <c r="AJ18" s="1536"/>
      <c r="AK18" s="1536"/>
      <c r="AL18" s="1536"/>
      <c r="AN18" s="1537"/>
      <c r="AP18" s="1537"/>
      <c r="AQ18" s="1536"/>
      <c r="AT18" s="681"/>
      <c r="AU18" s="681"/>
      <c r="AV18" s="681"/>
      <c r="AW18" s="681"/>
      <c r="AX18" s="681"/>
      <c r="AY18" s="1330">
        <v>0</v>
      </c>
    </row>
    <row s="11992" customFormat="1" customHeight="1" ht="14.25" hidden="1">
      <c r="L19" s="1648"/>
      <c r="M19" s="1532"/>
      <c r="N19" s="1532"/>
      <c r="O19" s="1532"/>
      <c r="P19" s="1532"/>
      <c r="Q19" s="1541"/>
      <c r="R19" s="1541"/>
      <c r="S19" s="899"/>
      <c r="W19" s="1536"/>
      <c r="X19" s="1536"/>
      <c r="Y19" s="1536"/>
      <c r="Z19" s="1536"/>
      <c r="AA19" s="1536"/>
      <c r="AF19" s="1536"/>
      <c r="AH19" s="1536"/>
      <c r="AI19" s="1536"/>
      <c r="AJ19" s="1536"/>
      <c r="AK19" s="1536"/>
      <c r="AL19" s="1536"/>
      <c r="AQ19" s="1536"/>
      <c r="AT19" s="681"/>
      <c r="AU19" s="681"/>
      <c r="AV19" s="681"/>
      <c r="AW19" s="681"/>
      <c r="AX19" s="681"/>
      <c r="AY19" s="1330">
        <v>0</v>
      </c>
    </row>
    <row s="11992" customFormat="1" customHeight="1" ht="12" hidden="1">
      <c r="L20" s="1648"/>
      <c r="M20" s="1532"/>
      <c r="N20" s="1532"/>
      <c r="O20" s="1534" t="s">
        <v>427</v>
      </c>
      <c r="P20" s="1532"/>
      <c r="Q20" s="1612"/>
      <c r="R20" s="1612"/>
      <c r="S20" s="899"/>
      <c r="T20" s="1330" t="s">
        <v>428</v>
      </c>
      <c r="W20" s="1536"/>
      <c r="X20" s="1536"/>
      <c r="Y20" s="1536"/>
      <c r="Z20" s="1536"/>
      <c r="AA20" s="1536"/>
      <c r="AD20" s="356" t="s">
        <v>429</v>
      </c>
      <c r="AF20" s="356" t="s">
        <v>430</v>
      </c>
      <c r="AG20" s="1330" t="s">
        <v>428</v>
      </c>
      <c r="AH20" s="1536"/>
      <c r="AI20" s="1536"/>
      <c r="AJ20" s="1536"/>
      <c r="AK20" s="1536"/>
      <c r="AL20" s="1536"/>
      <c r="AO20" s="356" t="s">
        <v>431</v>
      </c>
      <c r="AQ20" s="356" t="s">
        <v>430</v>
      </c>
      <c r="AY20" s="1330">
        <v>0</v>
      </c>
    </row>
    <row customHeight="1" ht="14.25" hidden="1">
      <c r="O21" s="1534"/>
      <c r="AY21" s="1325">
        <v>0</v>
      </c>
    </row>
    <row customHeight="1" ht="14.25" hidden="1">
      <c r="O22" s="1534"/>
      <c r="AY22" s="1325">
        <v>0</v>
      </c>
    </row>
    <row customHeight="1" ht="14.699999999999998">
      <c r="Q23" s="546"/>
      <c r="R23" s="546"/>
      <c r="S23" s="1445"/>
      <c r="T23" s="533"/>
      <c r="U23" s="533"/>
      <c r="V23" s="679"/>
      <c r="W23" s="1805"/>
      <c r="X23" s="1805"/>
      <c r="Y23" s="1805"/>
      <c r="Z23" s="1805"/>
      <c r="AA23" s="1805"/>
      <c r="AB23" s="679"/>
      <c r="AC23" s="679"/>
      <c r="AD23" s="679"/>
      <c r="AE23" s="679"/>
      <c r="AF23" s="679"/>
      <c r="AG23" s="679"/>
      <c r="AH23" s="1805"/>
      <c r="AI23" s="1805"/>
      <c r="AJ23" s="1805"/>
      <c r="AK23" s="1805"/>
      <c r="AL23" s="1805"/>
      <c r="AM23" s="679"/>
      <c r="AN23" s="679"/>
      <c r="AO23" s="679"/>
      <c r="AP23" s="679"/>
      <c r="AQ23" s="679"/>
      <c r="AY23" s="1325">
        <v>14</v>
      </c>
    </row>
    <row customHeight="1" ht="26.25">
      <c r="Q24" s="546"/>
      <c r="R24" s="546"/>
      <c r="S24" s="2418"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418"/>
      <c r="U24" s="2418"/>
      <c r="V24" s="2418"/>
      <c r="W24" s="2418"/>
      <c r="X24" s="2418"/>
      <c r="Y24" s="2418"/>
      <c r="Z24" s="2418"/>
      <c r="AA24" s="2418"/>
      <c r="AB24" s="2418"/>
      <c r="AC24" s="2418"/>
      <c r="AD24" s="2418"/>
      <c r="AE24" s="2418"/>
      <c r="AF24" s="2418"/>
      <c r="AG24" s="2418"/>
      <c r="AH24" s="2418"/>
      <c r="AI24" s="2418"/>
      <c r="AJ24" s="2418"/>
      <c r="AK24" s="2418"/>
      <c r="AL24" s="2418"/>
      <c r="AM24" s="2418"/>
      <c r="AN24" s="2418"/>
      <c r="AO24" s="2418"/>
      <c r="AP24" s="2418"/>
      <c r="AQ24" s="1413"/>
      <c r="AY24" s="1325">
        <v>25</v>
      </c>
    </row>
    <row customHeight="1" ht="14.699999999999998">
      <c r="Q25" s="546"/>
      <c r="R25" s="546"/>
      <c r="S25" s="2419" t="str">
        <f>IF(org=0,"Не определено",org)</f>
        <v>Филиал "Шатурская ГРЭС" ПАО "Юнипро"</v>
      </c>
      <c r="T25" s="2419"/>
      <c r="U25" s="2419"/>
      <c r="V25" s="2419"/>
      <c r="W25" s="2419"/>
      <c r="X25" s="2419"/>
      <c r="Y25" s="2419"/>
      <c r="Z25" s="2419"/>
      <c r="AA25" s="2419"/>
      <c r="AB25" s="2419"/>
      <c r="AC25" s="2419"/>
      <c r="AD25" s="2419"/>
      <c r="AE25" s="2419"/>
      <c r="AF25" s="2419"/>
      <c r="AG25" s="2419"/>
      <c r="AH25" s="2419"/>
      <c r="AI25" s="2419"/>
      <c r="AJ25" s="2419"/>
      <c r="AK25" s="2419"/>
      <c r="AL25" s="2419"/>
      <c r="AM25" s="2419"/>
      <c r="AN25" s="2419"/>
      <c r="AO25" s="2419"/>
      <c r="AP25" s="2419"/>
      <c r="AQ25" s="1413"/>
      <c r="AY25" s="1325">
        <v>14</v>
      </c>
    </row>
    <row customHeight="1" ht="14.25">
      <c r="Q26" s="546"/>
      <c r="R26" s="546"/>
      <c r="S26" s="1445"/>
      <c r="T26" s="533"/>
      <c r="U26" s="533"/>
      <c r="V26" s="492"/>
      <c r="W26" s="492"/>
      <c r="X26" s="492"/>
      <c r="Y26" s="492"/>
      <c r="Z26" s="492"/>
      <c r="AA26" s="492"/>
      <c r="AB26" s="492"/>
      <c r="AC26" s="492"/>
      <c r="AD26" s="492"/>
      <c r="AE26" s="492"/>
      <c r="AF26" s="492"/>
      <c r="AG26" s="492"/>
      <c r="AH26" s="492"/>
      <c r="AI26" s="492"/>
      <c r="AJ26" s="492"/>
      <c r="AK26" s="492"/>
      <c r="AL26" s="492"/>
      <c r="AM26" s="492"/>
      <c r="AN26" s="492"/>
      <c r="AO26" s="492"/>
      <c r="AP26" s="492"/>
      <c r="AQ26" s="492"/>
      <c r="AR26" s="679"/>
      <c r="AY26" s="1325">
        <v>0</v>
      </c>
    </row>
    <row s="12119" customFormat="1" customHeight="1" ht="25.5">
      <c r="A27" s="1538"/>
      <c r="B27" s="1538"/>
      <c r="C27" s="1538"/>
      <c r="D27" s="1538"/>
      <c r="E27" s="1538"/>
      <c r="F27" s="1538"/>
      <c r="G27" s="1538"/>
      <c r="H27" s="1538"/>
      <c r="I27" s="1538"/>
      <c r="J27" s="1538"/>
      <c r="K27" s="1538"/>
      <c r="L27" s="1539"/>
      <c r="M27" s="1538"/>
      <c r="N27" s="1538"/>
      <c r="O27" s="1538"/>
      <c r="S27" s="2420" t="s">
        <v>42</v>
      </c>
      <c r="T27" s="2420"/>
      <c r="U27" s="1542"/>
      <c r="V27" s="2421" t="str">
        <f>IF(TITLE_NAME_OR_PR_CHANGE="",IF(TITLE_NAME_OR_PR="","",TITLE_NAME_OR_PR),TITLE_NAME_OR_PR_CHANGE)</f>
        <v>Комитет по ценам и тарифам Московской области</v>
      </c>
      <c r="W27" s="2421"/>
      <c r="X27" s="2421"/>
      <c r="Y27" s="2421"/>
      <c r="Z27" s="2421"/>
      <c r="AA27" s="2421"/>
      <c r="AB27" s="2421"/>
      <c r="AC27" s="2421"/>
      <c r="AD27" s="2421"/>
      <c r="AE27" s="2421"/>
      <c r="AF27" s="496"/>
      <c r="AG27" s="2421" t="str">
        <f>IF(TITLE_NAME_OR_PR_CHANGE="",IF(TITLE_NAME_OR_PR="","",TITLE_NAME_OR_PR),TITLE_NAME_OR_PR_CHANGE)</f>
        <v>Комитет по ценам и тарифам Московской области</v>
      </c>
      <c r="AH27" s="2421"/>
      <c r="AI27" s="2421"/>
      <c r="AJ27" s="2421"/>
      <c r="AK27" s="2421"/>
      <c r="AL27" s="2421"/>
      <c r="AM27" s="2421"/>
      <c r="AN27" s="2421"/>
      <c r="AO27" s="2421"/>
      <c r="AP27" s="2421"/>
      <c r="AQ27" s="496"/>
      <c r="AR27" s="496"/>
      <c r="AS27" s="450"/>
      <c r="AT27" s="538"/>
      <c r="AU27" s="538"/>
      <c r="AV27" s="538"/>
      <c r="AW27" s="538"/>
      <c r="AX27" s="538"/>
      <c r="AY27" s="588">
        <v>0</v>
      </c>
    </row>
    <row s="12119" customFormat="1" customHeight="1" ht="18.75">
      <c r="A28" s="1538"/>
      <c r="B28" s="1538"/>
      <c r="C28" s="1538"/>
      <c r="D28" s="1538"/>
      <c r="E28" s="1538"/>
      <c r="F28" s="1538"/>
      <c r="G28" s="1538"/>
      <c r="H28" s="1538"/>
      <c r="I28" s="1538"/>
      <c r="J28" s="1538"/>
      <c r="K28" s="1538"/>
      <c r="L28" s="1539"/>
      <c r="M28" s="1538"/>
      <c r="N28" s="1538"/>
      <c r="O28" s="1538"/>
      <c r="S28" s="2420" t="s">
        <v>432</v>
      </c>
      <c r="T28" s="2420"/>
      <c r="U28" s="1542"/>
      <c r="V28" s="2434" t="str">
        <f>IF(TITLE_DATE_PR_CHANGE="",IF(TITLE_DATE_PR="","",TITLE_DATE_PR),TITLE_DATE_PR_CHANGE)</f>
        <v>45646.459814814814</v>
      </c>
      <c r="W28" s="2434"/>
      <c r="X28" s="2434"/>
      <c r="Y28" s="2434"/>
      <c r="Z28" s="2434"/>
      <c r="AA28" s="2434"/>
      <c r="AB28" s="2434"/>
      <c r="AC28" s="2434"/>
      <c r="AD28" s="2434"/>
      <c r="AE28" s="2434"/>
      <c r="AF28" s="496"/>
      <c r="AG28" s="2434" t="str">
        <f>IF(TITLE_DATE_PR_CHANGE="",IF(TITLE_DATE_PR="","",TITLE_DATE_PR),TITLE_DATE_PR_CHANGE)</f>
        <v>45646.459814814814</v>
      </c>
      <c r="AH28" s="2434"/>
      <c r="AI28" s="2434"/>
      <c r="AJ28" s="2434"/>
      <c r="AK28" s="2434"/>
      <c r="AL28" s="2434"/>
      <c r="AM28" s="2434"/>
      <c r="AN28" s="2434"/>
      <c r="AO28" s="2434"/>
      <c r="AP28" s="2434"/>
      <c r="AQ28" s="496"/>
      <c r="AR28" s="496"/>
      <c r="AS28" s="450"/>
      <c r="AT28" s="538"/>
      <c r="AU28" s="538"/>
      <c r="AV28" s="538"/>
      <c r="AW28" s="538"/>
      <c r="AX28" s="538"/>
      <c r="AY28" s="588">
        <v>0</v>
      </c>
    </row>
    <row s="12119" customFormat="1" customHeight="1" ht="18.75">
      <c r="A29" s="1538"/>
      <c r="B29" s="1538"/>
      <c r="C29" s="1538"/>
      <c r="D29" s="1538"/>
      <c r="E29" s="1538"/>
      <c r="F29" s="1538"/>
      <c r="G29" s="1538"/>
      <c r="H29" s="1538"/>
      <c r="I29" s="1538"/>
      <c r="J29" s="1538"/>
      <c r="K29" s="1538"/>
      <c r="L29" s="1539"/>
      <c r="M29" s="1538"/>
      <c r="N29" s="1538"/>
      <c r="O29" s="1538"/>
      <c r="S29" s="2420" t="s">
        <v>433</v>
      </c>
      <c r="T29" s="2420"/>
      <c r="U29" s="1542"/>
      <c r="V29" s="2421" t="str">
        <f>IF(TITLE_NUMBER_PR_CHANGE="",IF(TITLE_NUMBER_PR="","",TITLE_NUMBER_PR),TITLE_NUMBER_PR_CHANGE)</f>
        <v>329-Р</v>
      </c>
      <c r="W29" s="2421"/>
      <c r="X29" s="2421"/>
      <c r="Y29" s="2421"/>
      <c r="Z29" s="2421"/>
      <c r="AA29" s="2421"/>
      <c r="AB29" s="2421"/>
      <c r="AC29" s="2421"/>
      <c r="AD29" s="2421"/>
      <c r="AE29" s="2421"/>
      <c r="AF29" s="496"/>
      <c r="AG29" s="2421" t="str">
        <f>IF(TITLE_NUMBER_PR_CHANGE="",IF(TITLE_NUMBER_PR="","",TITLE_NUMBER_PR),TITLE_NUMBER_PR_CHANGE)</f>
        <v>329-Р</v>
      </c>
      <c r="AH29" s="2421"/>
      <c r="AI29" s="2421"/>
      <c r="AJ29" s="2421"/>
      <c r="AK29" s="2421"/>
      <c r="AL29" s="2421"/>
      <c r="AM29" s="2421"/>
      <c r="AN29" s="2421"/>
      <c r="AO29" s="2421"/>
      <c r="AP29" s="2421"/>
      <c r="AQ29" s="496"/>
      <c r="AR29" s="496"/>
      <c r="AS29" s="450"/>
      <c r="AT29" s="538"/>
      <c r="AU29" s="538"/>
      <c r="AV29" s="538"/>
      <c r="AW29" s="538"/>
      <c r="AX29" s="538"/>
      <c r="AY29" s="588">
        <v>0</v>
      </c>
    </row>
    <row s="12119" customFormat="1" customHeight="1" ht="18.75">
      <c r="A30" s="1538"/>
      <c r="B30" s="1538"/>
      <c r="C30" s="1538"/>
      <c r="D30" s="1538"/>
      <c r="E30" s="1538"/>
      <c r="F30" s="1538"/>
      <c r="G30" s="1538"/>
      <c r="H30" s="1538"/>
      <c r="I30" s="1538"/>
      <c r="J30" s="1538"/>
      <c r="K30" s="1538"/>
      <c r="L30" s="1539"/>
      <c r="M30" s="1538"/>
      <c r="N30" s="1538"/>
      <c r="O30" s="1538"/>
      <c r="S30" s="2420" t="s">
        <v>44</v>
      </c>
      <c r="T30" s="2420"/>
      <c r="U30" s="1542"/>
      <c r="V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0" s="2421"/>
      <c r="X30" s="2421"/>
      <c r="Y30" s="2421"/>
      <c r="Z30" s="2421"/>
      <c r="AA30" s="2421"/>
      <c r="AB30" s="2421"/>
      <c r="AC30" s="2421"/>
      <c r="AD30" s="2421"/>
      <c r="AE30" s="2421"/>
      <c r="AF30" s="496"/>
      <c r="AG30"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H30" s="2421"/>
      <c r="AI30" s="2421"/>
      <c r="AJ30" s="2421"/>
      <c r="AK30" s="2421"/>
      <c r="AL30" s="2421"/>
      <c r="AM30" s="2421"/>
      <c r="AN30" s="2421"/>
      <c r="AO30" s="2421"/>
      <c r="AP30" s="2421"/>
      <c r="AQ30" s="496"/>
      <c r="AR30" s="496"/>
      <c r="AS30" s="450"/>
      <c r="AT30" s="538"/>
      <c r="AU30" s="538"/>
      <c r="AV30" s="538"/>
      <c r="AW30" s="538"/>
      <c r="AX30" s="538"/>
      <c r="AY30" s="588">
        <v>0</v>
      </c>
    </row>
    <row customHeight="1" ht="14.25" hidden="1">
      <c r="Q31" s="546"/>
      <c r="R31" s="546"/>
      <c r="S31" s="1445"/>
      <c r="T31" s="533"/>
      <c r="U31" s="533"/>
      <c r="V31" s="492"/>
      <c r="W31" s="492"/>
      <c r="X31" s="492"/>
      <c r="Y31" s="492"/>
      <c r="Z31" s="492"/>
      <c r="AA31" s="492"/>
      <c r="AB31" s="492"/>
      <c r="AC31" s="492"/>
      <c r="AD31" s="492"/>
      <c r="AE31" s="492"/>
      <c r="AF31" s="492"/>
      <c r="AG31" s="492"/>
      <c r="AH31" s="492"/>
      <c r="AI31" s="492"/>
      <c r="AJ31" s="492"/>
      <c r="AK31" s="492"/>
      <c r="AL31" s="492"/>
      <c r="AM31" s="492"/>
      <c r="AN31" s="492"/>
      <c r="AO31" s="492"/>
      <c r="AP31" s="492"/>
      <c r="AQ31" s="492"/>
      <c r="AR31" s="679"/>
      <c r="AY31" s="1325">
        <v>0</v>
      </c>
    </row>
    <row s="12119" customFormat="1" customHeight="1" ht="18.75" hidden="1">
      <c r="A32" s="1538"/>
      <c r="B32" s="1538"/>
      <c r="C32" s="1538"/>
      <c r="D32" s="1538"/>
      <c r="E32" s="1538"/>
      <c r="F32" s="1538"/>
      <c r="G32" s="1538"/>
      <c r="H32" s="1538"/>
      <c r="I32" s="1538"/>
      <c r="J32" s="1538"/>
      <c r="K32" s="1538"/>
      <c r="L32" s="1539"/>
      <c r="M32" s="1538"/>
      <c r="N32" s="1538"/>
      <c r="O32" s="1538"/>
      <c r="S32" s="2420" t="s">
        <v>434</v>
      </c>
      <c r="T32" s="2420"/>
      <c r="U32" s="1542"/>
      <c r="V32" s="2434" t="str">
        <f>IF(TITLE_DATE_PR_CHANGE="",IF(TITLE_DATE_PR="","",TITLE_DATE_PR),TITLE_DATE_PR_CHANGE)</f>
        <v>45646.459814814814</v>
      </c>
      <c r="W32" s="2434"/>
      <c r="X32" s="2434"/>
      <c r="Y32" s="2434"/>
      <c r="Z32" s="2434"/>
      <c r="AA32" s="2434"/>
      <c r="AB32" s="2434"/>
      <c r="AC32" s="2434"/>
      <c r="AD32" s="2434"/>
      <c r="AE32" s="2434"/>
      <c r="AF32" s="496"/>
      <c r="AG32" s="2434" t="str">
        <f>IF(TITLE_DATE_PR_CHANGE="",IF(TITLE_DATE_PR="","",TITLE_DATE_PR),TITLE_DATE_PR_CHANGE)</f>
        <v>45646.459814814814</v>
      </c>
      <c r="AH32" s="2434"/>
      <c r="AI32" s="2434"/>
      <c r="AJ32" s="2434"/>
      <c r="AK32" s="2434"/>
      <c r="AL32" s="2434"/>
      <c r="AM32" s="2434"/>
      <c r="AN32" s="2434"/>
      <c r="AO32" s="2434"/>
      <c r="AP32" s="2434"/>
      <c r="AQ32" s="496"/>
      <c r="AR32" s="496"/>
      <c r="AS32" s="450"/>
      <c r="AT32" s="538"/>
      <c r="AU32" s="538"/>
      <c r="AV32" s="538"/>
      <c r="AW32" s="538"/>
      <c r="AX32" s="538"/>
      <c r="AY32" s="588">
        <v>0</v>
      </c>
    </row>
    <row s="12119" customFormat="1" customHeight="1" ht="18.75" hidden="1">
      <c r="A33" s="1538"/>
      <c r="B33" s="1538"/>
      <c r="C33" s="1538"/>
      <c r="D33" s="1538"/>
      <c r="E33" s="1538"/>
      <c r="F33" s="1538"/>
      <c r="G33" s="1538"/>
      <c r="H33" s="1538"/>
      <c r="I33" s="1538"/>
      <c r="J33" s="1538"/>
      <c r="K33" s="1538"/>
      <c r="L33" s="1539"/>
      <c r="M33" s="1538"/>
      <c r="N33" s="1538"/>
      <c r="O33" s="1538"/>
      <c r="S33" s="2420" t="s">
        <v>435</v>
      </c>
      <c r="T33" s="2420"/>
      <c r="U33" s="1542"/>
      <c r="V33" s="2421" t="str">
        <f>IF(TITLE_NUMBER_PR_CHANGE="",IF(TITLE_NUMBER_PR="","",TITLE_NUMBER_PR),TITLE_NUMBER_PR_CHANGE)</f>
        <v>329-Р</v>
      </c>
      <c r="W33" s="2421"/>
      <c r="X33" s="2421"/>
      <c r="Y33" s="2421"/>
      <c r="Z33" s="2421"/>
      <c r="AA33" s="2421"/>
      <c r="AB33" s="2421"/>
      <c r="AC33" s="2421"/>
      <c r="AD33" s="2421"/>
      <c r="AE33" s="2421"/>
      <c r="AF33" s="496"/>
      <c r="AG33" s="2421" t="str">
        <f>IF(TITLE_NUMBER_PR_CHANGE="",IF(TITLE_NUMBER_PR="","",TITLE_NUMBER_PR),TITLE_NUMBER_PR_CHANGE)</f>
        <v>329-Р</v>
      </c>
      <c r="AH33" s="2421"/>
      <c r="AI33" s="2421"/>
      <c r="AJ33" s="2421"/>
      <c r="AK33" s="2421"/>
      <c r="AL33" s="2421"/>
      <c r="AM33" s="2421"/>
      <c r="AN33" s="2421"/>
      <c r="AO33" s="2421"/>
      <c r="AP33" s="2421"/>
      <c r="AQ33" s="496"/>
      <c r="AR33" s="496"/>
      <c r="AS33" s="450"/>
      <c r="AT33" s="538"/>
      <c r="AU33" s="538"/>
      <c r="AV33" s="538"/>
      <c r="AW33" s="538"/>
      <c r="AX33" s="538"/>
      <c r="AY33" s="588">
        <v>0</v>
      </c>
    </row>
    <row s="12119" customFormat="1" customHeight="1" ht="1.05">
      <c r="A34" s="1538"/>
      <c r="B34" s="1538"/>
      <c r="C34" s="1538"/>
      <c r="D34" s="1538"/>
      <c r="E34" s="1538"/>
      <c r="F34" s="1538"/>
      <c r="G34" s="1538"/>
      <c r="H34" s="1538"/>
      <c r="I34" s="1538"/>
      <c r="J34" s="1538"/>
      <c r="K34" s="1538"/>
      <c r="L34" s="1539"/>
      <c r="M34" s="1538"/>
      <c r="N34" s="1538"/>
      <c r="O34" s="1538"/>
      <c r="S34" s="493"/>
      <c r="T34" s="493"/>
      <c r="U34" s="1658"/>
      <c r="V34" s="496"/>
      <c r="W34" s="1805"/>
      <c r="X34" s="1805"/>
      <c r="Y34" s="1805"/>
      <c r="Z34" s="1805"/>
      <c r="AA34" s="1805"/>
      <c r="AB34" s="496"/>
      <c r="AC34" s="496"/>
      <c r="AD34" s="496"/>
      <c r="AE34" s="496"/>
      <c r="AF34" s="448" t="s">
        <v>436</v>
      </c>
      <c r="AG34" s="496"/>
      <c r="AH34" s="1805"/>
      <c r="AI34" s="1805"/>
      <c r="AJ34" s="1805"/>
      <c r="AK34" s="1805"/>
      <c r="AL34" s="1805"/>
      <c r="AM34" s="496"/>
      <c r="AN34" s="496"/>
      <c r="AO34" s="496"/>
      <c r="AP34" s="496"/>
      <c r="AQ34" s="448" t="s">
        <v>436</v>
      </c>
      <c r="AT34" s="538"/>
      <c r="AU34" s="538"/>
      <c r="AV34" s="538"/>
      <c r="AW34" s="538"/>
      <c r="AX34" s="538"/>
      <c r="AY34" s="588">
        <v>1</v>
      </c>
    </row>
    <row customHeight="1" ht="14.699999999999998">
      <c r="Q35" s="546"/>
      <c r="R35" s="546"/>
      <c r="S35" s="1445"/>
      <c r="T35" s="533"/>
      <c r="U35" s="1414"/>
      <c r="V35" s="2422"/>
      <c r="W35" s="2422"/>
      <c r="X35" s="2422"/>
      <c r="Y35" s="2422"/>
      <c r="Z35" s="2422"/>
      <c r="AA35" s="2422"/>
      <c r="AB35" s="2422"/>
      <c r="AC35" s="2422"/>
      <c r="AD35" s="2422"/>
      <c r="AE35" s="2422"/>
      <c r="AF35" s="2422"/>
      <c r="AG35" s="2422"/>
      <c r="AH35" s="2422"/>
      <c r="AI35" s="2422"/>
      <c r="AJ35" s="2422"/>
      <c r="AK35" s="2422"/>
      <c r="AL35" s="2422"/>
      <c r="AM35" s="2422"/>
      <c r="AN35" s="2422"/>
      <c r="AO35" s="2422"/>
      <c r="AP35" s="2422"/>
      <c r="AQ35" s="2422"/>
      <c r="AY35" s="1325">
        <v>14</v>
      </c>
    </row>
    <row customHeight="1" ht="14.699999999999998">
      <c r="Q36" s="546"/>
      <c r="R36" s="546"/>
      <c r="S36" s="2297" t="s">
        <v>312</v>
      </c>
      <c r="T36" s="2297"/>
      <c r="U36" s="2297"/>
      <c r="V36" s="2297"/>
      <c r="W36" s="2297"/>
      <c r="X36" s="2297"/>
      <c r="Y36" s="2297"/>
      <c r="Z36" s="2297"/>
      <c r="AA36" s="2297"/>
      <c r="AB36" s="2297"/>
      <c r="AC36" s="2297"/>
      <c r="AD36" s="2297"/>
      <c r="AE36" s="2297"/>
      <c r="AF36" s="2297"/>
      <c r="AG36" s="2297"/>
      <c r="AH36" s="2297"/>
      <c r="AI36" s="2297"/>
      <c r="AJ36" s="2297"/>
      <c r="AK36" s="2297"/>
      <c r="AL36" s="2297"/>
      <c r="AM36" s="2297"/>
      <c r="AN36" s="2297"/>
      <c r="AO36" s="2297"/>
      <c r="AP36" s="2297"/>
      <c r="AQ36" s="2297"/>
      <c r="AR36" s="2297"/>
      <c r="AS36" s="2297" t="s">
        <v>313</v>
      </c>
      <c r="AY36" s="1325">
        <v>14</v>
      </c>
    </row>
    <row customHeight="1" ht="14.699999999999998">
      <c r="Q37" s="546"/>
      <c r="R37" s="546"/>
      <c r="S37" s="2443" t="s">
        <v>91</v>
      </c>
      <c r="T37" s="2379" t="s">
        <v>438</v>
      </c>
      <c r="U37" s="471"/>
      <c r="V37" s="2444" t="s">
        <v>439</v>
      </c>
      <c r="W37" s="2445"/>
      <c r="X37" s="2445"/>
      <c r="Y37" s="2445"/>
      <c r="Z37" s="2445"/>
      <c r="AA37" s="2445"/>
      <c r="AB37" s="2445"/>
      <c r="AC37" s="2445"/>
      <c r="AD37" s="2445"/>
      <c r="AE37" s="2446"/>
      <c r="AF37" s="2447" t="s">
        <v>440</v>
      </c>
      <c r="AG37" s="2444" t="s">
        <v>439</v>
      </c>
      <c r="AH37" s="2445"/>
      <c r="AI37" s="2445"/>
      <c r="AJ37" s="2445"/>
      <c r="AK37" s="2445"/>
      <c r="AL37" s="2445"/>
      <c r="AM37" s="2445"/>
      <c r="AN37" s="2445"/>
      <c r="AO37" s="2445"/>
      <c r="AP37" s="2446"/>
      <c r="AQ37" s="2447" t="s">
        <v>441</v>
      </c>
      <c r="AR37" s="2450" t="s">
        <v>442</v>
      </c>
      <c r="AS37" s="2297"/>
      <c r="AY37" s="1325">
        <v>14</v>
      </c>
    </row>
    <row s="11913" customFormat="1" customHeight="1" ht="19.95">
      <c r="A38" s="1536"/>
      <c r="B38" s="1536"/>
      <c r="C38" s="1536"/>
      <c r="D38" s="1536"/>
      <c r="E38" s="1536"/>
      <c r="F38" s="1536"/>
      <c r="G38" s="1536"/>
      <c r="H38" s="1536"/>
      <c r="I38" s="1536"/>
      <c r="J38" s="1536"/>
      <c r="K38" s="1536"/>
      <c r="L38" s="2150"/>
      <c r="M38" s="1532"/>
      <c r="N38" s="1532"/>
      <c r="O38" s="1532"/>
      <c r="P38" s="2151"/>
      <c r="Q38" s="546"/>
      <c r="R38" s="546"/>
      <c r="S38" s="2443"/>
      <c r="T38" s="2379"/>
      <c r="U38" s="1201"/>
      <c r="V38" s="2536" t="s">
        <v>547</v>
      </c>
      <c r="W38" s="2535" t="s">
        <v>548</v>
      </c>
      <c r="X38" s="2535"/>
      <c r="Y38" s="2535"/>
      <c r="Z38" s="2535" t="s">
        <v>549</v>
      </c>
      <c r="AA38" s="2535"/>
      <c r="AB38" s="2535"/>
      <c r="AC38" s="2464" t="s">
        <v>446</v>
      </c>
      <c r="AD38" s="2483"/>
      <c r="AE38" s="2484"/>
      <c r="AF38" s="2448"/>
      <c r="AG38" s="2536" t="s">
        <v>547</v>
      </c>
      <c r="AH38" s="2535" t="s">
        <v>548</v>
      </c>
      <c r="AI38" s="2535"/>
      <c r="AJ38" s="2535"/>
      <c r="AK38" s="2535" t="s">
        <v>549</v>
      </c>
      <c r="AL38" s="2535"/>
      <c r="AM38" s="2535"/>
      <c r="AN38" s="2464" t="s">
        <v>446</v>
      </c>
      <c r="AO38" s="2483"/>
      <c r="AP38" s="2484"/>
      <c r="AQ38" s="2448"/>
      <c r="AR38" s="2451"/>
      <c r="AS38" s="2297"/>
      <c r="AT38" s="1806"/>
      <c r="AU38" s="1806"/>
      <c r="AV38" s="1806"/>
      <c r="AW38" s="1806"/>
      <c r="AX38" s="1806"/>
      <c r="AY38" s="1801">
        <v>19</v>
      </c>
    </row>
    <row customHeight="1" ht="19.95">
      <c r="Q39" s="546"/>
      <c r="R39" s="546"/>
      <c r="S39" s="2443"/>
      <c r="T39" s="2379"/>
      <c r="U39" s="1201"/>
      <c r="V39" s="2536"/>
      <c r="W39" s="2535" t="s">
        <v>550</v>
      </c>
      <c r="X39" s="2535" t="s">
        <v>551</v>
      </c>
      <c r="Y39" s="2535"/>
      <c r="Z39" s="2535" t="s">
        <v>552</v>
      </c>
      <c r="AA39" s="2535" t="s">
        <v>551</v>
      </c>
      <c r="AB39" s="2535"/>
      <c r="AC39" s="2465"/>
      <c r="AD39" s="2485"/>
      <c r="AE39" s="2486"/>
      <c r="AF39" s="2448"/>
      <c r="AG39" s="2536"/>
      <c r="AH39" s="2535" t="s">
        <v>550</v>
      </c>
      <c r="AI39" s="2535" t="s">
        <v>551</v>
      </c>
      <c r="AJ39" s="2535"/>
      <c r="AK39" s="2535" t="s">
        <v>552</v>
      </c>
      <c r="AL39" s="2535" t="s">
        <v>551</v>
      </c>
      <c r="AM39" s="2535"/>
      <c r="AN39" s="2465"/>
      <c r="AO39" s="2485"/>
      <c r="AP39" s="2486"/>
      <c r="AQ39" s="2448"/>
      <c r="AR39" s="2451"/>
      <c r="AS39" s="2297"/>
      <c r="AY39" s="1325">
        <v>19</v>
      </c>
    </row>
    <row customHeight="1" ht="61.949999999999996">
      <c r="A40" s="1540"/>
      <c r="B40" s="1540" t="s">
        <v>138</v>
      </c>
      <c r="C40" s="1540" t="s">
        <v>139</v>
      </c>
      <c r="D40" s="1540" t="s">
        <v>140</v>
      </c>
      <c r="E40" s="1534" t="s">
        <v>447</v>
      </c>
      <c r="F40" s="1534" t="s">
        <v>448</v>
      </c>
      <c r="G40" s="1534" t="s">
        <v>449</v>
      </c>
      <c r="H40" s="1534"/>
      <c r="I40" s="1534" t="s">
        <v>505</v>
      </c>
      <c r="J40" s="1534" t="s">
        <v>452</v>
      </c>
      <c r="K40" s="1534" t="s">
        <v>506</v>
      </c>
      <c r="L40" s="1534" t="s">
        <v>427</v>
      </c>
      <c r="Q40" s="546"/>
      <c r="R40" s="546"/>
      <c r="S40" s="2443"/>
      <c r="T40" s="2379"/>
      <c r="U40" s="472"/>
      <c r="V40" s="2536"/>
      <c r="W40" s="2535"/>
      <c r="X40" s="2153" t="s">
        <v>553</v>
      </c>
      <c r="Y40" s="2153" t="s">
        <v>554</v>
      </c>
      <c r="Z40" s="2535"/>
      <c r="AA40" s="2153" t="s">
        <v>555</v>
      </c>
      <c r="AB40" s="2153" t="s">
        <v>556</v>
      </c>
      <c r="AC40" s="1659" t="s">
        <v>456</v>
      </c>
      <c r="AD40" s="2440" t="s">
        <v>457</v>
      </c>
      <c r="AE40" s="2441"/>
      <c r="AF40" s="2449"/>
      <c r="AG40" s="2536"/>
      <c r="AH40" s="2535"/>
      <c r="AI40" s="2153" t="s">
        <v>553</v>
      </c>
      <c r="AJ40" s="2153" t="s">
        <v>554</v>
      </c>
      <c r="AK40" s="2535"/>
      <c r="AL40" s="2153" t="s">
        <v>555</v>
      </c>
      <c r="AM40" s="2153" t="s">
        <v>556</v>
      </c>
      <c r="AN40" s="1659" t="s">
        <v>456</v>
      </c>
      <c r="AO40" s="2440" t="s">
        <v>457</v>
      </c>
      <c r="AP40" s="2441"/>
      <c r="AQ40" s="2449"/>
      <c r="AR40" s="2452"/>
      <c r="AS40" s="2297"/>
      <c r="AY40" s="1325">
        <v>59</v>
      </c>
    </row>
    <row s="12668" customFormat="1" customHeight="1" ht="11.25" hidden="1">
      <c r="A41" s="1540"/>
      <c r="B41" s="1540"/>
      <c r="C41" s="1540"/>
      <c r="D41" s="1540"/>
      <c r="E41" s="1540"/>
      <c r="F41" s="1540"/>
      <c r="G41" s="1540"/>
      <c r="H41" s="1540"/>
      <c r="I41" s="1540"/>
      <c r="J41" s="1540"/>
      <c r="K41" s="1540"/>
      <c r="L41" s="1534"/>
      <c r="M41" s="1532"/>
      <c r="N41" s="1532"/>
      <c r="O41" s="1532"/>
      <c r="P41" s="1416"/>
      <c r="Q41" s="1417"/>
      <c r="R41" s="1424">
        <v>1</v>
      </c>
      <c r="S41" s="1447" t="s">
        <v>112</v>
      </c>
      <c r="T41" s="1425" t="s">
        <v>113</v>
      </c>
      <c r="U41" s="1415" t="str">
        <f>OFFSET(U41,0,-1)</f>
        <v>2</v>
      </c>
      <c r="V41" s="1652">
        <f>OFFSET(V41,0,-1)+1</f>
        <v>3</v>
      </c>
      <c r="W41" s="2149"/>
      <c r="X41" s="2149"/>
      <c r="Y41" s="2149"/>
      <c r="Z41" s="2149"/>
      <c r="AA41" s="2149"/>
      <c r="AB41" s="1652">
        <f>OFFSET(AB41,0,-1)+1</f>
        <v>1</v>
      </c>
      <c r="AC41" s="1652">
        <f>OFFSET(AC41,0,-1)+1</f>
        <v>2</v>
      </c>
      <c r="AD41" s="2442">
        <f>OFFSET(AD41,0,-1)+1</f>
        <v>3</v>
      </c>
      <c r="AE41" s="2442"/>
      <c r="AF41" s="1652">
        <f>OFFSET(AF41,0,-2)+1</f>
        <v>4</v>
      </c>
      <c r="AG41" s="1652">
        <f>OFFSET(AG41,0,-1)+1</f>
        <v>5</v>
      </c>
      <c r="AH41" s="2149"/>
      <c r="AI41" s="2149"/>
      <c r="AJ41" s="2149"/>
      <c r="AK41" s="2149"/>
      <c r="AL41" s="2149"/>
      <c r="AM41" s="1652">
        <f>OFFSET(AM41,0,-1)+1</f>
        <v>1</v>
      </c>
      <c r="AN41" s="1652">
        <f>OFFSET(AN41,0,-1)+1</f>
        <v>2</v>
      </c>
      <c r="AO41" s="2442">
        <f>OFFSET(AO41,0,-1)+1</f>
        <v>3</v>
      </c>
      <c r="AP41" s="2442"/>
      <c r="AQ41" s="1652">
        <f>OFFSET(AQ41,0,-2)+1</f>
        <v>4</v>
      </c>
      <c r="AR41" s="1415">
        <f>OFFSET(AR41,0,-1)</f>
        <v>4</v>
      </c>
      <c r="AS41" s="1652">
        <f>OFFSET(AS41,0,-1)+1</f>
        <v>5</v>
      </c>
      <c r="AT41" s="681"/>
      <c r="AU41" s="681"/>
      <c r="AV41" s="681"/>
      <c r="AW41" s="681"/>
      <c r="AX41" s="681"/>
      <c r="AY41" s="666">
        <v>0</v>
      </c>
    </row>
    <row customHeight="1" ht="24">
      <c r="A42" s="1533" t="s">
        <v>268</v>
      </c>
      <c r="B42" s="1533"/>
      <c r="C42" s="1533"/>
      <c r="D42" s="1533"/>
      <c r="E42" s="2428">
        <v>1</v>
      </c>
      <c r="F42" s="1533"/>
      <c r="G42" s="1533"/>
      <c r="H42" s="1533"/>
      <c r="I42" s="1533"/>
      <c r="J42" s="1533"/>
      <c r="K42" s="1533"/>
      <c r="L42" s="1534"/>
      <c r="M42" s="1535"/>
      <c r="N42" s="1535"/>
      <c r="O42" s="1535"/>
      <c r="P42" s="531"/>
      <c r="Q42" s="530"/>
      <c r="R42" s="525"/>
      <c r="S42" s="1663">
        <f>INDEX(PT_DIFFERENTIATION_NUM_NTAR,MATCH(A42,PT_DIFFERENTIATION_NTAR_ID,0))</f>
        <v>0</v>
      </c>
      <c r="T42" s="468" t="s">
        <v>126</v>
      </c>
      <c r="U42" s="470"/>
      <c r="V42" s="2412"/>
      <c r="W42" s="2413"/>
      <c r="X42" s="2413"/>
      <c r="Y42" s="2413"/>
      <c r="Z42" s="2413"/>
      <c r="AA42" s="2413"/>
      <c r="AB42" s="2413"/>
      <c r="AC42" s="2413"/>
      <c r="AD42" s="2413"/>
      <c r="AE42" s="2413"/>
      <c r="AF42" s="2414"/>
      <c r="AG42" s="2412" t="str">
        <f>INDEX(PT_DIFFERENTIATION_NTAR,MATCH(A42,PT_DIFFERENTIATION_NTAR_ID,0))</f>
        <v/>
      </c>
      <c r="AH42" s="2413"/>
      <c r="AI42" s="2413"/>
      <c r="AJ42" s="2413"/>
      <c r="AK42" s="2413"/>
      <c r="AL42" s="2413"/>
      <c r="AM42" s="2413"/>
      <c r="AN42" s="2413"/>
      <c r="AO42" s="2413"/>
      <c r="AP42" s="2413"/>
      <c r="AQ42" s="2413"/>
      <c r="AR42" s="2414"/>
      <c r="AS4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670"/>
      <c r="AV42" s="670" t="str">
        <f>IF(T42="","",T42)</f>
        <v>Наименование тарифа</v>
      </c>
      <c r="AW42" s="670"/>
      <c r="AX42" s="670"/>
      <c r="AY42" s="1325">
        <v>23</v>
      </c>
    </row>
    <row customHeight="1" ht="24">
      <c r="A43" s="1533" t="s">
        <v>268</v>
      </c>
      <c r="B43" s="1533" t="s">
        <v>269</v>
      </c>
      <c r="C43" s="1533"/>
      <c r="D43" s="1533"/>
      <c r="E43" s="2429"/>
      <c r="F43" s="2428">
        <v>1</v>
      </c>
      <c r="G43" s="1533"/>
      <c r="H43" s="1533"/>
      <c r="I43" s="1533"/>
      <c r="J43" s="1533"/>
      <c r="K43" s="1533"/>
      <c r="L43" s="1534"/>
      <c r="M43" s="1535"/>
      <c r="N43" s="1535"/>
      <c r="O43" s="1535"/>
      <c r="P43" s="1657"/>
      <c r="Q43" s="522"/>
      <c r="R43" s="523"/>
      <c r="S43" s="1663" t="str">
        <f>INDEX(PT_DIFFERENTIATION_NUM_TER,MATCH(B43,PT_DIFFERENTIATION_TER_ID,0))</f>
        <v>.</v>
      </c>
      <c r="T43" s="478" t="s">
        <v>409</v>
      </c>
      <c r="U43" s="470"/>
      <c r="V43" s="2412"/>
      <c r="W43" s="2413"/>
      <c r="X43" s="2413"/>
      <c r="Y43" s="2413"/>
      <c r="Z43" s="2413"/>
      <c r="AA43" s="2413"/>
      <c r="AB43" s="2413"/>
      <c r="AC43" s="2413"/>
      <c r="AD43" s="2413"/>
      <c r="AE43" s="2413"/>
      <c r="AF43" s="2414"/>
      <c r="AG43" s="2412" t="str">
        <f>INDEX(PT_DIFFERENTIATION_TER,MATCH(B43,PT_DIFFERENTIATION_TER_ID,0))</f>
        <v/>
      </c>
      <c r="AH43" s="2413"/>
      <c r="AI43" s="2413"/>
      <c r="AJ43" s="2413"/>
      <c r="AK43" s="2413"/>
      <c r="AL43" s="2413"/>
      <c r="AM43" s="2413"/>
      <c r="AN43" s="2413"/>
      <c r="AO43" s="2413"/>
      <c r="AP43" s="2413"/>
      <c r="AQ43" s="2413"/>
      <c r="AR43" s="2414"/>
      <c r="AS43" s="1428" t="s">
        <v>410</v>
      </c>
      <c r="AU43" s="670"/>
      <c r="AV43" s="670" t="str">
        <f>IF(T43="","",T43)</f>
        <v>Территория действия тарифа</v>
      </c>
      <c r="AW43" s="670"/>
      <c r="AX43" s="670"/>
      <c r="AY43" s="1325">
        <v>23</v>
      </c>
    </row>
    <row customHeight="1" ht="24">
      <c r="A44" s="1533" t="s">
        <v>268</v>
      </c>
      <c r="B44" s="1533" t="s">
        <v>269</v>
      </c>
      <c r="C44" s="1533" t="s">
        <v>270</v>
      </c>
      <c r="D44" s="1533"/>
      <c r="E44" s="2429"/>
      <c r="F44" s="2429"/>
      <c r="G44" s="2428">
        <v>1</v>
      </c>
      <c r="H44" s="1533"/>
      <c r="I44" s="1533"/>
      <c r="J44" s="1533"/>
      <c r="K44" s="1533"/>
      <c r="L44" s="1534"/>
      <c r="M44" s="1535"/>
      <c r="N44" s="1535"/>
      <c r="O44" s="1535"/>
      <c r="P44" s="524"/>
      <c r="Q44" s="522"/>
      <c r="R44" s="523"/>
      <c r="S44" s="1663" t="str">
        <f>INDEX(PT_DIFFERENTIATION_NUM_CS,MATCH(C44,PT_DIFFERENTIATION_CS_ID,0))</f>
        <v>..</v>
      </c>
      <c r="T44" s="479" t="s">
        <v>545</v>
      </c>
      <c r="U44" s="470"/>
      <c r="V44" s="2412"/>
      <c r="W44" s="2413"/>
      <c r="X44" s="2413"/>
      <c r="Y44" s="2413"/>
      <c r="Z44" s="2413"/>
      <c r="AA44" s="2413"/>
      <c r="AB44" s="2413"/>
      <c r="AC44" s="2413"/>
      <c r="AD44" s="2413"/>
      <c r="AE44" s="2413"/>
      <c r="AF44" s="2414"/>
      <c r="AG44" s="2412" t="str">
        <f>INDEX(PT_DIFFERENTIATION_CS,MATCH(C44,PT_DIFFERENTIATION_CS_ID,0))</f>
        <v/>
      </c>
      <c r="AH44" s="2413"/>
      <c r="AI44" s="2413"/>
      <c r="AJ44" s="2413"/>
      <c r="AK44" s="2413"/>
      <c r="AL44" s="2413"/>
      <c r="AM44" s="2413"/>
      <c r="AN44" s="2413"/>
      <c r="AO44" s="2413"/>
      <c r="AP44" s="2413"/>
      <c r="AQ44" s="2413"/>
      <c r="AR44" s="2414"/>
      <c r="AS44" s="1428" t="s">
        <v>546</v>
      </c>
      <c r="AU44" s="670"/>
      <c r="AV44" s="670" t="str">
        <f>IF(T44="","",T44)</f>
        <v>Наименование централизованной системы горячего водоснабжения</v>
      </c>
      <c r="AW44" s="670"/>
      <c r="AX44" s="670"/>
      <c r="AY44" s="1325">
        <v>23</v>
      </c>
    </row>
    <row customHeight="1" ht="24">
      <c r="A45" s="1533" t="s">
        <v>268</v>
      </c>
      <c r="B45" s="1533" t="s">
        <v>269</v>
      </c>
      <c r="C45" s="1533" t="s">
        <v>270</v>
      </c>
      <c r="D45" s="1533" t="s">
        <v>558</v>
      </c>
      <c r="E45" s="2429"/>
      <c r="F45" s="2429"/>
      <c r="G45" s="2429"/>
      <c r="H45" s="2429"/>
      <c r="I45" s="2426" t="str">
        <f>S44&amp;".1"</f>
        <v>...1</v>
      </c>
      <c r="J45" s="1533"/>
      <c r="K45" s="1533"/>
      <c r="L45" s="1534"/>
      <c r="P45" s="2427">
        <v>1</v>
      </c>
      <c r="Q45" s="1651"/>
      <c r="R45" s="526"/>
      <c r="S45" s="1663" t="str">
        <f>$I45</f>
        <v>...1</v>
      </c>
      <c r="T45" s="455" t="s">
        <v>498</v>
      </c>
      <c r="U45" s="470"/>
      <c r="V45" s="2520"/>
      <c r="W45" s="2521"/>
      <c r="X45" s="2521"/>
      <c r="Y45" s="2521"/>
      <c r="Z45" s="2521"/>
      <c r="AA45" s="2521"/>
      <c r="AB45" s="2521"/>
      <c r="AC45" s="2521"/>
      <c r="AD45" s="2521"/>
      <c r="AE45" s="2521"/>
      <c r="AF45" s="2522"/>
      <c r="AG45" s="2523"/>
      <c r="AH45" s="2524"/>
      <c r="AI45" s="2524"/>
      <c r="AJ45" s="2524"/>
      <c r="AK45" s="2524"/>
      <c r="AL45" s="2524"/>
      <c r="AM45" s="2524"/>
      <c r="AN45" s="2524"/>
      <c r="AO45" s="2524"/>
      <c r="AP45" s="2524"/>
      <c r="AQ45" s="2524"/>
      <c r="AR45" s="2525"/>
      <c r="AS45" s="1428" t="s">
        <v>499</v>
      </c>
      <c r="AU45" s="670"/>
      <c r="AV45" s="670" t="str">
        <f>IF(T45="","",T45)</f>
        <v>Наименование признака дифференциации</v>
      </c>
      <c r="AW45" s="670"/>
      <c r="AX45" s="670"/>
      <c r="AY45" s="1325">
        <v>23</v>
      </c>
    </row>
    <row customHeight="1" ht="24">
      <c r="A46" s="1533" t="s">
        <v>268</v>
      </c>
      <c r="B46" s="1533" t="s">
        <v>269</v>
      </c>
      <c r="C46" s="1533" t="s">
        <v>270</v>
      </c>
      <c r="D46" s="1533" t="s">
        <v>558</v>
      </c>
      <c r="E46" s="2429"/>
      <c r="F46" s="2429"/>
      <c r="G46" s="2429"/>
      <c r="H46" s="2429"/>
      <c r="I46" s="2456"/>
      <c r="J46" s="2426" t="str">
        <f>I45&amp;".1"</f>
        <v>...1.1</v>
      </c>
      <c r="K46" s="1533"/>
      <c r="L46" s="1534" t="s">
        <v>418</v>
      </c>
      <c r="P46" s="2427"/>
      <c r="Q46" s="2427">
        <v>1</v>
      </c>
      <c r="R46" s="527"/>
      <c r="S46" s="1663" t="str">
        <f>$J46</f>
        <v>...1.1</v>
      </c>
      <c r="T46" s="456" t="s">
        <v>419</v>
      </c>
      <c r="U46" s="470"/>
      <c r="V46" s="2415"/>
      <c r="W46" s="2416"/>
      <c r="X46" s="2416"/>
      <c r="Y46" s="2416"/>
      <c r="Z46" s="2416"/>
      <c r="AA46" s="2416"/>
      <c r="AB46" s="2416"/>
      <c r="AC46" s="2416"/>
      <c r="AD46" s="2416"/>
      <c r="AE46" s="2416"/>
      <c r="AF46" s="2417"/>
      <c r="AG46" s="2415"/>
      <c r="AH46" s="2416"/>
      <c r="AI46" s="2416"/>
      <c r="AJ46" s="2416"/>
      <c r="AK46" s="2416"/>
      <c r="AL46" s="2416"/>
      <c r="AM46" s="2416"/>
      <c r="AN46" s="2416"/>
      <c r="AO46" s="2416"/>
      <c r="AP46" s="2416"/>
      <c r="AQ46" s="2416"/>
      <c r="AR46" s="2417"/>
      <c r="AS46" s="1477" t="s">
        <v>500</v>
      </c>
      <c r="AU46" s="670"/>
      <c r="AV46" s="670" t="str">
        <f>IF(T46="","",T46)</f>
        <v>Группа потребителей</v>
      </c>
      <c r="AW46" s="670"/>
      <c r="AX46" s="670"/>
      <c r="AY46" s="1325">
        <v>23</v>
      </c>
    </row>
    <row customHeight="1" ht="24">
      <c r="A47" s="1533" t="s">
        <v>268</v>
      </c>
      <c r="B47" s="1533" t="s">
        <v>269</v>
      </c>
      <c r="C47" s="1533" t="s">
        <v>270</v>
      </c>
      <c r="D47" s="1533" t="s">
        <v>558</v>
      </c>
      <c r="E47" s="2429"/>
      <c r="F47" s="2429"/>
      <c r="G47" s="2429"/>
      <c r="H47" s="2429"/>
      <c r="I47" s="2456"/>
      <c r="J47" s="2456"/>
      <c r="K47" s="2426" t="str">
        <f>J46&amp;".1"</f>
        <v>...1.1.1</v>
      </c>
      <c r="L47" s="1534"/>
      <c r="P47" s="2427"/>
      <c r="Q47" s="2427"/>
      <c r="R47" s="527">
        <v>1</v>
      </c>
      <c r="S47" s="1663" t="str">
        <f>$K47</f>
        <v>...1.1.1</v>
      </c>
      <c r="T47" s="1607"/>
      <c r="U47" s="470"/>
      <c r="V47" s="1530"/>
      <c r="W47" s="1530"/>
      <c r="X47" s="1530"/>
      <c r="Y47" s="1530"/>
      <c r="Z47" s="1530"/>
      <c r="AA47" s="1530"/>
      <c r="AB47" s="1531"/>
      <c r="AC47" s="2437"/>
      <c r="AD47" s="2438" t="s">
        <v>64</v>
      </c>
      <c r="AE47" s="2437"/>
      <c r="AF47" s="2438" t="s">
        <v>64</v>
      </c>
      <c r="AG47" s="921"/>
      <c r="AH47" s="921"/>
      <c r="AI47" s="921"/>
      <c r="AJ47" s="921"/>
      <c r="AK47" s="921"/>
      <c r="AL47" s="921"/>
      <c r="AM47" s="1427"/>
      <c r="AN47" s="2435"/>
      <c r="AO47" s="2277" t="s">
        <v>64</v>
      </c>
      <c r="AP47" s="2457"/>
      <c r="AQ47" s="2277" t="s">
        <v>19</v>
      </c>
      <c r="AR47" s="1608"/>
      <c r="AS47" s="251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681">
        <f>STRCHECKDATE(V48:AR48)</f>
      </c>
      <c r="AU47" s="670"/>
      <c r="AV47" s="670" t="str">
        <f>IF(T47="","",T47)</f>
        <v/>
      </c>
      <c r="AW47" s="670"/>
      <c r="AX47" s="670"/>
      <c r="AY47" s="1325">
        <v>23</v>
      </c>
    </row>
    <row customHeight="1" ht="0">
      <c r="A48" s="1533" t="s">
        <v>268</v>
      </c>
      <c r="B48" s="1533" t="s">
        <v>269</v>
      </c>
      <c r="C48" s="1533" t="s">
        <v>270</v>
      </c>
      <c r="D48" s="1533" t="s">
        <v>558</v>
      </c>
      <c r="E48" s="2429"/>
      <c r="F48" s="2429"/>
      <c r="G48" s="2429"/>
      <c r="H48" s="2429"/>
      <c r="I48" s="2456"/>
      <c r="J48" s="2456"/>
      <c r="K48" s="2426"/>
      <c r="L48" s="1534"/>
      <c r="P48" s="2427"/>
      <c r="Q48" s="2427"/>
      <c r="R48" s="527"/>
      <c r="S48" s="1660"/>
      <c r="T48" s="470"/>
      <c r="U48" s="470"/>
      <c r="V48" s="1530"/>
      <c r="W48" s="1530"/>
      <c r="X48" s="1530"/>
      <c r="Y48" s="1530"/>
      <c r="Z48" s="1530"/>
      <c r="AA48" s="1530"/>
      <c r="AB48" s="498" t="str">
        <f>AC47&amp;"-"&amp;AE47</f>
        <v>-</v>
      </c>
      <c r="AC48" s="2438"/>
      <c r="AD48" s="2438"/>
      <c r="AE48" s="2438"/>
      <c r="AF48" s="2438"/>
      <c r="AG48" s="495"/>
      <c r="AH48" s="495"/>
      <c r="AI48" s="495"/>
      <c r="AJ48" s="495"/>
      <c r="AK48" s="495"/>
      <c r="AL48" s="495"/>
      <c r="AM48" s="498" t="str">
        <f>AN47&amp;"-"&amp;AP47</f>
        <v>-</v>
      </c>
      <c r="AN48" s="2436"/>
      <c r="AO48" s="2277"/>
      <c r="AP48" s="2458"/>
      <c r="AQ48" s="2277"/>
      <c r="AR48" s="1609"/>
      <c r="AS48" s="2519"/>
      <c r="AU48" s="670"/>
      <c r="AV48" s="670" t="str">
        <f>IF(T48="","",T48)</f>
        <v/>
      </c>
      <c r="AW48" s="670"/>
      <c r="AX48" s="670"/>
      <c r="AY48" s="1325">
        <v>0</v>
      </c>
    </row>
    <row customHeight="1" ht="21">
      <c r="A49" s="1533" t="s">
        <v>268</v>
      </c>
      <c r="B49" s="1533" t="s">
        <v>269</v>
      </c>
      <c r="C49" s="1533" t="s">
        <v>270</v>
      </c>
      <c r="D49" s="1533" t="s">
        <v>558</v>
      </c>
      <c r="E49" s="2429"/>
      <c r="F49" s="2429"/>
      <c r="G49" s="2429"/>
      <c r="H49" s="2429"/>
      <c r="I49" s="2456"/>
      <c r="J49" s="2426"/>
      <c r="K49" s="1533"/>
      <c r="L49" s="1534"/>
      <c r="P49" s="2427"/>
      <c r="Q49" s="2427"/>
      <c r="R49" s="526"/>
      <c r="S49" s="1448"/>
      <c r="T49" s="457" t="s">
        <v>501</v>
      </c>
      <c r="U49" s="537"/>
      <c r="V49" s="537"/>
      <c r="W49" s="770"/>
      <c r="X49" s="770"/>
      <c r="Y49" s="770"/>
      <c r="Z49" s="770"/>
      <c r="AA49" s="770"/>
      <c r="AB49" s="537"/>
      <c r="AC49" s="537"/>
      <c r="AD49" s="537"/>
      <c r="AE49" s="537"/>
      <c r="AF49" s="537"/>
      <c r="AG49" s="537"/>
      <c r="AH49" s="770"/>
      <c r="AI49" s="770"/>
      <c r="AJ49" s="770"/>
      <c r="AK49" s="770"/>
      <c r="AL49" s="770"/>
      <c r="AM49" s="537"/>
      <c r="AN49" s="537"/>
      <c r="AO49" s="537"/>
      <c r="AP49" s="537"/>
      <c r="AQ49" s="537"/>
      <c r="AR49" s="537"/>
      <c r="AS49" s="1428" t="s">
        <v>502</v>
      </c>
      <c r="AU49" s="670"/>
      <c r="AV49" s="670" t="str">
        <f>IF(T49="","",T49)</f>
        <v>Добавить значение признака дифференциации</v>
      </c>
      <c r="AW49" s="670"/>
      <c r="AX49" s="670"/>
      <c r="AY49" s="1325">
        <v>20</v>
      </c>
    </row>
    <row customHeight="1" ht="22.049999999999997">
      <c r="A50" s="1533" t="s">
        <v>268</v>
      </c>
      <c r="B50" s="1533" t="s">
        <v>269</v>
      </c>
      <c r="C50" s="1533" t="s">
        <v>270</v>
      </c>
      <c r="D50" s="1533" t="s">
        <v>558</v>
      </c>
      <c r="E50" s="2429"/>
      <c r="F50" s="2429"/>
      <c r="G50" s="2429"/>
      <c r="H50" s="2429"/>
      <c r="I50" s="2426"/>
      <c r="J50" s="1533"/>
      <c r="K50" s="1533"/>
      <c r="L50" s="1534"/>
      <c r="P50" s="2427"/>
      <c r="Q50" s="1651"/>
      <c r="R50" s="526"/>
      <c r="S50" s="1448"/>
      <c r="T50" s="535" t="s">
        <v>424</v>
      </c>
      <c r="U50" s="537"/>
      <c r="V50" s="537"/>
      <c r="W50" s="770"/>
      <c r="X50" s="770"/>
      <c r="Y50" s="770"/>
      <c r="Z50" s="770"/>
      <c r="AA50" s="770"/>
      <c r="AB50" s="537"/>
      <c r="AC50" s="537"/>
      <c r="AD50" s="537"/>
      <c r="AE50" s="537"/>
      <c r="AF50" s="536"/>
      <c r="AG50" s="537"/>
      <c r="AH50" s="770"/>
      <c r="AI50" s="770"/>
      <c r="AJ50" s="770"/>
      <c r="AK50" s="770"/>
      <c r="AL50" s="770"/>
      <c r="AM50" s="537"/>
      <c r="AN50" s="537"/>
      <c r="AO50" s="537"/>
      <c r="AP50" s="537"/>
      <c r="AQ50" s="536"/>
      <c r="AR50" s="537"/>
      <c r="AS50" s="1610"/>
      <c r="AU50" s="670"/>
      <c r="AV50" s="670" t="str">
        <f>IF(T50="","",T50)</f>
        <v>Добавить группу потребителей</v>
      </c>
      <c r="AW50" s="670"/>
      <c r="AX50" s="670"/>
      <c r="AY50" s="1325">
        <v>21</v>
      </c>
    </row>
    <row customHeight="1" ht="22.049999999999997">
      <c r="A51" s="1533" t="s">
        <v>268</v>
      </c>
      <c r="B51" s="1533" t="s">
        <v>269</v>
      </c>
      <c r="C51" s="1533" t="s">
        <v>270</v>
      </c>
      <c r="D51" s="1533" t="s">
        <v>558</v>
      </c>
      <c r="E51" s="2429"/>
      <c r="F51" s="2429"/>
      <c r="G51" s="2429"/>
      <c r="H51" s="2428"/>
      <c r="I51" s="1533"/>
      <c r="J51" s="1533"/>
      <c r="K51" s="1533"/>
      <c r="L51" s="1534"/>
      <c r="M51" s="1535"/>
      <c r="N51" s="1535"/>
      <c r="O51" s="707"/>
      <c r="P51" s="530"/>
      <c r="Q51" s="545"/>
      <c r="R51" s="525"/>
      <c r="S51" s="1448"/>
      <c r="T51" s="542" t="s">
        <v>503</v>
      </c>
      <c r="U51" s="537"/>
      <c r="V51" s="537"/>
      <c r="W51" s="770"/>
      <c r="X51" s="770"/>
      <c r="Y51" s="770"/>
      <c r="Z51" s="770"/>
      <c r="AA51" s="770"/>
      <c r="AB51" s="537"/>
      <c r="AC51" s="537"/>
      <c r="AD51" s="537"/>
      <c r="AE51" s="537"/>
      <c r="AF51" s="536"/>
      <c r="AG51" s="537"/>
      <c r="AH51" s="770"/>
      <c r="AI51" s="770"/>
      <c r="AJ51" s="770"/>
      <c r="AK51" s="770"/>
      <c r="AL51" s="770"/>
      <c r="AM51" s="537"/>
      <c r="AN51" s="537"/>
      <c r="AO51" s="537"/>
      <c r="AP51" s="537"/>
      <c r="AQ51" s="536"/>
      <c r="AR51" s="537"/>
      <c r="AS51" s="473"/>
      <c r="AU51" s="670"/>
      <c r="AV51" s="670" t="str">
        <f>IF(T51="","",T51)</f>
        <v>Добавить наименование признака дифференциации</v>
      </c>
      <c r="AW51" s="670"/>
      <c r="AX51" s="670"/>
      <c r="AY51" s="1325">
        <v>21</v>
      </c>
    </row>
    <row s="11993" customFormat="1" customHeight="1" ht="0">
      <c r="A52" s="1513" t="s">
        <v>268</v>
      </c>
      <c r="B52" s="1513" t="s">
        <v>269</v>
      </c>
      <c r="C52" s="1484"/>
      <c r="D52" s="1484"/>
      <c r="E52" s="2429"/>
      <c r="F52" s="2428"/>
      <c r="G52" s="1484"/>
      <c r="H52" s="1484"/>
      <c r="I52" s="1484"/>
      <c r="J52" s="1484"/>
      <c r="K52" s="1484"/>
      <c r="L52" s="1664"/>
      <c r="M52" s="1491"/>
      <c r="N52" s="1491"/>
      <c r="P52" s="1486"/>
      <c r="Q52" s="1487"/>
      <c r="R52" s="1486"/>
      <c r="S52" s="1492"/>
      <c r="T52" s="1495" t="s">
        <v>166</v>
      </c>
      <c r="U52" s="1494"/>
      <c r="V52" s="1494"/>
      <c r="W52" s="1494"/>
      <c r="X52" s="1494"/>
      <c r="Y52" s="1494"/>
      <c r="Z52" s="1494"/>
      <c r="AA52" s="1494"/>
      <c r="AB52" s="1494"/>
      <c r="AC52" s="1494"/>
      <c r="AD52" s="1494"/>
      <c r="AE52" s="1494"/>
      <c r="AF52" s="1494"/>
      <c r="AG52" s="1494"/>
      <c r="AH52" s="1494"/>
      <c r="AI52" s="1494"/>
      <c r="AJ52" s="1494"/>
      <c r="AK52" s="1494"/>
      <c r="AL52" s="1494"/>
      <c r="AM52" s="1494"/>
      <c r="AN52" s="1494"/>
      <c r="AO52" s="1494"/>
      <c r="AP52" s="1494"/>
      <c r="AQ52" s="1494"/>
      <c r="AR52" s="1494"/>
      <c r="AS52" s="1494"/>
      <c r="AU52" s="959"/>
      <c r="AV52" s="959" t="str">
        <f>IF(T52="","",T52)</f>
        <v>Добавить централизованную систему для дифференциации</v>
      </c>
      <c r="AW52" s="959"/>
      <c r="AX52" s="959"/>
      <c r="AY52" s="688">
        <v>0</v>
      </c>
    </row>
    <row s="11993" customFormat="1" customHeight="1" ht="0">
      <c r="A53" s="1513" t="s">
        <v>268</v>
      </c>
      <c r="B53" s="1513"/>
      <c r="C53" s="1513"/>
      <c r="D53" s="1513"/>
      <c r="E53" s="2428"/>
      <c r="F53" s="1513"/>
      <c r="G53" s="1513"/>
      <c r="H53" s="1513"/>
      <c r="I53" s="1513"/>
      <c r="J53" s="1513"/>
      <c r="K53" s="1513"/>
      <c r="L53" s="1516"/>
      <c r="M53" s="1491"/>
      <c r="N53" s="1491"/>
      <c r="O53" s="688"/>
      <c r="P53" s="550"/>
      <c r="Q53" s="1514"/>
      <c r="R53" s="550"/>
      <c r="S53" s="1492"/>
      <c r="T53" s="1495" t="s">
        <v>167</v>
      </c>
      <c r="U53" s="1494"/>
      <c r="V53" s="1494"/>
      <c r="W53" s="1494"/>
      <c r="X53" s="1494"/>
      <c r="Y53" s="1494"/>
      <c r="Z53" s="1494"/>
      <c r="AA53" s="1494"/>
      <c r="AB53" s="1494"/>
      <c r="AC53" s="1494"/>
      <c r="AD53" s="1494"/>
      <c r="AE53" s="1494"/>
      <c r="AF53" s="1494"/>
      <c r="AG53" s="1494"/>
      <c r="AH53" s="1494"/>
      <c r="AI53" s="1494"/>
      <c r="AJ53" s="1494"/>
      <c r="AK53" s="1494"/>
      <c r="AL53" s="1494"/>
      <c r="AM53" s="1494"/>
      <c r="AN53" s="1494"/>
      <c r="AO53" s="1494"/>
      <c r="AP53" s="1494"/>
      <c r="AQ53" s="1494"/>
      <c r="AR53" s="1494"/>
      <c r="AS53" s="1494"/>
      <c r="AU53" s="670"/>
      <c r="AV53" s="670" t="str">
        <f>IF(T53="","",T53)</f>
        <v>Добавить территорию для дифференциации</v>
      </c>
      <c r="AW53" s="670"/>
      <c r="AX53" s="670"/>
      <c r="AY53" s="681">
        <v>0</v>
      </c>
    </row>
    <row s="11993" customFormat="1" customHeight="1" ht="0">
      <c r="A54" s="1484"/>
      <c r="B54" s="1484"/>
      <c r="C54" s="1484"/>
      <c r="D54" s="1484"/>
      <c r="E54" s="1513"/>
      <c r="F54" s="1484"/>
      <c r="G54" s="1484"/>
      <c r="H54" s="1484"/>
      <c r="I54" s="1484"/>
      <c r="J54" s="1484"/>
      <c r="K54" s="1484"/>
      <c r="L54" s="1664"/>
      <c r="M54" s="1491"/>
      <c r="N54" s="1491"/>
      <c r="P54" s="1486"/>
      <c r="Q54" s="1487"/>
      <c r="R54" s="1486"/>
      <c r="S54" s="1492"/>
      <c r="T54" s="1495" t="s">
        <v>168</v>
      </c>
      <c r="U54" s="1494"/>
      <c r="V54" s="1494"/>
      <c r="W54" s="1494"/>
      <c r="X54" s="1494"/>
      <c r="Y54" s="1494"/>
      <c r="Z54" s="1494"/>
      <c r="AA54" s="1494"/>
      <c r="AB54" s="1494"/>
      <c r="AC54" s="1494"/>
      <c r="AD54" s="1494"/>
      <c r="AE54" s="1494"/>
      <c r="AF54" s="1494"/>
      <c r="AG54" s="1494"/>
      <c r="AH54" s="1494"/>
      <c r="AI54" s="1494"/>
      <c r="AJ54" s="1494"/>
      <c r="AK54" s="1494"/>
      <c r="AL54" s="1494"/>
      <c r="AM54" s="1494"/>
      <c r="AN54" s="1494"/>
      <c r="AO54" s="1494"/>
      <c r="AP54" s="1494"/>
      <c r="AQ54" s="1494"/>
      <c r="AR54" s="1494"/>
      <c r="AS54" s="1494"/>
      <c r="AU54" s="959"/>
      <c r="AV54" s="959" t="str">
        <f>IF(T54="","",T54)</f>
        <v>Добавить наименование тарифа</v>
      </c>
      <c r="AW54" s="959"/>
      <c r="AX54" s="959"/>
      <c r="AY54" s="688">
        <v>0</v>
      </c>
    </row>
    <row customHeight="1" ht="11.549999999999999">
      <c r="M55" s="1330"/>
      <c r="N55" s="1330"/>
      <c r="O55" s="707"/>
      <c r="P55" s="1325"/>
      <c r="Q55" s="1325"/>
      <c r="R55" s="1325"/>
      <c r="S55" s="1325"/>
      <c r="AT55" s="1325"/>
      <c r="AU55" s="1325"/>
      <c r="AV55" s="1325"/>
      <c r="AW55" s="1325"/>
      <c r="AX55" s="1325"/>
      <c r="AY55" s="1325">
        <v>11</v>
      </c>
    </row>
    <row customHeight="1" ht="14.699999999999998">
      <c r="O56" s="707"/>
      <c r="S56" s="1423"/>
      <c r="T56" s="2455"/>
      <c r="U56" s="2455"/>
      <c r="V56" s="2455"/>
      <c r="W56" s="2455"/>
      <c r="X56" s="2455"/>
      <c r="Y56" s="2455"/>
      <c r="Z56" s="2455"/>
      <c r="AA56" s="2455"/>
      <c r="AB56" s="2455"/>
      <c r="AC56" s="2455"/>
      <c r="AD56" s="2455"/>
      <c r="AE56" s="2455"/>
      <c r="AF56" s="2455"/>
      <c r="AG56" s="2455"/>
      <c r="AH56" s="2455"/>
      <c r="AI56" s="2455"/>
      <c r="AJ56" s="2455"/>
      <c r="AK56" s="2455"/>
      <c r="AL56" s="2455"/>
      <c r="AM56" s="2455"/>
      <c r="AN56" s="2455"/>
      <c r="AO56" s="2455"/>
      <c r="AP56" s="2455"/>
      <c r="AQ56" s="2455"/>
      <c r="AR56" s="2455"/>
      <c r="AS56" s="2455"/>
      <c r="AY56" s="1325">
        <v>14</v>
      </c>
    </row>
    <row customHeight="1" ht="14.699999999999998">
      <c r="O57" s="707"/>
      <c r="AY57" s="1325">
        <v>14</v>
      </c>
    </row>
    <row customHeight="1" ht="14.699999999999998">
      <c r="O58" s="707"/>
      <c r="S58" s="1423"/>
      <c r="T58" s="2455"/>
      <c r="U58" s="2455"/>
      <c r="V58" s="2455"/>
      <c r="W58" s="2455"/>
      <c r="X58" s="2455"/>
      <c r="Y58" s="2455"/>
      <c r="Z58" s="2455"/>
      <c r="AA58" s="2455"/>
      <c r="AB58" s="2455"/>
      <c r="AC58" s="2455"/>
      <c r="AD58" s="2455"/>
      <c r="AE58" s="2455"/>
      <c r="AF58" s="2455"/>
      <c r="AG58" s="2455"/>
      <c r="AH58" s="2455"/>
      <c r="AI58" s="2455"/>
      <c r="AJ58" s="2455"/>
      <c r="AK58" s="2455"/>
      <c r="AL58" s="2455"/>
      <c r="AM58" s="2455"/>
      <c r="AN58" s="2455"/>
      <c r="AO58" s="2455"/>
      <c r="AP58" s="2455"/>
      <c r="AQ58" s="2455"/>
      <c r="AR58" s="2455"/>
      <c r="AS58" s="2455"/>
      <c r="AY58" s="1325">
        <v>14</v>
      </c>
    </row>
    <row customHeight="1" ht="22.5" hidden="1">
      <c r="A59" s="1330" t="s">
        <v>85</v>
      </c>
      <c r="B59" s="1330">
        <v>0</v>
      </c>
      <c r="C59" s="1330">
        <v>0</v>
      </c>
      <c r="D59" s="1330">
        <v>0</v>
      </c>
      <c r="E59" s="1330">
        <v>0</v>
      </c>
      <c r="F59" s="1330">
        <v>0</v>
      </c>
      <c r="G59" s="1330">
        <v>0</v>
      </c>
      <c r="H59" s="1330">
        <v>0</v>
      </c>
      <c r="I59" s="1330">
        <v>0</v>
      </c>
      <c r="J59" s="1330">
        <v>0</v>
      </c>
      <c r="K59" s="1330">
        <v>0</v>
      </c>
      <c r="L59" s="1648">
        <v>0</v>
      </c>
      <c r="M59" s="1532">
        <v>0</v>
      </c>
      <c r="N59" s="1532">
        <v>0</v>
      </c>
      <c r="O59" s="1532">
        <v>0</v>
      </c>
      <c r="P59" s="1643">
        <v>3</v>
      </c>
      <c r="Q59" s="514">
        <v>3</v>
      </c>
      <c r="R59" s="514">
        <v>3</v>
      </c>
      <c r="S59" s="751">
        <v>12</v>
      </c>
      <c r="T59" s="1325">
        <v>35</v>
      </c>
      <c r="U59" s="1325">
        <v>0</v>
      </c>
      <c r="V59" s="1325">
        <v>0</v>
      </c>
      <c r="W59" s="1801">
        <v>0</v>
      </c>
      <c r="X59" s="1801">
        <v>0</v>
      </c>
      <c r="Y59" s="1801">
        <v>0</v>
      </c>
      <c r="Z59" s="1801">
        <v>0</v>
      </c>
      <c r="AA59" s="1801">
        <v>0</v>
      </c>
      <c r="AB59" s="1325">
        <v>0</v>
      </c>
      <c r="AC59" s="1325">
        <v>0</v>
      </c>
      <c r="AD59" s="1325">
        <v>0</v>
      </c>
      <c r="AE59" s="1325">
        <v>0</v>
      </c>
      <c r="AF59" s="1325">
        <v>0</v>
      </c>
      <c r="AG59" s="1325">
        <v>19</v>
      </c>
      <c r="AH59" s="1801">
        <v>19</v>
      </c>
      <c r="AI59" s="1801">
        <v>19</v>
      </c>
      <c r="AJ59" s="1801">
        <v>19</v>
      </c>
      <c r="AK59" s="1801">
        <v>19</v>
      </c>
      <c r="AL59" s="1801">
        <v>19</v>
      </c>
      <c r="AM59" s="1325">
        <v>19</v>
      </c>
      <c r="AN59" s="1325">
        <v>11</v>
      </c>
      <c r="AO59" s="1325">
        <v>3</v>
      </c>
      <c r="AP59" s="1325">
        <v>11</v>
      </c>
      <c r="AQ59" s="1325">
        <v>0</v>
      </c>
      <c r="AR59" s="1325">
        <v>4</v>
      </c>
      <c r="AS59" s="1325">
        <v>115</v>
      </c>
      <c r="AT59" s="681">
        <v>10</v>
      </c>
      <c r="AU59" s="681">
        <v>10</v>
      </c>
      <c r="AV59" s="681">
        <v>10</v>
      </c>
      <c r="AW59" s="681">
        <v>10</v>
      </c>
      <c r="AX59" s="681">
        <v>10</v>
      </c>
      <c r="AY59" s="132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15959D-38C9-F6D2-2D69-BB3D71ABFE6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1992" width="11.57421875" hidden="1" customWidth="1"/>
    <col min="2" max="2" style="11992" width="11.00390625" hidden="1" customWidth="1"/>
    <col min="3" max="3" style="11992" width="10.57421875" hidden="1"/>
    <col min="4" max="4" style="11992" width="12.8515625" hidden="1" customWidth="1"/>
    <col min="5" max="5" style="11992" width="10.00390625" hidden="1" customWidth="1"/>
    <col min="6" max="6" style="11992" width="8.7109375" hidden="1" customWidth="1"/>
    <col min="7" max="7" style="11992" width="7.57421875" hidden="1" customWidth="1"/>
    <col min="8" max="8" style="11992" width="11.421875" hidden="1" customWidth="1"/>
    <col min="9" max="9" style="11992" width="12.00390625" hidden="1" customWidth="1"/>
    <col min="10" max="10" style="11992" width="9.8515625" hidden="1" customWidth="1"/>
    <col min="11" max="11" style="11992" width="11.421875" hidden="1" customWidth="1"/>
    <col min="12" max="12" style="13388" width="19.140625" hidden="1" customWidth="1"/>
    <col min="13" max="14" style="13389" width="12.28125" hidden="1" customWidth="1"/>
    <col min="15" max="15" style="13389" width="23.421875" hidden="1" customWidth="1"/>
    <col min="16" max="16" style="13389" width="3.7109375" hidden="1" customWidth="1"/>
    <col min="17" max="17" style="14302" width="3.7109375" hidden="1" customWidth="1"/>
    <col min="18" max="18" style="13391" width="3.00390625" customWidth="1"/>
    <col min="19" max="19" style="13392" width="12.00390625" customWidth="1"/>
    <col min="20" max="20" style="11913" width="31.00390625" customWidth="1"/>
    <col min="21" max="21" style="11913" width="0.140625" customWidth="1"/>
    <col min="22" max="25" style="11913" width="21.7109375" hidden="1" customWidth="1"/>
    <col min="26" max="26" style="11913" width="11.7109375" hidden="1" customWidth="1"/>
    <col min="27" max="27" style="11913" width="3.7109375" hidden="1" customWidth="1"/>
    <col min="28" max="28" style="11913" width="11.7109375" hidden="1" customWidth="1"/>
    <col min="29" max="29" style="11913" width="8.57421875" hidden="1" customWidth="1"/>
    <col min="30" max="30" style="11913" width="3.7109375" customWidth="1"/>
    <col min="31" max="32" style="11913" width="3.00390625" customWidth="1"/>
    <col min="33" max="33" style="11913" width="24.00390625" customWidth="1"/>
    <col min="34" max="34" style="11913" width="3.7109375" customWidth="1"/>
    <col min="35" max="36" style="11913" width="3.00390625" customWidth="1"/>
    <col min="37" max="37" style="11913" width="24.00390625" customWidth="1"/>
    <col min="38" max="38" style="11913" width="3.7109375" customWidth="1"/>
    <col min="39" max="40" style="11913" width="3.00390625" customWidth="1"/>
    <col min="41" max="41" style="11913" width="18.00390625" customWidth="1"/>
    <col min="42" max="42" style="11913" width="3.7109375" customWidth="1"/>
    <col min="43" max="44" style="11913" width="3.00390625" customWidth="1"/>
    <col min="45" max="45" style="11913" width="18.00390625" customWidth="1"/>
    <col min="46" max="49" style="11913" width="21.00390625" customWidth="1"/>
    <col min="50" max="50" style="11913" width="11.00390625" customWidth="1"/>
    <col min="51" max="51" style="11913" width="3.7109375" customWidth="1"/>
    <col min="52" max="52" style="11913" width="11.00390625" customWidth="1"/>
    <col min="53" max="53" style="11913" width="8.57421875" hidden="1" customWidth="1"/>
    <col min="54" max="54" style="11913" width="4.00390625" customWidth="1"/>
    <col min="55" max="55" style="11913" width="115.00390625" customWidth="1"/>
    <col min="56" max="60" style="11993" width="10.00390625" customWidth="1"/>
    <col min="61" max="61" style="11913" width="10.57421875" hidden="1"/>
  </cols>
  <sheetData>
    <row customHeight="1" ht="22.5" hidden="1">
      <c r="W1" s="497"/>
      <c r="Y1" s="497"/>
      <c r="Z1" s="497"/>
      <c r="AW1" s="497"/>
      <c r="AX1" s="497"/>
      <c r="BI1" s="1325" t="s">
        <v>14</v>
      </c>
    </row>
    <row customHeight="1" ht="21" hidden="1">
      <c r="A2" s="1533"/>
      <c r="B2" s="1533"/>
      <c r="C2" s="1533"/>
      <c r="D2" s="1533"/>
      <c r="E2" s="2428">
        <v>1</v>
      </c>
      <c r="F2" s="1533"/>
      <c r="G2" s="1533"/>
      <c r="H2" s="1533"/>
      <c r="I2" s="1533"/>
      <c r="J2" s="1533"/>
      <c r="K2" s="1533"/>
      <c r="L2" s="1534"/>
      <c r="M2" s="1535"/>
      <c r="N2" s="1535"/>
      <c r="O2" s="1535"/>
      <c r="P2" s="1579"/>
      <c r="Q2" s="1043"/>
      <c r="R2" s="525"/>
      <c r="S2" s="1663">
        <f>INDEX(PT_DIFFERENTIATION_NUM_NTAR,MATCH(A2,PT_DIFFERENTIATION_NTAR_ID,0))</f>
      </c>
      <c r="T2" s="468" t="s">
        <v>126</v>
      </c>
      <c r="U2" s="470"/>
      <c r="V2" s="2413"/>
      <c r="W2" s="2413"/>
      <c r="X2" s="2413"/>
      <c r="Y2" s="2413"/>
      <c r="Z2" s="2413"/>
      <c r="AA2" s="2413"/>
      <c r="AB2" s="2413"/>
      <c r="AC2" s="2414"/>
      <c r="AD2" s="2412">
        <f>INDEX(PT_DIFFERENTIATION_NTAR,MATCH(A2,PT_DIFFERENTIATION_NTAR_ID,0))</f>
      </c>
      <c r="AE2" s="2413"/>
      <c r="AF2" s="2413"/>
      <c r="AG2" s="2413"/>
      <c r="AH2" s="2413"/>
      <c r="AI2" s="2413"/>
      <c r="AJ2" s="2413"/>
      <c r="AK2" s="2413"/>
      <c r="AL2" s="2413"/>
      <c r="AM2" s="2413"/>
      <c r="AN2" s="2413"/>
      <c r="AO2" s="2413"/>
      <c r="AP2" s="2413"/>
      <c r="AQ2" s="2413"/>
      <c r="AR2" s="2413"/>
      <c r="AS2" s="2413"/>
      <c r="AT2" s="2413"/>
      <c r="AU2" s="2413"/>
      <c r="AV2" s="2413"/>
      <c r="AW2" s="2413"/>
      <c r="AX2" s="2413"/>
      <c r="AY2" s="2413"/>
      <c r="AZ2" s="2413"/>
      <c r="BA2" s="2413"/>
      <c r="BB2" s="2414"/>
      <c r="BC2"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670"/>
      <c r="BF2" s="670" t="str">
        <f>IF(T2="","",T2)</f>
        <v>Наименование тарифа</v>
      </c>
      <c r="BG2" s="670"/>
      <c r="BH2" s="670"/>
      <c r="BI2" s="1325">
        <v>0</v>
      </c>
    </row>
    <row customHeight="1" ht="21" hidden="1">
      <c r="A3" s="1533"/>
      <c r="B3" s="1533"/>
      <c r="C3" s="1533"/>
      <c r="D3" s="1533"/>
      <c r="E3" s="2429"/>
      <c r="F3" s="2428">
        <v>1</v>
      </c>
      <c r="G3" s="1533"/>
      <c r="H3" s="1533"/>
      <c r="I3" s="1533"/>
      <c r="J3" s="1533"/>
      <c r="K3" s="1533"/>
      <c r="L3" s="1534"/>
      <c r="M3" s="1535"/>
      <c r="N3" s="1535"/>
      <c r="O3" s="1535"/>
      <c r="P3" s="1580"/>
      <c r="Q3" s="1581"/>
      <c r="R3" s="523"/>
      <c r="S3" s="1663">
        <f>INDEX(PT_DIFFERENTIATION_NUM_TER,MATCH(B3,PT_DIFFERENTIATION_TER_ID,0))</f>
      </c>
      <c r="T3" s="478" t="s">
        <v>409</v>
      </c>
      <c r="U3" s="470"/>
      <c r="V3" s="2413"/>
      <c r="W3" s="2413"/>
      <c r="X3" s="2413"/>
      <c r="Y3" s="2413"/>
      <c r="Z3" s="2413"/>
      <c r="AA3" s="2413"/>
      <c r="AB3" s="2413"/>
      <c r="AC3" s="2414"/>
      <c r="AD3" s="2412">
        <f>INDEX(PT_DIFFERENTIATION_TER,MATCH(B3,PT_DIFFERENTIATION_TER_ID,0))</f>
      </c>
      <c r="AE3" s="2413"/>
      <c r="AF3" s="2413"/>
      <c r="AG3" s="2413"/>
      <c r="AH3" s="2413"/>
      <c r="AI3" s="2413"/>
      <c r="AJ3" s="2413"/>
      <c r="AK3" s="2413"/>
      <c r="AL3" s="2413"/>
      <c r="AM3" s="2413"/>
      <c r="AN3" s="2413"/>
      <c r="AO3" s="2413"/>
      <c r="AP3" s="2413"/>
      <c r="AQ3" s="2413"/>
      <c r="AR3" s="2413"/>
      <c r="AS3" s="2413"/>
      <c r="AT3" s="2413"/>
      <c r="AU3" s="2413"/>
      <c r="AV3" s="2413"/>
      <c r="AW3" s="2413"/>
      <c r="AX3" s="2413"/>
      <c r="AY3" s="2413"/>
      <c r="AZ3" s="2413"/>
      <c r="BA3" s="2413"/>
      <c r="BB3" s="2414"/>
      <c r="BC3" s="1428" t="s">
        <v>410</v>
      </c>
      <c r="BE3" s="670"/>
      <c r="BF3" s="670" t="str">
        <f>IF(T3="","",T3)</f>
        <v>Территория действия тарифа</v>
      </c>
      <c r="BG3" s="670"/>
      <c r="BH3" s="670"/>
      <c r="BI3" s="1325">
        <v>0</v>
      </c>
    </row>
    <row customHeight="1" ht="33.75" hidden="1">
      <c r="A4" s="1533"/>
      <c r="B4" s="1533"/>
      <c r="C4" s="1533"/>
      <c r="D4" s="1533"/>
      <c r="E4" s="2429"/>
      <c r="F4" s="2429"/>
      <c r="G4" s="2428">
        <v>1</v>
      </c>
      <c r="H4" s="1533"/>
      <c r="I4" s="1533"/>
      <c r="J4" s="1533"/>
      <c r="K4" s="1533"/>
      <c r="L4" s="1534"/>
      <c r="M4" s="1535"/>
      <c r="N4" s="1535"/>
      <c r="O4" s="1535"/>
      <c r="P4" s="1582"/>
      <c r="Q4" s="1581"/>
      <c r="R4" s="523"/>
      <c r="S4" s="1663">
        <f>INDEX(PT_DIFFERENTIATION_NUM_CS,MATCH(C4,PT_DIFFERENTIATION_CS_ID,0))</f>
      </c>
      <c r="T4" s="479" t="s">
        <v>545</v>
      </c>
      <c r="U4" s="470"/>
      <c r="V4" s="2413"/>
      <c r="W4" s="2413"/>
      <c r="X4" s="2413"/>
      <c r="Y4" s="2413"/>
      <c r="Z4" s="2413"/>
      <c r="AA4" s="2413"/>
      <c r="AB4" s="2413"/>
      <c r="AC4" s="2414"/>
      <c r="AD4" s="2412">
        <f>INDEX(PT_DIFFERENTIATION_CS,MATCH(C4,PT_DIFFERENTIATION_CS_ID,0))</f>
      </c>
      <c r="AE4" s="2413"/>
      <c r="AF4" s="2413"/>
      <c r="AG4" s="2413"/>
      <c r="AH4" s="2413"/>
      <c r="AI4" s="2413"/>
      <c r="AJ4" s="2413"/>
      <c r="AK4" s="2413"/>
      <c r="AL4" s="2413"/>
      <c r="AM4" s="2413"/>
      <c r="AN4" s="2413"/>
      <c r="AO4" s="2413"/>
      <c r="AP4" s="2413"/>
      <c r="AQ4" s="2413"/>
      <c r="AR4" s="2413"/>
      <c r="AS4" s="2413"/>
      <c r="AT4" s="2413"/>
      <c r="AU4" s="2413"/>
      <c r="AV4" s="2413"/>
      <c r="AW4" s="2413"/>
      <c r="AX4" s="2413"/>
      <c r="AY4" s="2413"/>
      <c r="AZ4" s="2413"/>
      <c r="BA4" s="2413"/>
      <c r="BB4" s="2414"/>
      <c r="BC4" s="1428" t="s">
        <v>546</v>
      </c>
      <c r="BE4" s="670"/>
      <c r="BF4" s="670" t="str">
        <f>IF(T4="","",T4)</f>
        <v>Наименование централизованной системы горячего водоснабжения</v>
      </c>
      <c r="BG4" s="670"/>
      <c r="BH4" s="670"/>
      <c r="BI4" s="1325">
        <v>0</v>
      </c>
    </row>
    <row s="11993" customFormat="1" customHeight="1" ht="14.25" hidden="1">
      <c r="A5" s="1513"/>
      <c r="B5" s="1513"/>
      <c r="C5" s="1513"/>
      <c r="D5" s="1513"/>
      <c r="E5" s="2429"/>
      <c r="F5" s="2429"/>
      <c r="G5" s="2429"/>
      <c r="H5" s="2428">
        <v>1</v>
      </c>
      <c r="I5" s="1513"/>
      <c r="J5" s="1513"/>
      <c r="K5" s="1513"/>
      <c r="L5" s="1516"/>
      <c r="M5" s="1485"/>
      <c r="N5" s="1485"/>
      <c r="O5" s="1485"/>
      <c r="P5" s="1667"/>
      <c r="Q5" s="1668"/>
      <c r="R5" s="527"/>
      <c r="S5" s="1212"/>
      <c r="T5" s="1669"/>
      <c r="U5" s="1554"/>
      <c r="V5" s="2467"/>
      <c r="W5" s="2467"/>
      <c r="X5" s="2467"/>
      <c r="Y5" s="2467"/>
      <c r="Z5" s="2467"/>
      <c r="AA5" s="2467"/>
      <c r="AB5" s="2467"/>
      <c r="AC5" s="2468"/>
      <c r="AD5" s="2466"/>
      <c r="AE5" s="2467"/>
      <c r="AF5" s="2467"/>
      <c r="AG5" s="2467"/>
      <c r="AH5" s="2467"/>
      <c r="AI5" s="2467"/>
      <c r="AJ5" s="2467"/>
      <c r="AK5" s="2467"/>
      <c r="AL5" s="2467"/>
      <c r="AM5" s="2467"/>
      <c r="AN5" s="2467"/>
      <c r="AO5" s="2467"/>
      <c r="AP5" s="2467"/>
      <c r="AQ5" s="2467"/>
      <c r="AR5" s="2467"/>
      <c r="AS5" s="2467"/>
      <c r="AT5" s="2467"/>
      <c r="AU5" s="2467"/>
      <c r="AV5" s="2467"/>
      <c r="AW5" s="2467"/>
      <c r="AX5" s="2467"/>
      <c r="AY5" s="2467"/>
      <c r="AZ5" s="2467"/>
      <c r="BA5" s="2467"/>
      <c r="BB5" s="2468"/>
      <c r="BC5" s="1555" t="s">
        <v>414</v>
      </c>
      <c r="BE5" s="670"/>
      <c r="BF5" s="670" t="str">
        <f>IF(T5="","",T5)</f>
        <v/>
      </c>
      <c r="BG5" s="670"/>
      <c r="BH5" s="670"/>
      <c r="BI5" s="681">
        <v>0</v>
      </c>
    </row>
    <row s="11993" customFormat="1" customHeight="1" ht="14.25" hidden="1">
      <c r="A6" s="1513"/>
      <c r="B6" s="1513"/>
      <c r="C6" s="1513"/>
      <c r="D6" s="1513"/>
      <c r="E6" s="2429"/>
      <c r="F6" s="2429"/>
      <c r="G6" s="2429"/>
      <c r="H6" s="2429"/>
      <c r="I6" s="2426" t="str">
        <f>S5&amp;".1"</f>
        <v>.1</v>
      </c>
      <c r="J6" s="1513"/>
      <c r="K6" s="1513"/>
      <c r="L6" s="1516" t="s">
        <v>415</v>
      </c>
      <c r="M6" s="680"/>
      <c r="N6" s="680"/>
      <c r="O6" s="680"/>
      <c r="P6" s="2427">
        <v>1</v>
      </c>
      <c r="Q6" s="1651"/>
      <c r="R6" s="526"/>
      <c r="S6" s="1212"/>
      <c r="T6" s="1553"/>
      <c r="U6" s="1554"/>
      <c r="V6" s="2467"/>
      <c r="W6" s="2467"/>
      <c r="X6" s="2467"/>
      <c r="Y6" s="2467"/>
      <c r="Z6" s="2467"/>
      <c r="AA6" s="2467"/>
      <c r="AB6" s="2467"/>
      <c r="AC6" s="2468"/>
      <c r="AD6" s="2466"/>
      <c r="AE6" s="2467"/>
      <c r="AF6" s="2467"/>
      <c r="AG6" s="2467"/>
      <c r="AH6" s="2467"/>
      <c r="AI6" s="2467"/>
      <c r="AJ6" s="2467"/>
      <c r="AK6" s="2467"/>
      <c r="AL6" s="2467"/>
      <c r="AM6" s="2467"/>
      <c r="AN6" s="2467"/>
      <c r="AO6" s="2467"/>
      <c r="AP6" s="2467"/>
      <c r="AQ6" s="2467"/>
      <c r="AR6" s="2467"/>
      <c r="AS6" s="2467"/>
      <c r="AT6" s="2467"/>
      <c r="AU6" s="2467"/>
      <c r="AV6" s="2467"/>
      <c r="AW6" s="2467"/>
      <c r="AX6" s="2467"/>
      <c r="AY6" s="2467"/>
      <c r="AZ6" s="2467"/>
      <c r="BA6" s="2467"/>
      <c r="BB6" s="2468"/>
      <c r="BC6" s="1555"/>
      <c r="BE6" s="670"/>
      <c r="BF6" s="670" t="str">
        <f>IF(T6="","",T6)</f>
        <v/>
      </c>
      <c r="BG6" s="670"/>
      <c r="BH6" s="670"/>
      <c r="BI6" s="681">
        <v>0</v>
      </c>
    </row>
    <row s="11993" customFormat="1" customHeight="1" ht="14.25" hidden="1">
      <c r="A7" s="1513"/>
      <c r="B7" s="1513"/>
      <c r="C7" s="1513"/>
      <c r="D7" s="1513"/>
      <c r="E7" s="2429"/>
      <c r="F7" s="2429"/>
      <c r="G7" s="2429"/>
      <c r="H7" s="2429"/>
      <c r="I7" s="2456"/>
      <c r="J7" s="2426" t="str">
        <f>S5&amp;".1"</f>
        <v>.1</v>
      </c>
      <c r="K7" s="1513"/>
      <c r="L7" s="1516"/>
      <c r="M7" s="680"/>
      <c r="N7" s="680"/>
      <c r="O7" s="680"/>
      <c r="P7" s="2427"/>
      <c r="Q7" s="2427">
        <v>1</v>
      </c>
      <c r="R7" s="527"/>
      <c r="S7" s="1212"/>
      <c r="T7" s="1569"/>
      <c r="U7" s="1554"/>
      <c r="V7" s="2467"/>
      <c r="W7" s="2467"/>
      <c r="X7" s="2467"/>
      <c r="Y7" s="2467"/>
      <c r="Z7" s="2467"/>
      <c r="AA7" s="2467"/>
      <c r="AB7" s="2467"/>
      <c r="AC7" s="2468"/>
      <c r="AD7" s="2466"/>
      <c r="AE7" s="2467"/>
      <c r="AF7" s="2467"/>
      <c r="AG7" s="2467"/>
      <c r="AH7" s="2467"/>
      <c r="AI7" s="2467"/>
      <c r="AJ7" s="2467"/>
      <c r="AK7" s="2467"/>
      <c r="AL7" s="2467"/>
      <c r="AM7" s="2467"/>
      <c r="AN7" s="2467"/>
      <c r="AO7" s="2467"/>
      <c r="AP7" s="2467"/>
      <c r="AQ7" s="2467"/>
      <c r="AR7" s="2467"/>
      <c r="AS7" s="2467"/>
      <c r="AT7" s="2467"/>
      <c r="AU7" s="2467"/>
      <c r="AV7" s="2467"/>
      <c r="AW7" s="2467"/>
      <c r="AX7" s="2467"/>
      <c r="AY7" s="2467"/>
      <c r="AZ7" s="2467"/>
      <c r="BA7" s="2467"/>
      <c r="BB7" s="2468"/>
      <c r="BC7" s="1555"/>
      <c r="BE7" s="670"/>
      <c r="BF7" s="670" t="str">
        <f>IF(T7="","",T7)</f>
        <v/>
      </c>
      <c r="BG7" s="670"/>
      <c r="BH7" s="670"/>
      <c r="BI7" s="681">
        <v>0</v>
      </c>
    </row>
    <row customHeight="1" ht="11.25" hidden="1">
      <c r="A8" s="1533"/>
      <c r="B8" s="1533"/>
      <c r="C8" s="1533"/>
      <c r="D8" s="1533"/>
      <c r="E8" s="2429"/>
      <c r="F8" s="2429"/>
      <c r="G8" s="2429"/>
      <c r="H8" s="2429"/>
      <c r="I8" s="2456"/>
      <c r="J8" s="2456"/>
      <c r="K8" s="2426">
        <f>S4&amp;".1"</f>
      </c>
      <c r="L8" s="1534"/>
      <c r="P8" s="2427"/>
      <c r="Q8" s="2427"/>
      <c r="R8" s="2517">
        <v>1</v>
      </c>
      <c r="S8" s="2511">
        <f>$K8</f>
      </c>
      <c r="T8" s="2530"/>
      <c r="U8" s="470"/>
      <c r="V8" s="921"/>
      <c r="W8" s="1427"/>
      <c r="X8" s="921"/>
      <c r="Y8" s="1427"/>
      <c r="Z8" s="1904"/>
      <c r="AA8" s="1639" t="s">
        <v>64</v>
      </c>
      <c r="AB8" s="1904"/>
      <c r="AC8" s="1639" t="s">
        <v>64</v>
      </c>
      <c r="AD8" s="2355" t="s">
        <v>64</v>
      </c>
      <c r="AE8" s="2496"/>
      <c r="AF8" s="2375">
        <v>1</v>
      </c>
      <c r="AG8" s="2533"/>
      <c r="AH8" s="2277" t="s">
        <v>64</v>
      </c>
      <c r="AI8" s="2496"/>
      <c r="AJ8" s="2375">
        <v>1</v>
      </c>
      <c r="AK8" s="2497" t="s">
        <v>28</v>
      </c>
      <c r="AL8" s="2277" t="s">
        <v>64</v>
      </c>
      <c r="AM8" s="2362"/>
      <c r="AN8" s="2375">
        <v>1</v>
      </c>
      <c r="AO8" s="2527"/>
      <c r="AP8" s="2528" t="s">
        <v>64</v>
      </c>
      <c r="AQ8" s="481"/>
      <c r="AR8" s="1656">
        <v>1</v>
      </c>
      <c r="AS8" s="1662" t="s">
        <v>28</v>
      </c>
      <c r="AT8" s="921"/>
      <c r="AU8" s="1427"/>
      <c r="AV8" s="921"/>
      <c r="AW8" s="1427"/>
      <c r="AX8" s="1904"/>
      <c r="AY8" s="1639" t="s">
        <v>64</v>
      </c>
      <c r="AZ8" s="1904"/>
      <c r="BA8" s="1639" t="s">
        <v>64</v>
      </c>
      <c r="BB8" s="1518"/>
      <c r="BC8" s="2423" t="s">
        <v>516</v>
      </c>
      <c r="BE8" s="670"/>
      <c r="BF8" s="670" t="str">
        <f>IF(T8="","",T8)</f>
        <v/>
      </c>
      <c r="BG8" s="670"/>
      <c r="BH8" s="670"/>
      <c r="BI8" s="1325">
        <v>0</v>
      </c>
    </row>
    <row customHeight="1" ht="11.25" hidden="1">
      <c r="A9" s="1533"/>
      <c r="B9" s="1533"/>
      <c r="C9" s="1533"/>
      <c r="D9" s="1533"/>
      <c r="E9" s="2429"/>
      <c r="F9" s="2429"/>
      <c r="G9" s="2429"/>
      <c r="H9" s="2429"/>
      <c r="I9" s="2456"/>
      <c r="J9" s="2456"/>
      <c r="K9" s="2426"/>
      <c r="L9" s="1534"/>
      <c r="P9" s="2427"/>
      <c r="Q9" s="2427"/>
      <c r="R9" s="2517"/>
      <c r="S9" s="2512"/>
      <c r="T9" s="2531"/>
      <c r="U9" s="470"/>
      <c r="V9" s="1563"/>
      <c r="W9" s="1666"/>
      <c r="X9" s="1563"/>
      <c r="Y9" s="1666"/>
      <c r="Z9" s="1563"/>
      <c r="AA9" s="1563"/>
      <c r="AB9" s="1563"/>
      <c r="AC9" s="1563"/>
      <c r="AD9" s="2356"/>
      <c r="AE9" s="2496"/>
      <c r="AF9" s="2375"/>
      <c r="AG9" s="2533"/>
      <c r="AH9" s="2277"/>
      <c r="AI9" s="2496"/>
      <c r="AJ9" s="2375"/>
      <c r="AK9" s="2497"/>
      <c r="AL9" s="2277"/>
      <c r="AM9" s="2370"/>
      <c r="AN9" s="2375"/>
      <c r="AO9" s="2527"/>
      <c r="AP9" s="2529"/>
      <c r="AQ9" s="486"/>
      <c r="AR9" s="586"/>
      <c r="AS9" s="586" t="s">
        <v>517</v>
      </c>
      <c r="AT9" s="1563"/>
      <c r="AU9" s="1666"/>
      <c r="AV9" s="1563"/>
      <c r="AW9" s="1666"/>
      <c r="AX9" s="1563"/>
      <c r="AY9" s="1563"/>
      <c r="AZ9" s="1563"/>
      <c r="BA9" s="1563"/>
      <c r="BB9" s="1567"/>
      <c r="BC9" s="2424"/>
      <c r="BE9" s="670"/>
      <c r="BF9" s="670"/>
      <c r="BG9" s="670"/>
      <c r="BH9" s="670"/>
      <c r="BI9" s="1325">
        <v>0</v>
      </c>
    </row>
    <row customHeight="1" ht="11.25" hidden="1">
      <c r="A10" s="1533"/>
      <c r="B10" s="1533"/>
      <c r="C10" s="1533"/>
      <c r="D10" s="1533"/>
      <c r="E10" s="2429"/>
      <c r="F10" s="2429"/>
      <c r="G10" s="2429"/>
      <c r="H10" s="2429"/>
      <c r="I10" s="2456"/>
      <c r="J10" s="2456"/>
      <c r="K10" s="2426"/>
      <c r="L10" s="1534"/>
      <c r="P10" s="2427"/>
      <c r="Q10" s="2427"/>
      <c r="R10" s="2517"/>
      <c r="S10" s="2512"/>
      <c r="T10" s="2531"/>
      <c r="U10" s="470"/>
      <c r="V10" s="1563"/>
      <c r="W10" s="1666"/>
      <c r="X10" s="1563"/>
      <c r="Y10" s="1666"/>
      <c r="Z10" s="1563"/>
      <c r="AA10" s="1563"/>
      <c r="AB10" s="1563"/>
      <c r="AC10" s="1563"/>
      <c r="AD10" s="2356"/>
      <c r="AE10" s="2496"/>
      <c r="AF10" s="2375"/>
      <c r="AG10" s="2533"/>
      <c r="AH10" s="2277"/>
      <c r="AI10" s="2496"/>
      <c r="AJ10" s="2375"/>
      <c r="AK10" s="2497"/>
      <c r="AL10" s="2277"/>
      <c r="AM10" s="486"/>
      <c r="AN10" s="1670"/>
      <c r="AO10" s="1670" t="s">
        <v>518</v>
      </c>
      <c r="AP10" s="586"/>
      <c r="AQ10" s="586"/>
      <c r="AR10" s="586"/>
      <c r="AS10" s="1563"/>
      <c r="AT10" s="1563"/>
      <c r="AU10" s="1666"/>
      <c r="AV10" s="1563"/>
      <c r="AW10" s="1666"/>
      <c r="AX10" s="1563"/>
      <c r="AY10" s="1563"/>
      <c r="AZ10" s="1563"/>
      <c r="BA10" s="1563"/>
      <c r="BB10" s="1567"/>
      <c r="BC10" s="2424"/>
      <c r="BE10" s="670"/>
      <c r="BF10" s="670"/>
      <c r="BG10" s="670"/>
      <c r="BH10" s="670"/>
      <c r="BI10" s="1325">
        <v>0</v>
      </c>
    </row>
    <row customHeight="1" ht="11.25" hidden="1">
      <c r="A11" s="1533"/>
      <c r="B11" s="1533"/>
      <c r="C11" s="1533"/>
      <c r="D11" s="1533"/>
      <c r="E11" s="2429"/>
      <c r="F11" s="2429"/>
      <c r="G11" s="2429"/>
      <c r="H11" s="2429"/>
      <c r="I11" s="2456"/>
      <c r="J11" s="2456"/>
      <c r="K11" s="2426"/>
      <c r="L11" s="1534"/>
      <c r="P11" s="2427"/>
      <c r="Q11" s="2427"/>
      <c r="R11" s="2517"/>
      <c r="S11" s="2512"/>
      <c r="T11" s="2531"/>
      <c r="U11" s="470"/>
      <c r="V11" s="1563"/>
      <c r="W11" s="1666"/>
      <c r="X11" s="1563"/>
      <c r="Y11" s="1666"/>
      <c r="Z11" s="1563"/>
      <c r="AA11" s="1563"/>
      <c r="AB11" s="1563"/>
      <c r="AC11" s="1563"/>
      <c r="AD11" s="2356"/>
      <c r="AE11" s="2496"/>
      <c r="AF11" s="2375"/>
      <c r="AG11" s="2533"/>
      <c r="AH11" s="2277"/>
      <c r="AI11" s="464"/>
      <c r="AJ11" s="585"/>
      <c r="AK11" s="483" t="s">
        <v>519</v>
      </c>
      <c r="AL11" s="1563"/>
      <c r="AM11" s="1563"/>
      <c r="AN11" s="1563"/>
      <c r="AO11" s="1563"/>
      <c r="AP11" s="1563"/>
      <c r="AQ11" s="1563"/>
      <c r="AR11" s="1563"/>
      <c r="AS11" s="1563"/>
      <c r="AT11" s="1563"/>
      <c r="AU11" s="1666"/>
      <c r="AV11" s="1563"/>
      <c r="AW11" s="1666"/>
      <c r="AX11" s="1563"/>
      <c r="AY11" s="1563"/>
      <c r="AZ11" s="1563"/>
      <c r="BA11" s="1563"/>
      <c r="BB11" s="1567"/>
      <c r="BC11" s="2424"/>
      <c r="BE11" s="670"/>
      <c r="BF11" s="670"/>
      <c r="BG11" s="670"/>
      <c r="BH11" s="670"/>
      <c r="BI11" s="1325">
        <v>0</v>
      </c>
    </row>
    <row customHeight="1" ht="11.25" hidden="1">
      <c r="A12" s="1533"/>
      <c r="B12" s="1533"/>
      <c r="C12" s="1533"/>
      <c r="D12" s="1533"/>
      <c r="E12" s="2429"/>
      <c r="F12" s="2429"/>
      <c r="G12" s="2429"/>
      <c r="H12" s="2429"/>
      <c r="I12" s="2456"/>
      <c r="J12" s="2456"/>
      <c r="K12" s="2426"/>
      <c r="L12" s="1534"/>
      <c r="P12" s="2427"/>
      <c r="Q12" s="2427"/>
      <c r="R12" s="2517"/>
      <c r="S12" s="2513"/>
      <c r="T12" s="2532"/>
      <c r="U12" s="470"/>
      <c r="V12" s="1563"/>
      <c r="W12" s="1564" t="str">
        <f>Z8&amp;"-"&amp;AB8</f>
        <v>-</v>
      </c>
      <c r="X12" s="1563"/>
      <c r="Y12" s="1564" t="str">
        <f>AB8&amp;"-"&amp;AD8</f>
        <v>-да</v>
      </c>
      <c r="Z12" s="1563"/>
      <c r="AA12" s="1563"/>
      <c r="AB12" s="1563"/>
      <c r="AC12" s="1563"/>
      <c r="AD12" s="2282"/>
      <c r="AE12" s="482"/>
      <c r="AF12" s="484"/>
      <c r="AG12" s="586" t="s">
        <v>520</v>
      </c>
      <c r="AH12" s="1563"/>
      <c r="AI12" s="1563"/>
      <c r="AJ12" s="1563"/>
      <c r="AK12" s="1563"/>
      <c r="AL12" s="1563"/>
      <c r="AM12" s="1563"/>
      <c r="AN12" s="1563"/>
      <c r="AO12" s="1563"/>
      <c r="AP12" s="1563"/>
      <c r="AQ12" s="1563"/>
      <c r="AR12" s="1563"/>
      <c r="AS12" s="1563"/>
      <c r="AT12" s="1563"/>
      <c r="AU12" s="1564" t="str">
        <f>AX8&amp;"-"&amp;AZ8</f>
        <v>-</v>
      </c>
      <c r="AV12" s="1563"/>
      <c r="AW12" s="1564" t="str">
        <f>AZ8&amp;"-"&amp;BB8</f>
        <v>-</v>
      </c>
      <c r="AX12" s="1563"/>
      <c r="AY12" s="1563"/>
      <c r="AZ12" s="1563"/>
      <c r="BA12" s="1563"/>
      <c r="BB12" s="1566" t="str">
        <f>BE8&amp;"-"&amp;BG8</f>
        <v>-</v>
      </c>
      <c r="BC12" s="2424"/>
      <c r="BE12" s="670"/>
      <c r="BF12" s="670" t="str">
        <f>IF(T12="","",T12)</f>
        <v/>
      </c>
      <c r="BG12" s="670"/>
      <c r="BH12" s="670"/>
      <c r="BI12" s="1325">
        <v>0</v>
      </c>
    </row>
    <row customHeight="1" ht="11.25" hidden="1">
      <c r="A13" s="1533"/>
      <c r="B13" s="1533"/>
      <c r="C13" s="1533"/>
      <c r="D13" s="1533"/>
      <c r="E13" s="2429"/>
      <c r="F13" s="2429"/>
      <c r="G13" s="2429"/>
      <c r="H13" s="2429"/>
      <c r="I13" s="2456"/>
      <c r="J13" s="2426"/>
      <c r="K13" s="1533"/>
      <c r="L13" s="1534"/>
      <c r="P13" s="2427"/>
      <c r="Q13" s="2427"/>
      <c r="R13" s="526"/>
      <c r="S13" s="1448"/>
      <c r="T13" s="457" t="s">
        <v>481</v>
      </c>
      <c r="U13" s="537"/>
      <c r="V13" s="537"/>
      <c r="W13" s="537"/>
      <c r="X13" s="537"/>
      <c r="Y13" s="537"/>
      <c r="Z13" s="537"/>
      <c r="AA13" s="537"/>
      <c r="AB13" s="537"/>
      <c r="AC13" s="537"/>
      <c r="AD13" s="1675"/>
      <c r="AE13" s="537"/>
      <c r="AF13" s="537"/>
      <c r="AG13" s="537"/>
      <c r="AH13" s="537"/>
      <c r="AI13" s="537"/>
      <c r="AJ13" s="537"/>
      <c r="AK13" s="537"/>
      <c r="AL13" s="537"/>
      <c r="AM13" s="537"/>
      <c r="AN13" s="537"/>
      <c r="AO13" s="537"/>
      <c r="AP13" s="537"/>
      <c r="AQ13" s="537"/>
      <c r="AR13" s="537"/>
      <c r="AS13" s="537"/>
      <c r="AT13" s="537"/>
      <c r="AU13" s="537"/>
      <c r="AV13" s="537"/>
      <c r="AW13" s="537"/>
      <c r="AX13" s="537"/>
      <c r="AY13" s="537"/>
      <c r="AZ13" s="537"/>
      <c r="BA13" s="537"/>
      <c r="BB13" s="494"/>
      <c r="BC13" s="2425"/>
      <c r="BE13" s="670"/>
      <c r="BF13" s="670" t="str">
        <f>IF(T13="","",T13)</f>
        <v>Добавить строку</v>
      </c>
      <c r="BG13" s="670"/>
      <c r="BH13" s="670"/>
      <c r="BI13" s="1325">
        <v>0</v>
      </c>
    </row>
    <row s="11993" customFormat="1" customHeight="1" ht="14.25" hidden="1">
      <c r="A14" s="1513"/>
      <c r="B14" s="1513"/>
      <c r="C14" s="1513"/>
      <c r="D14" s="1513"/>
      <c r="E14" s="2429"/>
      <c r="F14" s="2429"/>
      <c r="G14" s="2429"/>
      <c r="H14" s="2429"/>
      <c r="I14" s="2426"/>
      <c r="J14" s="1513"/>
      <c r="K14" s="1513"/>
      <c r="L14" s="1516"/>
      <c r="M14" s="680"/>
      <c r="N14" s="680"/>
      <c r="O14" s="680"/>
      <c r="P14" s="2427"/>
      <c r="Q14" s="1651"/>
      <c r="R14" s="526"/>
      <c r="S14" s="1556"/>
      <c r="T14" s="1557"/>
      <c r="U14" s="1558"/>
      <c r="V14" s="1558"/>
      <c r="W14" s="1558"/>
      <c r="X14" s="1558"/>
      <c r="Y14" s="1558"/>
      <c r="Z14" s="1558"/>
      <c r="AA14" s="1558"/>
      <c r="AB14" s="1558"/>
      <c r="AC14" s="1558"/>
      <c r="AD14" s="1558"/>
      <c r="AE14" s="1558"/>
      <c r="AF14" s="1558"/>
      <c r="AG14" s="1558"/>
      <c r="AH14" s="1558"/>
      <c r="AI14" s="1558"/>
      <c r="AJ14" s="1558"/>
      <c r="AK14" s="1558"/>
      <c r="AL14" s="1558"/>
      <c r="AM14" s="1558"/>
      <c r="AN14" s="1558"/>
      <c r="AO14" s="1558"/>
      <c r="AP14" s="1558"/>
      <c r="AQ14" s="1558"/>
      <c r="AR14" s="1558"/>
      <c r="AS14" s="1558"/>
      <c r="AT14" s="1558"/>
      <c r="AU14" s="1558"/>
      <c r="AV14" s="1558"/>
      <c r="AW14" s="1558"/>
      <c r="AX14" s="1558"/>
      <c r="AY14" s="1558"/>
      <c r="AZ14" s="1558"/>
      <c r="BA14" s="1558"/>
      <c r="BB14" s="1558"/>
      <c r="BC14" s="1559"/>
      <c r="BE14" s="670"/>
      <c r="BF14" s="670" t="str">
        <f>IF(T14="","",T14)</f>
        <v/>
      </c>
      <c r="BG14" s="670"/>
      <c r="BH14" s="670"/>
      <c r="BI14" s="681">
        <v>0</v>
      </c>
    </row>
    <row s="11993" customFormat="1" customHeight="1" ht="14.25" hidden="1">
      <c r="A15" s="1513"/>
      <c r="B15" s="1513"/>
      <c r="C15" s="1513"/>
      <c r="D15" s="1513"/>
      <c r="E15" s="2429"/>
      <c r="F15" s="2429"/>
      <c r="G15" s="2429"/>
      <c r="H15" s="2428"/>
      <c r="I15" s="1513"/>
      <c r="J15" s="1513"/>
      <c r="K15" s="1513"/>
      <c r="L15" s="1516"/>
      <c r="M15" s="1485"/>
      <c r="N15" s="1485"/>
      <c r="O15" s="688"/>
      <c r="P15" s="550"/>
      <c r="Q15" s="1514"/>
      <c r="R15" s="1571"/>
      <c r="S15" s="1556"/>
      <c r="T15" s="1557"/>
      <c r="U15" s="1558"/>
      <c r="V15" s="1558"/>
      <c r="W15" s="1558"/>
      <c r="X15" s="1558"/>
      <c r="Y15" s="1558"/>
      <c r="Z15" s="1558"/>
      <c r="AA15" s="1558"/>
      <c r="AB15" s="1558"/>
      <c r="AC15" s="1558"/>
      <c r="AD15" s="1558"/>
      <c r="AE15" s="1558"/>
      <c r="AF15" s="1558"/>
      <c r="AG15" s="1558"/>
      <c r="AH15" s="1558"/>
      <c r="AI15" s="1558"/>
      <c r="AJ15" s="1558"/>
      <c r="AK15" s="1558"/>
      <c r="AL15" s="1558"/>
      <c r="AM15" s="1558"/>
      <c r="AN15" s="1558"/>
      <c r="AO15" s="1558"/>
      <c r="AP15" s="1558"/>
      <c r="AQ15" s="1558"/>
      <c r="AR15" s="1558"/>
      <c r="AS15" s="1558"/>
      <c r="AT15" s="1558"/>
      <c r="AU15" s="1558"/>
      <c r="AV15" s="1558"/>
      <c r="AW15" s="1558"/>
      <c r="AX15" s="1558"/>
      <c r="AY15" s="1558"/>
      <c r="AZ15" s="1558"/>
      <c r="BA15" s="1558"/>
      <c r="BB15" s="1558"/>
      <c r="BC15" s="1559"/>
      <c r="BE15" s="670"/>
      <c r="BF15" s="670" t="str">
        <f>IF(T15="","",T15)</f>
        <v/>
      </c>
      <c r="BG15" s="670"/>
      <c r="BH15" s="670"/>
      <c r="BI15" s="681">
        <v>0</v>
      </c>
    </row>
    <row s="11993" customFormat="1" customHeight="1" ht="14.25" hidden="1">
      <c r="A16" s="1513"/>
      <c r="B16" s="1513"/>
      <c r="C16" s="1513"/>
      <c r="D16" s="1484"/>
      <c r="E16" s="2429"/>
      <c r="F16" s="2429"/>
      <c r="G16" s="2428"/>
      <c r="H16" s="1484"/>
      <c r="I16" s="1484"/>
      <c r="J16" s="1484"/>
      <c r="K16" s="1484"/>
      <c r="L16" s="1664"/>
      <c r="M16" s="1485"/>
      <c r="N16" s="1485"/>
      <c r="P16" s="1486"/>
      <c r="Q16" s="1487"/>
      <c r="R16" s="1486"/>
      <c r="S16" s="1492"/>
      <c r="T16" s="1495"/>
      <c r="U16" s="1494"/>
      <c r="V16" s="1494"/>
      <c r="W16" s="1494"/>
      <c r="X16" s="1494"/>
      <c r="Y16" s="1494"/>
      <c r="Z16" s="1494"/>
      <c r="AA16" s="1494"/>
      <c r="AB16" s="1494"/>
      <c r="AC16" s="1494"/>
      <c r="AD16" s="1494"/>
      <c r="AE16" s="1494"/>
      <c r="AF16" s="1494"/>
      <c r="AG16" s="1494"/>
      <c r="AH16" s="1494"/>
      <c r="AI16" s="1494"/>
      <c r="AJ16" s="1494"/>
      <c r="AK16" s="1494"/>
      <c r="AL16" s="1494"/>
      <c r="AM16" s="1494"/>
      <c r="AN16" s="1494"/>
      <c r="AO16" s="1494"/>
      <c r="AP16" s="1494"/>
      <c r="AQ16" s="1494"/>
      <c r="AR16" s="1494"/>
      <c r="AS16" s="1494"/>
      <c r="AT16" s="1494"/>
      <c r="AU16" s="1494"/>
      <c r="AV16" s="1494"/>
      <c r="AW16" s="1494"/>
      <c r="AX16" s="1494"/>
      <c r="AY16" s="1494"/>
      <c r="AZ16" s="1494"/>
      <c r="BA16" s="1494"/>
      <c r="BB16" s="1494"/>
      <c r="BC16" s="1494"/>
      <c r="BE16" s="959"/>
      <c r="BF16" s="959" t="str">
        <f>IF(T16="","",T16)</f>
        <v/>
      </c>
      <c r="BG16" s="959"/>
      <c r="BH16" s="959"/>
      <c r="BI16" s="688">
        <v>0</v>
      </c>
    </row>
    <row s="11993" customFormat="1" customHeight="1" ht="14.25" hidden="1">
      <c r="A17" s="1513"/>
      <c r="B17" s="1513"/>
      <c r="C17" s="1484"/>
      <c r="D17" s="1484"/>
      <c r="E17" s="2429"/>
      <c r="F17" s="2428"/>
      <c r="G17" s="1484"/>
      <c r="H17" s="1484"/>
      <c r="I17" s="1484"/>
      <c r="J17" s="1484"/>
      <c r="K17" s="1484"/>
      <c r="L17" s="1664"/>
      <c r="M17" s="1491"/>
      <c r="N17" s="1491"/>
      <c r="P17" s="1486"/>
      <c r="Q17" s="1487"/>
      <c r="R17" s="1486"/>
      <c r="S17" s="1492"/>
      <c r="T17" s="1495" t="s">
        <v>166</v>
      </c>
      <c r="U17" s="1494"/>
      <c r="V17" s="1494"/>
      <c r="W17" s="1494"/>
      <c r="X17" s="1494"/>
      <c r="Y17" s="1494"/>
      <c r="Z17" s="1494"/>
      <c r="AA17" s="1494"/>
      <c r="AB17" s="1494"/>
      <c r="AC17" s="1494"/>
      <c r="AD17" s="1494"/>
      <c r="AE17" s="1494"/>
      <c r="AF17" s="1494"/>
      <c r="AG17" s="1494"/>
      <c r="AH17" s="1494"/>
      <c r="AI17" s="1494"/>
      <c r="AJ17" s="1494"/>
      <c r="AK17" s="1494"/>
      <c r="AL17" s="1494"/>
      <c r="AM17" s="1494"/>
      <c r="AN17" s="1494"/>
      <c r="AO17" s="1494"/>
      <c r="AP17" s="1494"/>
      <c r="AQ17" s="1494"/>
      <c r="AR17" s="1494"/>
      <c r="AS17" s="1494"/>
      <c r="AT17" s="1494"/>
      <c r="AU17" s="1494"/>
      <c r="AV17" s="1494"/>
      <c r="AW17" s="1494"/>
      <c r="AX17" s="1494"/>
      <c r="AY17" s="1494"/>
      <c r="AZ17" s="1494"/>
      <c r="BA17" s="1494"/>
      <c r="BB17" s="1494"/>
      <c r="BC17" s="1494"/>
      <c r="BE17" s="959"/>
      <c r="BF17" s="959" t="str">
        <f>IF(T17="","",T17)</f>
        <v>Добавить централизованную систему для дифференциации</v>
      </c>
      <c r="BG17" s="959"/>
      <c r="BH17" s="959"/>
      <c r="BI17" s="688">
        <v>0</v>
      </c>
    </row>
    <row s="11993" customFormat="1" customHeight="1" ht="14.25" hidden="1">
      <c r="A18" s="1513"/>
      <c r="B18" s="1513"/>
      <c r="C18" s="1513"/>
      <c r="D18" s="1513"/>
      <c r="E18" s="2428"/>
      <c r="F18" s="1513"/>
      <c r="G18" s="1513"/>
      <c r="H18" s="1513"/>
      <c r="I18" s="1513"/>
      <c r="J18" s="1513"/>
      <c r="K18" s="1513"/>
      <c r="L18" s="1516"/>
      <c r="M18" s="1491"/>
      <c r="N18" s="1491"/>
      <c r="O18" s="688"/>
      <c r="P18" s="550"/>
      <c r="Q18" s="1514"/>
      <c r="R18" s="550"/>
      <c r="S18" s="1492"/>
      <c r="T18" s="1495" t="s">
        <v>167</v>
      </c>
      <c r="U18" s="1494"/>
      <c r="V18" s="1494"/>
      <c r="W18" s="1494"/>
      <c r="X18" s="1494"/>
      <c r="Y18" s="1494"/>
      <c r="Z18" s="1494"/>
      <c r="AA18" s="1494"/>
      <c r="AB18" s="1494"/>
      <c r="AC18" s="1494"/>
      <c r="AD18" s="1494"/>
      <c r="AE18" s="1494"/>
      <c r="AF18" s="1494"/>
      <c r="AG18" s="1494"/>
      <c r="AH18" s="1494"/>
      <c r="AI18" s="1494"/>
      <c r="AJ18" s="1494"/>
      <c r="AK18" s="1494"/>
      <c r="AL18" s="1494"/>
      <c r="AM18" s="1494"/>
      <c r="AN18" s="1494"/>
      <c r="AO18" s="1494"/>
      <c r="AP18" s="1494"/>
      <c r="AQ18" s="1494"/>
      <c r="AR18" s="1494"/>
      <c r="AS18" s="1494"/>
      <c r="AT18" s="1494"/>
      <c r="AU18" s="1494"/>
      <c r="AV18" s="1494"/>
      <c r="AW18" s="1494"/>
      <c r="AX18" s="1494"/>
      <c r="AY18" s="1494"/>
      <c r="AZ18" s="1494"/>
      <c r="BA18" s="1494"/>
      <c r="BB18" s="1494"/>
      <c r="BC18" s="1494"/>
      <c r="BE18" s="670"/>
      <c r="BF18" s="670" t="str">
        <f>IF(T18="","",T18)</f>
        <v>Добавить территорию для дифференциации</v>
      </c>
      <c r="BG18" s="670"/>
      <c r="BH18" s="670"/>
      <c r="BI18" s="681">
        <v>0</v>
      </c>
    </row>
    <row customHeight="1" ht="14.25" hidden="1">
      <c r="AC19" s="497"/>
      <c r="BA19" s="497"/>
      <c r="BI19" s="1325">
        <v>0</v>
      </c>
    </row>
    <row customHeight="1" ht="14.25" hidden="1">
      <c r="AD20" s="1494" t="s">
        <v>19</v>
      </c>
      <c r="AE20" s="1671"/>
      <c r="AF20" s="718">
        <v>1</v>
      </c>
      <c r="AG20" s="1672"/>
      <c r="AH20" s="1494" t="s">
        <v>19</v>
      </c>
      <c r="AI20" s="1671"/>
      <c r="AJ20" s="718">
        <v>1</v>
      </c>
      <c r="AK20" s="1672"/>
      <c r="AL20" s="1494" t="s">
        <v>19</v>
      </c>
      <c r="AM20" s="1673"/>
      <c r="AN20" s="718">
        <v>1</v>
      </c>
      <c r="AO20" s="1674"/>
      <c r="AP20" s="1494" t="s">
        <v>19</v>
      </c>
      <c r="AQ20" s="1673"/>
      <c r="AR20" s="718">
        <v>1</v>
      </c>
      <c r="AS20" s="1674"/>
      <c r="AT20" s="495"/>
      <c r="AU20" s="554"/>
      <c r="AV20" s="495"/>
      <c r="AW20" s="554"/>
      <c r="AX20" s="1906"/>
      <c r="AY20" s="1655" t="s">
        <v>64</v>
      </c>
      <c r="AZ20" s="1906"/>
      <c r="BA20" s="1655" t="s">
        <v>64</v>
      </c>
      <c r="BI20" s="1325">
        <v>0</v>
      </c>
    </row>
    <row customHeight="1" ht="14.25" hidden="1">
      <c r="BD21" s="666"/>
      <c r="BE21" s="666"/>
      <c r="BF21" s="666"/>
      <c r="BG21" s="666"/>
      <c r="BH21" s="666"/>
      <c r="BI21" s="1325">
        <v>0</v>
      </c>
    </row>
    <row customHeight="1" ht="14.25" hidden="1">
      <c r="O22" s="1537" t="s">
        <v>426</v>
      </c>
      <c r="Z22" s="1515"/>
      <c r="AB22" s="1515"/>
      <c r="AC22" s="497"/>
      <c r="AX22" s="1515"/>
      <c r="AZ22" s="1515"/>
      <c r="BA22" s="497"/>
      <c r="BD22" s="666"/>
      <c r="BE22" s="666"/>
      <c r="BF22" s="666"/>
      <c r="BG22" s="666"/>
      <c r="BH22" s="666"/>
      <c r="BI22" s="1325">
        <v>0</v>
      </c>
    </row>
    <row customHeight="1" ht="14.25" hidden="1">
      <c r="AC23" s="497"/>
      <c r="BA23" s="497"/>
      <c r="BD23" s="666"/>
      <c r="BE23" s="666"/>
      <c r="BF23" s="666"/>
      <c r="BG23" s="666"/>
      <c r="BH23" s="666"/>
      <c r="BI23" s="1325">
        <v>0</v>
      </c>
    </row>
    <row s="14271" customFormat="1" customHeight="1" ht="14.25" hidden="1">
      <c r="M24" s="1678"/>
      <c r="N24" s="1678"/>
      <c r="O24" s="1679" t="s">
        <v>427</v>
      </c>
      <c r="P24" s="1678"/>
      <c r="Q24" s="1680"/>
      <c r="R24" s="1680"/>
      <c r="AA24" s="1677" t="s">
        <v>429</v>
      </c>
      <c r="AC24" s="1677" t="s">
        <v>430</v>
      </c>
      <c r="AD24" s="1677" t="s">
        <v>482</v>
      </c>
      <c r="AH24" s="1677" t="s">
        <v>482</v>
      </c>
      <c r="AK24" s="1677" t="s">
        <v>521</v>
      </c>
      <c r="AL24" s="1677" t="s">
        <v>482</v>
      </c>
      <c r="AP24" s="1677" t="s">
        <v>482</v>
      </c>
      <c r="AY24" s="1677" t="s">
        <v>429</v>
      </c>
      <c r="BA24" s="1677" t="s">
        <v>430</v>
      </c>
      <c r="BD24" s="1681"/>
      <c r="BE24" s="1681"/>
      <c r="BF24" s="1681"/>
      <c r="BG24" s="1681"/>
      <c r="BH24" s="1681"/>
      <c r="BI24" s="1677">
        <v>0</v>
      </c>
    </row>
    <row customHeight="1" ht="14.25" hidden="1">
      <c r="O25" s="1534"/>
      <c r="BD25" s="666"/>
      <c r="BE25" s="666"/>
      <c r="BF25" s="666"/>
      <c r="BG25" s="666"/>
      <c r="BH25" s="666"/>
      <c r="BI25" s="1325">
        <v>0</v>
      </c>
    </row>
    <row customHeight="1" ht="14.25" hidden="1">
      <c r="O26" s="1534"/>
      <c r="BD26" s="666"/>
      <c r="BE26" s="666"/>
      <c r="BF26" s="666"/>
      <c r="BG26" s="666"/>
      <c r="BH26" s="666"/>
      <c r="BI26" s="1325">
        <v>0</v>
      </c>
    </row>
    <row customHeight="1" ht="14.699999999999998">
      <c r="Q27" s="461"/>
      <c r="R27" s="546"/>
      <c r="S27" s="1445"/>
      <c r="T27" s="533"/>
      <c r="U27" s="533"/>
      <c r="V27" s="679"/>
      <c r="W27" s="679"/>
      <c r="X27" s="679"/>
      <c r="Y27" s="679"/>
      <c r="Z27" s="679"/>
      <c r="AA27" s="679"/>
      <c r="AB27" s="679"/>
      <c r="AC27" s="679"/>
      <c r="AD27" s="679"/>
      <c r="AE27" s="679"/>
      <c r="AF27" s="679"/>
      <c r="AG27" s="679"/>
      <c r="AH27" s="679"/>
      <c r="AI27" s="679"/>
      <c r="AJ27" s="679"/>
      <c r="AK27" s="679"/>
      <c r="AL27" s="679"/>
      <c r="AM27" s="679"/>
      <c r="AN27" s="679"/>
      <c r="AO27" s="679"/>
      <c r="AP27" s="679"/>
      <c r="AQ27" s="679"/>
      <c r="AR27" s="679"/>
      <c r="AS27" s="679"/>
      <c r="AT27" s="679"/>
      <c r="AU27" s="679"/>
      <c r="AV27" s="679"/>
      <c r="AW27" s="679"/>
      <c r="AX27" s="679"/>
      <c r="AY27" s="679"/>
      <c r="AZ27" s="679"/>
      <c r="BA27" s="679"/>
      <c r="BI27" s="1325">
        <v>14</v>
      </c>
    </row>
    <row customHeight="1" ht="14.699999999999998">
      <c r="Q28" s="461"/>
      <c r="R28" s="546"/>
      <c r="S28" s="2418"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418"/>
      <c r="U28" s="2418"/>
      <c r="V28" s="2418"/>
      <c r="W28" s="2418"/>
      <c r="X28" s="2418"/>
      <c r="Y28" s="2418"/>
      <c r="Z28" s="2418"/>
      <c r="AA28" s="2418"/>
      <c r="AB28" s="2418"/>
      <c r="AC28" s="2418"/>
      <c r="AD28" s="2418"/>
      <c r="AE28" s="2418"/>
      <c r="AF28" s="2418"/>
      <c r="AG28" s="2418"/>
      <c r="AH28" s="2418"/>
      <c r="AI28" s="2418"/>
      <c r="AJ28" s="2418"/>
      <c r="AK28" s="2418"/>
      <c r="AL28" s="2418"/>
      <c r="AM28" s="2418"/>
      <c r="AN28" s="2418"/>
      <c r="AO28" s="2418"/>
      <c r="AP28" s="2418"/>
      <c r="AQ28" s="2418"/>
      <c r="AR28" s="2418"/>
      <c r="AS28" s="2418"/>
      <c r="AT28" s="2418"/>
      <c r="AU28" s="2418"/>
      <c r="AV28" s="2418"/>
      <c r="AW28" s="2418"/>
      <c r="AX28" s="2418"/>
      <c r="AY28" s="2418"/>
      <c r="AZ28" s="2418"/>
      <c r="BA28" s="1413"/>
      <c r="BI28" s="1325">
        <v>14</v>
      </c>
    </row>
    <row customHeight="1" ht="14.699999999999998">
      <c r="Q29" s="461"/>
      <c r="R29" s="546"/>
      <c r="S29" s="2419" t="str">
        <f>IF(org=0,"Не определено",org)</f>
        <v>Филиал "Шатурская ГРЭС" ПАО "Юнипро"</v>
      </c>
      <c r="T29" s="2419"/>
      <c r="U29" s="2419"/>
      <c r="V29" s="2419"/>
      <c r="W29" s="2419"/>
      <c r="X29" s="2419"/>
      <c r="Y29" s="2419"/>
      <c r="Z29" s="2419"/>
      <c r="AA29" s="2419"/>
      <c r="AB29" s="2419"/>
      <c r="AC29" s="2419"/>
      <c r="AD29" s="2419"/>
      <c r="AE29" s="2419"/>
      <c r="AF29" s="2419"/>
      <c r="AG29" s="2419"/>
      <c r="AH29" s="2419"/>
      <c r="AI29" s="2419"/>
      <c r="AJ29" s="2419"/>
      <c r="AK29" s="2419"/>
      <c r="AL29" s="2419"/>
      <c r="AM29" s="2419"/>
      <c r="AN29" s="2419"/>
      <c r="AO29" s="2419"/>
      <c r="AP29" s="2419"/>
      <c r="AQ29" s="2419"/>
      <c r="AR29" s="2419"/>
      <c r="AS29" s="2419"/>
      <c r="AT29" s="2419"/>
      <c r="AU29" s="2419"/>
      <c r="AV29" s="2419"/>
      <c r="AW29" s="2419"/>
      <c r="AX29" s="2419"/>
      <c r="AY29" s="2419"/>
      <c r="AZ29" s="2419"/>
      <c r="BA29" s="1413"/>
      <c r="BI29" s="1325">
        <v>14</v>
      </c>
    </row>
    <row customHeight="1" ht="14.25">
      <c r="Q30" s="461"/>
      <c r="R30" s="546"/>
      <c r="S30" s="1445"/>
      <c r="T30" s="533"/>
      <c r="U30" s="533"/>
      <c r="V30" s="492"/>
      <c r="W30" s="492"/>
      <c r="X30" s="492"/>
      <c r="Y30" s="492"/>
      <c r="Z30" s="492"/>
      <c r="AA30" s="492"/>
      <c r="AB30" s="492"/>
      <c r="AC30" s="492"/>
      <c r="AD30" s="492"/>
      <c r="AE30" s="492"/>
      <c r="AF30" s="492"/>
      <c r="AG30" s="492"/>
      <c r="AH30" s="492"/>
      <c r="AI30" s="492"/>
      <c r="AJ30" s="492"/>
      <c r="AK30" s="492"/>
      <c r="AL30" s="492"/>
      <c r="AM30" s="492"/>
      <c r="AN30" s="492"/>
      <c r="AO30" s="492"/>
      <c r="AP30" s="492"/>
      <c r="AQ30" s="492"/>
      <c r="AR30" s="492"/>
      <c r="AS30" s="492"/>
      <c r="AT30" s="492"/>
      <c r="AU30" s="492"/>
      <c r="AV30" s="492"/>
      <c r="AW30" s="492"/>
      <c r="AX30" s="492"/>
      <c r="AY30" s="492"/>
      <c r="AZ30" s="492"/>
      <c r="BA30" s="492"/>
      <c r="BB30" s="679"/>
      <c r="BI30" s="1325">
        <v>0</v>
      </c>
    </row>
    <row s="12119" customFormat="1" customHeight="1" ht="25.5">
      <c r="A31" s="1538"/>
      <c r="B31" s="1538"/>
      <c r="C31" s="1538"/>
      <c r="D31" s="1538"/>
      <c r="E31" s="1538"/>
      <c r="F31" s="1538"/>
      <c r="G31" s="1538"/>
      <c r="H31" s="1538"/>
      <c r="I31" s="1538"/>
      <c r="J31" s="1538"/>
      <c r="K31" s="1538"/>
      <c r="L31" s="1539"/>
      <c r="M31" s="1538"/>
      <c r="N31" s="1538"/>
      <c r="O31" s="1538"/>
      <c r="P31" s="1538"/>
      <c r="Q31" s="1538"/>
      <c r="S31" s="2420" t="s">
        <v>42</v>
      </c>
      <c r="T31" s="2420"/>
      <c r="U31" s="1542"/>
      <c r="V31" s="2421" t="str">
        <f>IF(TITLE_NAME_OR_PR_CHANGE="",IF(TITLE_NAME_OR_PR="","",TITLE_NAME_OR_PR),TITLE_NAME_OR_PR_CHANGE)</f>
        <v>Комитет по ценам и тарифам Московской области</v>
      </c>
      <c r="W31" s="2421"/>
      <c r="X31" s="2421"/>
      <c r="Y31" s="2421"/>
      <c r="Z31" s="2421"/>
      <c r="AA31" s="2421"/>
      <c r="AB31" s="2421"/>
      <c r="AC31" s="496"/>
      <c r="AD31" s="2421" t="str">
        <f>IF(TITLE_NAME_OR_PR_CHANGE="",IF(TITLE_NAME_OR_PR="","",TITLE_NAME_OR_PR),TITLE_NAME_OR_PR_CHANGE)</f>
        <v>Комитет по ценам и тарифам Московской области</v>
      </c>
      <c r="AE31" s="2421"/>
      <c r="AF31" s="2421"/>
      <c r="AG31" s="2421"/>
      <c r="AH31" s="2421"/>
      <c r="AI31" s="2421"/>
      <c r="AJ31" s="2421"/>
      <c r="AK31" s="2421"/>
      <c r="AL31" s="2421"/>
      <c r="AM31" s="2421"/>
      <c r="AN31" s="2421"/>
      <c r="AO31" s="2421"/>
      <c r="AP31" s="2421"/>
      <c r="AQ31" s="2421"/>
      <c r="AR31" s="2421"/>
      <c r="AS31" s="2421"/>
      <c r="AT31" s="2421"/>
      <c r="AU31" s="2421"/>
      <c r="AV31" s="2421"/>
      <c r="AW31" s="2421"/>
      <c r="AX31" s="2421"/>
      <c r="AY31" s="2421"/>
      <c r="AZ31" s="2421"/>
      <c r="BA31" s="496"/>
      <c r="BB31" s="496"/>
      <c r="BC31" s="450"/>
      <c r="BD31" s="538"/>
      <c r="BE31" s="538"/>
      <c r="BF31" s="538"/>
      <c r="BG31" s="538"/>
      <c r="BH31" s="538"/>
      <c r="BI31" s="588">
        <v>0</v>
      </c>
    </row>
    <row s="12119" customFormat="1" customHeight="1" ht="18.75">
      <c r="A32" s="1538"/>
      <c r="B32" s="1538"/>
      <c r="C32" s="1538"/>
      <c r="D32" s="1538"/>
      <c r="E32" s="1538"/>
      <c r="F32" s="1538"/>
      <c r="G32" s="1538"/>
      <c r="H32" s="1538"/>
      <c r="I32" s="1538"/>
      <c r="J32" s="1538"/>
      <c r="K32" s="1538"/>
      <c r="L32" s="1539"/>
      <c r="M32" s="1538"/>
      <c r="N32" s="1538"/>
      <c r="O32" s="1538"/>
      <c r="P32" s="1538"/>
      <c r="Q32" s="1538"/>
      <c r="S32" s="2420" t="s">
        <v>432</v>
      </c>
      <c r="T32" s="2420"/>
      <c r="U32" s="1542"/>
      <c r="V32" s="2434" t="str">
        <f>IF(TITLE_DATE_PR_CHANGE="",IF(TITLE_DATE_PR="","",TITLE_DATE_PR),TITLE_DATE_PR_CHANGE)</f>
        <v>45646.459814814814</v>
      </c>
      <c r="W32" s="2434"/>
      <c r="X32" s="2434"/>
      <c r="Y32" s="2434"/>
      <c r="Z32" s="2434"/>
      <c r="AA32" s="2434"/>
      <c r="AB32" s="2434"/>
      <c r="AC32" s="496"/>
      <c r="AD32" s="2434" t="str">
        <f>IF(TITLE_DATE_PR_CHANGE="",IF(TITLE_DATE_PR="","",TITLE_DATE_PR),TITLE_DATE_PR_CHANGE)</f>
        <v>45646.459814814814</v>
      </c>
      <c r="AE32" s="2434"/>
      <c r="AF32" s="2434"/>
      <c r="AG32" s="2434"/>
      <c r="AH32" s="2434"/>
      <c r="AI32" s="2434"/>
      <c r="AJ32" s="2434"/>
      <c r="AK32" s="2434"/>
      <c r="AL32" s="2434"/>
      <c r="AM32" s="2434"/>
      <c r="AN32" s="2434"/>
      <c r="AO32" s="2434"/>
      <c r="AP32" s="2434"/>
      <c r="AQ32" s="2434"/>
      <c r="AR32" s="2434"/>
      <c r="AS32" s="2434"/>
      <c r="AT32" s="2434"/>
      <c r="AU32" s="2434"/>
      <c r="AV32" s="2434"/>
      <c r="AW32" s="2434"/>
      <c r="AX32" s="2434"/>
      <c r="AY32" s="2434"/>
      <c r="AZ32" s="2434"/>
      <c r="BA32" s="496"/>
      <c r="BB32" s="496"/>
      <c r="BC32" s="450"/>
      <c r="BD32" s="538"/>
      <c r="BE32" s="538"/>
      <c r="BF32" s="538"/>
      <c r="BG32" s="538"/>
      <c r="BH32" s="538"/>
      <c r="BI32" s="588">
        <v>0</v>
      </c>
    </row>
    <row s="12119" customFormat="1" customHeight="1" ht="18.75">
      <c r="A33" s="1538"/>
      <c r="B33" s="1538"/>
      <c r="C33" s="1538"/>
      <c r="D33" s="1538"/>
      <c r="E33" s="1538"/>
      <c r="F33" s="1538"/>
      <c r="G33" s="1538"/>
      <c r="H33" s="1538"/>
      <c r="I33" s="1538"/>
      <c r="J33" s="1538"/>
      <c r="K33" s="1538"/>
      <c r="L33" s="1539"/>
      <c r="M33" s="1538"/>
      <c r="N33" s="1538"/>
      <c r="O33" s="1538"/>
      <c r="P33" s="1538"/>
      <c r="Q33" s="1538"/>
      <c r="S33" s="2420" t="s">
        <v>433</v>
      </c>
      <c r="T33" s="2420"/>
      <c r="U33" s="1542"/>
      <c r="V33" s="2421" t="str">
        <f>IF(TITLE_NUMBER_PR_CHANGE="",IF(TITLE_NUMBER_PR="","",TITLE_NUMBER_PR),TITLE_NUMBER_PR_CHANGE)</f>
        <v>329-Р</v>
      </c>
      <c r="W33" s="2421"/>
      <c r="X33" s="2421"/>
      <c r="Y33" s="2421"/>
      <c r="Z33" s="2421"/>
      <c r="AA33" s="2421"/>
      <c r="AB33" s="2421"/>
      <c r="AC33" s="496"/>
      <c r="AD33" s="2421" t="str">
        <f>IF(TITLE_NUMBER_PR_CHANGE="",IF(TITLE_NUMBER_PR="","",TITLE_NUMBER_PR),TITLE_NUMBER_PR_CHANGE)</f>
        <v>329-Р</v>
      </c>
      <c r="AE33" s="2421"/>
      <c r="AF33" s="2421"/>
      <c r="AG33" s="2421"/>
      <c r="AH33" s="2421"/>
      <c r="AI33" s="2421"/>
      <c r="AJ33" s="2421"/>
      <c r="AK33" s="2421"/>
      <c r="AL33" s="2421"/>
      <c r="AM33" s="2421"/>
      <c r="AN33" s="2421"/>
      <c r="AO33" s="2421"/>
      <c r="AP33" s="2421"/>
      <c r="AQ33" s="2421"/>
      <c r="AR33" s="2421"/>
      <c r="AS33" s="2421"/>
      <c r="AT33" s="2421"/>
      <c r="AU33" s="2421"/>
      <c r="AV33" s="2421"/>
      <c r="AW33" s="2421"/>
      <c r="AX33" s="2421"/>
      <c r="AY33" s="2421"/>
      <c r="AZ33" s="2421"/>
      <c r="BA33" s="496"/>
      <c r="BB33" s="496"/>
      <c r="BC33" s="450"/>
      <c r="BD33" s="538"/>
      <c r="BE33" s="538"/>
      <c r="BF33" s="538"/>
      <c r="BG33" s="538"/>
      <c r="BH33" s="538"/>
      <c r="BI33" s="588">
        <v>0</v>
      </c>
    </row>
    <row s="12119" customFormat="1" customHeight="1" ht="18.75">
      <c r="A34" s="1538"/>
      <c r="B34" s="1538"/>
      <c r="C34" s="1538"/>
      <c r="D34" s="1538"/>
      <c r="E34" s="1538"/>
      <c r="F34" s="1538"/>
      <c r="G34" s="1538"/>
      <c r="H34" s="1538"/>
      <c r="I34" s="1538"/>
      <c r="J34" s="1538"/>
      <c r="K34" s="1538"/>
      <c r="L34" s="1539"/>
      <c r="M34" s="1538"/>
      <c r="N34" s="1538"/>
      <c r="O34" s="1538"/>
      <c r="P34" s="1538"/>
      <c r="Q34" s="1538"/>
      <c r="S34" s="2420" t="s">
        <v>44</v>
      </c>
      <c r="T34" s="2420"/>
      <c r="U34" s="1542"/>
      <c r="V34"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W34" s="2421"/>
      <c r="X34" s="2421"/>
      <c r="Y34" s="2421"/>
      <c r="Z34" s="2421"/>
      <c r="AA34" s="2421"/>
      <c r="AB34" s="2421"/>
      <c r="AC34" s="496"/>
      <c r="AD34"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AE34" s="2421"/>
      <c r="AF34" s="2421"/>
      <c r="AG34" s="2421"/>
      <c r="AH34" s="2421"/>
      <c r="AI34" s="2421"/>
      <c r="AJ34" s="2421"/>
      <c r="AK34" s="2421"/>
      <c r="AL34" s="2421"/>
      <c r="AM34" s="2421"/>
      <c r="AN34" s="2421"/>
      <c r="AO34" s="2421"/>
      <c r="AP34" s="2421"/>
      <c r="AQ34" s="2421"/>
      <c r="AR34" s="2421"/>
      <c r="AS34" s="2421"/>
      <c r="AT34" s="2421"/>
      <c r="AU34" s="2421"/>
      <c r="AV34" s="2421"/>
      <c r="AW34" s="2421"/>
      <c r="AX34" s="2421"/>
      <c r="AY34" s="2421"/>
      <c r="AZ34" s="2421"/>
      <c r="BA34" s="496"/>
      <c r="BB34" s="496"/>
      <c r="BC34" s="450"/>
      <c r="BD34" s="538"/>
      <c r="BE34" s="538"/>
      <c r="BF34" s="538"/>
      <c r="BG34" s="538"/>
      <c r="BH34" s="538"/>
      <c r="BI34" s="588">
        <v>0</v>
      </c>
    </row>
    <row customHeight="1" ht="14.25" hidden="1">
      <c r="Q35" s="461"/>
      <c r="R35" s="546"/>
      <c r="S35" s="1445"/>
      <c r="T35" s="533"/>
      <c r="U35" s="533"/>
      <c r="V35" s="492"/>
      <c r="W35" s="492"/>
      <c r="X35" s="492"/>
      <c r="Y35" s="492"/>
      <c r="Z35" s="492"/>
      <c r="AA35" s="492"/>
      <c r="AB35" s="492"/>
      <c r="AC35" s="492"/>
      <c r="AD35" s="492"/>
      <c r="AE35" s="492"/>
      <c r="AF35" s="492"/>
      <c r="AG35" s="492"/>
      <c r="AH35" s="492"/>
      <c r="AI35" s="492"/>
      <c r="AJ35" s="492"/>
      <c r="AK35" s="492"/>
      <c r="AL35" s="492"/>
      <c r="AM35" s="492"/>
      <c r="AN35" s="492"/>
      <c r="AO35" s="492"/>
      <c r="AP35" s="492"/>
      <c r="AQ35" s="492"/>
      <c r="AR35" s="492"/>
      <c r="AS35" s="492"/>
      <c r="AT35" s="492"/>
      <c r="AU35" s="492"/>
      <c r="AV35" s="492"/>
      <c r="AW35" s="492"/>
      <c r="AX35" s="492"/>
      <c r="AY35" s="492"/>
      <c r="AZ35" s="492"/>
      <c r="BA35" s="492"/>
      <c r="BB35" s="679"/>
      <c r="BI35" s="1325">
        <v>0</v>
      </c>
    </row>
    <row s="12119" customFormat="1" customHeight="1" ht="18.75" hidden="1">
      <c r="A36" s="1538"/>
      <c r="B36" s="1538"/>
      <c r="C36" s="1538"/>
      <c r="D36" s="1538"/>
      <c r="E36" s="1538"/>
      <c r="F36" s="1538"/>
      <c r="G36" s="1538"/>
      <c r="H36" s="1538"/>
      <c r="I36" s="1538"/>
      <c r="J36" s="1538"/>
      <c r="K36" s="1538"/>
      <c r="L36" s="1539"/>
      <c r="M36" s="1538"/>
      <c r="N36" s="1538"/>
      <c r="O36" s="1538"/>
      <c r="P36" s="1538"/>
      <c r="Q36" s="1538"/>
      <c r="S36" s="2420" t="s">
        <v>432</v>
      </c>
      <c r="T36" s="2420"/>
      <c r="U36" s="1542"/>
      <c r="V36" s="2434" t="str">
        <f>IF(TITLE_DATE_PR_CHANGE="",IF(TITLE_DATE_PR="","",TITLE_DATE_PR),TITLE_DATE_PR_CHANGE)</f>
        <v>45646.459814814814</v>
      </c>
      <c r="W36" s="2434"/>
      <c r="X36" s="2434"/>
      <c r="Y36" s="2434"/>
      <c r="Z36" s="2434"/>
      <c r="AA36" s="2434"/>
      <c r="AB36" s="2434"/>
      <c r="AC36" s="496"/>
      <c r="AD36" s="2434" t="str">
        <f>IF(TITLE_DATE_PR_CHANGE="",IF(TITLE_DATE_PR="","",TITLE_DATE_PR),TITLE_DATE_PR_CHANGE)</f>
        <v>45646.459814814814</v>
      </c>
      <c r="AE36" s="2434"/>
      <c r="AF36" s="2434"/>
      <c r="AG36" s="2434"/>
      <c r="AH36" s="2434"/>
      <c r="AI36" s="2434"/>
      <c r="AJ36" s="2434"/>
      <c r="AK36" s="2434"/>
      <c r="AL36" s="2434"/>
      <c r="AM36" s="2434"/>
      <c r="AN36" s="2434"/>
      <c r="AO36" s="2434"/>
      <c r="AP36" s="2434"/>
      <c r="AQ36" s="2434"/>
      <c r="AR36" s="2434"/>
      <c r="AS36" s="2434"/>
      <c r="AT36" s="2434"/>
      <c r="AU36" s="2434"/>
      <c r="AV36" s="2434"/>
      <c r="AW36" s="2434"/>
      <c r="AX36" s="2434"/>
      <c r="AY36" s="2434"/>
      <c r="AZ36" s="2434"/>
      <c r="BA36" s="496"/>
      <c r="BB36" s="496"/>
      <c r="BC36" s="450"/>
      <c r="BD36" s="538"/>
      <c r="BE36" s="538"/>
      <c r="BF36" s="538"/>
      <c r="BG36" s="538"/>
      <c r="BH36" s="538"/>
      <c r="BI36" s="588">
        <v>0</v>
      </c>
    </row>
    <row s="12119" customFormat="1" customHeight="1" ht="18.75" hidden="1">
      <c r="A37" s="1538"/>
      <c r="B37" s="1538"/>
      <c r="C37" s="1538"/>
      <c r="D37" s="1538"/>
      <c r="E37" s="1538"/>
      <c r="F37" s="1538"/>
      <c r="G37" s="1538"/>
      <c r="H37" s="1538"/>
      <c r="I37" s="1538"/>
      <c r="J37" s="1538"/>
      <c r="K37" s="1538"/>
      <c r="L37" s="1539"/>
      <c r="M37" s="1538"/>
      <c r="N37" s="1538"/>
      <c r="O37" s="1538"/>
      <c r="P37" s="1538"/>
      <c r="Q37" s="1538"/>
      <c r="S37" s="2420" t="s">
        <v>433</v>
      </c>
      <c r="T37" s="2420"/>
      <c r="U37" s="1542"/>
      <c r="V37" s="2421" t="str">
        <f>IF(TITLE_NUMBER_PR_CHANGE="",IF(TITLE_NUMBER_PR="","",TITLE_NUMBER_PR),TITLE_NUMBER_PR_CHANGE)</f>
        <v>329-Р</v>
      </c>
      <c r="W37" s="2421"/>
      <c r="X37" s="2421"/>
      <c r="Y37" s="2421"/>
      <c r="Z37" s="2421"/>
      <c r="AA37" s="2421"/>
      <c r="AB37" s="2421"/>
      <c r="AC37" s="496"/>
      <c r="AD37" s="2421" t="str">
        <f>IF(TITLE_NUMBER_PR_CHANGE="",IF(TITLE_NUMBER_PR="","",TITLE_NUMBER_PR),TITLE_NUMBER_PR_CHANGE)</f>
        <v>329-Р</v>
      </c>
      <c r="AE37" s="2421"/>
      <c r="AF37" s="2421"/>
      <c r="AG37" s="2421"/>
      <c r="AH37" s="2421"/>
      <c r="AI37" s="2421"/>
      <c r="AJ37" s="2421"/>
      <c r="AK37" s="2421"/>
      <c r="AL37" s="2421"/>
      <c r="AM37" s="2421"/>
      <c r="AN37" s="2421"/>
      <c r="AO37" s="2421"/>
      <c r="AP37" s="2421"/>
      <c r="AQ37" s="2421"/>
      <c r="AR37" s="2421"/>
      <c r="AS37" s="2421"/>
      <c r="AT37" s="2421"/>
      <c r="AU37" s="2421"/>
      <c r="AV37" s="2421"/>
      <c r="AW37" s="2421"/>
      <c r="AX37" s="2421"/>
      <c r="AY37" s="2421"/>
      <c r="AZ37" s="2421"/>
      <c r="BA37" s="496"/>
      <c r="BB37" s="496"/>
      <c r="BC37" s="450"/>
      <c r="BD37" s="538"/>
      <c r="BE37" s="538"/>
      <c r="BF37" s="538"/>
      <c r="BG37" s="538"/>
      <c r="BH37" s="538"/>
      <c r="BI37" s="588">
        <v>0</v>
      </c>
    </row>
    <row s="12119" customFormat="1" customHeight="1" ht="0">
      <c r="A38" s="1538"/>
      <c r="B38" s="1538"/>
      <c r="C38" s="1538"/>
      <c r="D38" s="1538"/>
      <c r="E38" s="1538"/>
      <c r="F38" s="1538"/>
      <c r="G38" s="1538"/>
      <c r="H38" s="1538"/>
      <c r="I38" s="1538"/>
      <c r="J38" s="1538"/>
      <c r="K38" s="1538"/>
      <c r="L38" s="1539"/>
      <c r="M38" s="1538"/>
      <c r="N38" s="1538"/>
      <c r="O38" s="1538"/>
      <c r="P38" s="1538"/>
      <c r="Q38" s="1538"/>
      <c r="S38" s="493"/>
      <c r="T38" s="493"/>
      <c r="U38" s="1658"/>
      <c r="V38" s="496"/>
      <c r="W38" s="496"/>
      <c r="X38" s="496"/>
      <c r="Y38" s="496"/>
      <c r="Z38" s="496"/>
      <c r="AA38" s="496"/>
      <c r="AB38" s="496"/>
      <c r="AC38" s="448" t="s">
        <v>436</v>
      </c>
      <c r="AD38" s="496"/>
      <c r="AE38" s="496"/>
      <c r="AF38" s="496"/>
      <c r="AG38" s="496"/>
      <c r="AH38" s="496"/>
      <c r="AI38" s="496"/>
      <c r="AJ38" s="496"/>
      <c r="AK38" s="496"/>
      <c r="AL38" s="496"/>
      <c r="AM38" s="496"/>
      <c r="AN38" s="496"/>
      <c r="AO38" s="496"/>
      <c r="AP38" s="496"/>
      <c r="AQ38" s="496"/>
      <c r="AR38" s="496"/>
      <c r="AS38" s="496"/>
      <c r="AT38" s="496"/>
      <c r="AU38" s="496"/>
      <c r="AV38" s="496"/>
      <c r="AW38" s="496"/>
      <c r="AX38" s="496"/>
      <c r="AY38" s="496"/>
      <c r="AZ38" s="496"/>
      <c r="BA38" s="448" t="s">
        <v>436</v>
      </c>
      <c r="BD38" s="538"/>
      <c r="BE38" s="538"/>
      <c r="BF38" s="538"/>
      <c r="BG38" s="538"/>
      <c r="BH38" s="538"/>
      <c r="BI38" s="588">
        <v>0</v>
      </c>
    </row>
    <row customHeight="1" ht="14.699999999999998">
      <c r="Q39" s="461"/>
      <c r="R39" s="546"/>
      <c r="S39" s="1445"/>
      <c r="T39" s="533"/>
      <c r="U39" s="1414"/>
      <c r="V39" s="2422"/>
      <c r="W39" s="2422"/>
      <c r="X39" s="2422"/>
      <c r="Y39" s="2422"/>
      <c r="Z39" s="2422"/>
      <c r="AA39" s="2422"/>
      <c r="AB39" s="2422"/>
      <c r="AC39" s="2422"/>
      <c r="AD39" s="2422"/>
      <c r="AE39" s="2422"/>
      <c r="AF39" s="2422"/>
      <c r="AG39" s="2422"/>
      <c r="AH39" s="2422"/>
      <c r="AI39" s="2422"/>
      <c r="AJ39" s="2422"/>
      <c r="AK39" s="2422"/>
      <c r="AL39" s="2422"/>
      <c r="AM39" s="2422"/>
      <c r="AN39" s="2422"/>
      <c r="AO39" s="2422"/>
      <c r="AP39" s="2422"/>
      <c r="AQ39" s="2422"/>
      <c r="AR39" s="2422"/>
      <c r="AS39" s="2422"/>
      <c r="AT39" s="2422"/>
      <c r="AU39" s="2422"/>
      <c r="AV39" s="2422"/>
      <c r="AW39" s="2422"/>
      <c r="AX39" s="2422"/>
      <c r="AY39" s="2422"/>
      <c r="AZ39" s="2422"/>
      <c r="BA39" s="2422"/>
      <c r="BI39" s="1325">
        <v>14</v>
      </c>
    </row>
    <row customHeight="1" ht="14.699999999999998">
      <c r="Q40" s="461"/>
      <c r="R40" s="546"/>
      <c r="S40" s="2297" t="s">
        <v>312</v>
      </c>
      <c r="T40" s="2297"/>
      <c r="U40" s="2297"/>
      <c r="V40" s="2297"/>
      <c r="W40" s="2297"/>
      <c r="X40" s="2297"/>
      <c r="Y40" s="2297"/>
      <c r="Z40" s="2297"/>
      <c r="AA40" s="2297"/>
      <c r="AB40" s="2297"/>
      <c r="AC40" s="2297"/>
      <c r="AD40" s="2297"/>
      <c r="AE40" s="2297"/>
      <c r="AF40" s="2297"/>
      <c r="AG40" s="2297"/>
      <c r="AH40" s="2297"/>
      <c r="AI40" s="2297"/>
      <c r="AJ40" s="2297"/>
      <c r="AK40" s="2297"/>
      <c r="AL40" s="2297"/>
      <c r="AM40" s="2297"/>
      <c r="AN40" s="2297"/>
      <c r="AO40" s="2297"/>
      <c r="AP40" s="2297"/>
      <c r="AQ40" s="2297"/>
      <c r="AR40" s="2297"/>
      <c r="AS40" s="2297"/>
      <c r="AT40" s="2297"/>
      <c r="AU40" s="2297"/>
      <c r="AV40" s="2297"/>
      <c r="AW40" s="2297"/>
      <c r="AX40" s="2297"/>
      <c r="AY40" s="2297"/>
      <c r="AZ40" s="2297"/>
      <c r="BA40" s="2297"/>
      <c r="BB40" s="2297"/>
      <c r="BC40" s="2297" t="s">
        <v>313</v>
      </c>
      <c r="BI40" s="1325">
        <v>14</v>
      </c>
    </row>
    <row customHeight="1" ht="14.699999999999998">
      <c r="Q41" s="461"/>
      <c r="R41" s="546"/>
      <c r="S41" s="2443" t="s">
        <v>91</v>
      </c>
      <c r="T41" s="2379" t="s">
        <v>522</v>
      </c>
      <c r="U41" s="471"/>
      <c r="V41" s="2444" t="s">
        <v>439</v>
      </c>
      <c r="W41" s="2445"/>
      <c r="X41" s="2445"/>
      <c r="Y41" s="2445"/>
      <c r="Z41" s="2445"/>
      <c r="AA41" s="2445"/>
      <c r="AB41" s="2446"/>
      <c r="AC41" s="2447" t="s">
        <v>440</v>
      </c>
      <c r="AD41" s="2498" t="s">
        <v>523</v>
      </c>
      <c r="AE41" s="2461"/>
      <c r="AF41" s="2461"/>
      <c r="AG41" s="2499"/>
      <c r="AH41" s="2498" t="s">
        <v>524</v>
      </c>
      <c r="AI41" s="2461"/>
      <c r="AJ41" s="2461"/>
      <c r="AK41" s="2499"/>
      <c r="AL41" s="2498" t="s">
        <v>525</v>
      </c>
      <c r="AM41" s="2461"/>
      <c r="AN41" s="2461"/>
      <c r="AO41" s="2499"/>
      <c r="AP41" s="2498" t="s">
        <v>526</v>
      </c>
      <c r="AQ41" s="2461"/>
      <c r="AR41" s="2461"/>
      <c r="AS41" s="2499"/>
      <c r="AT41" s="2444" t="s">
        <v>439</v>
      </c>
      <c r="AU41" s="2445"/>
      <c r="AV41" s="2445"/>
      <c r="AW41" s="2445"/>
      <c r="AX41" s="2445"/>
      <c r="AY41" s="2445"/>
      <c r="AZ41" s="2446"/>
      <c r="BA41" s="2447" t="s">
        <v>440</v>
      </c>
      <c r="BB41" s="2450" t="s">
        <v>442</v>
      </c>
      <c r="BC41" s="2297"/>
      <c r="BI41" s="1325">
        <v>14</v>
      </c>
    </row>
    <row customHeight="1" ht="35.699999999999996">
      <c r="Q42" s="461"/>
      <c r="R42" s="546"/>
      <c r="S42" s="2443"/>
      <c r="T42" s="2379"/>
      <c r="U42" s="1201"/>
      <c r="V42" s="2362" t="s">
        <v>527</v>
      </c>
      <c r="W42" s="2363"/>
      <c r="X42" s="2362" t="s">
        <v>528</v>
      </c>
      <c r="Y42" s="2363"/>
      <c r="Z42" s="2464" t="s">
        <v>529</v>
      </c>
      <c r="AA42" s="2483"/>
      <c r="AB42" s="2484"/>
      <c r="AC42" s="2448"/>
      <c r="AD42" s="2500"/>
      <c r="AE42" s="2501"/>
      <c r="AF42" s="2501"/>
      <c r="AG42" s="2502"/>
      <c r="AH42" s="2500"/>
      <c r="AI42" s="2501"/>
      <c r="AJ42" s="2501"/>
      <c r="AK42" s="2502"/>
      <c r="AL42" s="2500"/>
      <c r="AM42" s="2501"/>
      <c r="AN42" s="2501"/>
      <c r="AO42" s="2502"/>
      <c r="AP42" s="2500"/>
      <c r="AQ42" s="2501"/>
      <c r="AR42" s="2501"/>
      <c r="AS42" s="2502"/>
      <c r="AT42" s="2362" t="s">
        <v>527</v>
      </c>
      <c r="AU42" s="2363"/>
      <c r="AV42" s="2362" t="s">
        <v>528</v>
      </c>
      <c r="AW42" s="2363"/>
      <c r="AX42" s="2464" t="s">
        <v>529</v>
      </c>
      <c r="AY42" s="2483"/>
      <c r="AZ42" s="2484"/>
      <c r="BA42" s="2448"/>
      <c r="BB42" s="2451"/>
      <c r="BC42" s="2297"/>
      <c r="BI42" s="1325">
        <v>34</v>
      </c>
    </row>
    <row customHeight="1" ht="14.699999999999998">
      <c r="Q43" s="461"/>
      <c r="R43" s="546"/>
      <c r="S43" s="2443"/>
      <c r="T43" s="2379"/>
      <c r="U43" s="1201"/>
      <c r="V43" s="2370"/>
      <c r="W43" s="2371"/>
      <c r="X43" s="2370"/>
      <c r="Y43" s="2371"/>
      <c r="Z43" s="2465"/>
      <c r="AA43" s="2485"/>
      <c r="AB43" s="2486"/>
      <c r="AC43" s="2448"/>
      <c r="AD43" s="2500"/>
      <c r="AE43" s="2501"/>
      <c r="AF43" s="2501"/>
      <c r="AG43" s="2502"/>
      <c r="AH43" s="2500"/>
      <c r="AI43" s="2501"/>
      <c r="AJ43" s="2501"/>
      <c r="AK43" s="2502"/>
      <c r="AL43" s="2500"/>
      <c r="AM43" s="2501"/>
      <c r="AN43" s="2501"/>
      <c r="AO43" s="2502"/>
      <c r="AP43" s="2500"/>
      <c r="AQ43" s="2501"/>
      <c r="AR43" s="2501"/>
      <c r="AS43" s="2502"/>
      <c r="AT43" s="2370"/>
      <c r="AU43" s="2371"/>
      <c r="AV43" s="2370"/>
      <c r="AW43" s="2371"/>
      <c r="AX43" s="2465"/>
      <c r="AY43" s="2485"/>
      <c r="AZ43" s="2486"/>
      <c r="BA43" s="2448"/>
      <c r="BB43" s="2451"/>
      <c r="BC43" s="2297"/>
      <c r="BI43" s="1325">
        <v>14</v>
      </c>
    </row>
    <row customHeight="1" ht="14.699999999999998">
      <c r="A44" s="1540"/>
      <c r="B44" s="1540" t="s">
        <v>138</v>
      </c>
      <c r="C44" s="1540" t="s">
        <v>139</v>
      </c>
      <c r="D44" s="1540" t="s">
        <v>140</v>
      </c>
      <c r="E44" s="1534" t="s">
        <v>447</v>
      </c>
      <c r="F44" s="1534" t="s">
        <v>448</v>
      </c>
      <c r="G44" s="1534" t="s">
        <v>449</v>
      </c>
      <c r="H44" s="1534" t="s">
        <v>450</v>
      </c>
      <c r="I44" s="1534" t="s">
        <v>451</v>
      </c>
      <c r="J44" s="1534" t="s">
        <v>452</v>
      </c>
      <c r="K44" s="1534" t="s">
        <v>453</v>
      </c>
      <c r="L44" s="1534" t="s">
        <v>427</v>
      </c>
      <c r="Q44" s="461"/>
      <c r="R44" s="546"/>
      <c r="S44" s="2443"/>
      <c r="T44" s="2379"/>
      <c r="U44" s="472"/>
      <c r="V44" s="1649" t="s">
        <v>492</v>
      </c>
      <c r="W44" s="1649" t="s">
        <v>493</v>
      </c>
      <c r="X44" s="1649" t="s">
        <v>492</v>
      </c>
      <c r="Y44" s="1649" t="s">
        <v>493</v>
      </c>
      <c r="Z44" s="1659" t="s">
        <v>456</v>
      </c>
      <c r="AA44" s="2440" t="s">
        <v>457</v>
      </c>
      <c r="AB44" s="2441"/>
      <c r="AC44" s="2449"/>
      <c r="AD44" s="2503"/>
      <c r="AE44" s="2504"/>
      <c r="AF44" s="2504"/>
      <c r="AG44" s="2505"/>
      <c r="AH44" s="2503"/>
      <c r="AI44" s="2504"/>
      <c r="AJ44" s="2504"/>
      <c r="AK44" s="2505"/>
      <c r="AL44" s="2503"/>
      <c r="AM44" s="2504"/>
      <c r="AN44" s="2504"/>
      <c r="AO44" s="2505"/>
      <c r="AP44" s="2503"/>
      <c r="AQ44" s="2504"/>
      <c r="AR44" s="2504"/>
      <c r="AS44" s="2505"/>
      <c r="AT44" s="1649" t="s">
        <v>492</v>
      </c>
      <c r="AU44" s="1649" t="s">
        <v>493</v>
      </c>
      <c r="AV44" s="1649" t="s">
        <v>492</v>
      </c>
      <c r="AW44" s="1649" t="s">
        <v>493</v>
      </c>
      <c r="AX44" s="1659" t="s">
        <v>456</v>
      </c>
      <c r="AY44" s="2440" t="s">
        <v>457</v>
      </c>
      <c r="AZ44" s="2441"/>
      <c r="BA44" s="2449"/>
      <c r="BB44" s="2452"/>
      <c r="BC44" s="2297"/>
      <c r="BI44" s="1325">
        <v>14</v>
      </c>
    </row>
    <row s="12668" customFormat="1" customHeight="1" ht="0">
      <c r="A45" s="1540"/>
      <c r="B45" s="1540"/>
      <c r="C45" s="1540"/>
      <c r="D45" s="1540"/>
      <c r="E45" s="1540"/>
      <c r="F45" s="1540"/>
      <c r="G45" s="1540"/>
      <c r="H45" s="1540"/>
      <c r="I45" s="1540"/>
      <c r="J45" s="1540"/>
      <c r="K45" s="1540"/>
      <c r="L45" s="1534"/>
      <c r="M45" s="1532"/>
      <c r="N45" s="1532"/>
      <c r="O45" s="1532"/>
      <c r="P45" s="680"/>
      <c r="Q45" s="1424"/>
      <c r="R45" s="1424">
        <v>1</v>
      </c>
      <c r="S45" s="1447" t="s">
        <v>112</v>
      </c>
      <c r="T45" s="1425" t="s">
        <v>113</v>
      </c>
      <c r="U45" s="1415" t="str">
        <f>OFFSET(U45,0,-1)</f>
        <v>2</v>
      </c>
      <c r="V45" s="1652">
        <f>OFFSET(V45,0,-1)+1</f>
        <v>3</v>
      </c>
      <c r="W45" s="1652">
        <f>OFFSET(W45,0,-1)+1</f>
        <v>4</v>
      </c>
      <c r="X45" s="1652">
        <f>OFFSET(X45,0,-1)+1</f>
        <v>5</v>
      </c>
      <c r="Y45" s="1652">
        <f>OFFSET(Y45,0,-1)+1</f>
        <v>6</v>
      </c>
      <c r="Z45" s="1652">
        <f>OFFSET(Z45,0,-1)+1</f>
        <v>7</v>
      </c>
      <c r="AA45" s="2442">
        <f>OFFSET(AA45,0,-1)+1</f>
        <v>8</v>
      </c>
      <c r="AB45" s="2442"/>
      <c r="AC45" s="1652">
        <f>OFFSET(AC45,0,-2)+1</f>
        <v>9</v>
      </c>
      <c r="AD45" s="1652">
        <f>OFFSET(AD45,0,-1)+1</f>
        <v>10</v>
      </c>
      <c r="AE45" s="1652"/>
      <c r="AF45" s="1652"/>
      <c r="AG45" s="1652"/>
      <c r="AH45" s="1652"/>
      <c r="AI45" s="1652"/>
      <c r="AJ45" s="1652"/>
      <c r="AK45" s="1652"/>
      <c r="AL45" s="1652"/>
      <c r="AM45" s="1652"/>
      <c r="AN45" s="1652"/>
      <c r="AO45" s="1652"/>
      <c r="AP45" s="1652"/>
      <c r="AQ45" s="1652"/>
      <c r="AR45" s="1652"/>
      <c r="AS45" s="1652"/>
      <c r="AT45" s="1652"/>
      <c r="AU45" s="1652"/>
      <c r="AV45" s="1652"/>
      <c r="AW45" s="1652">
        <f>OFFSET(AW45,0,-1)+1</f>
        <v>1</v>
      </c>
      <c r="AX45" s="1652">
        <f>OFFSET(AX45,0,-1)+1</f>
        <v>2</v>
      </c>
      <c r="AY45" s="2442">
        <f>OFFSET(AY45,0,-1)+1</f>
        <v>3</v>
      </c>
      <c r="AZ45" s="2442"/>
      <c r="BA45" s="1652">
        <f>OFFSET(BA45,0,-2)+1</f>
        <v>4</v>
      </c>
      <c r="BB45" s="1415">
        <f>OFFSET(BB45,0,-1)</f>
        <v>4</v>
      </c>
      <c r="BC45" s="1652">
        <f>OFFSET(BC45,0,-1)+1</f>
        <v>5</v>
      </c>
      <c r="BD45" s="681"/>
      <c r="BE45" s="681"/>
      <c r="BF45" s="681"/>
      <c r="BG45" s="681"/>
      <c r="BH45" s="681"/>
      <c r="BI45" s="666">
        <v>0</v>
      </c>
    </row>
    <row customHeight="1" ht="22.049999999999997">
      <c r="A46" s="1533" t="s">
        <v>273</v>
      </c>
      <c r="B46" s="1533"/>
      <c r="C46" s="1533"/>
      <c r="D46" s="1533"/>
      <c r="E46" s="2428">
        <v>1</v>
      </c>
      <c r="F46" s="1533"/>
      <c r="G46" s="1533"/>
      <c r="H46" s="1533"/>
      <c r="I46" s="1533"/>
      <c r="J46" s="1533"/>
      <c r="K46" s="1533"/>
      <c r="L46" s="1534"/>
      <c r="M46" s="1535"/>
      <c r="N46" s="1535"/>
      <c r="O46" s="1535"/>
      <c r="P46" s="1579"/>
      <c r="Q46" s="1043"/>
      <c r="R46" s="525"/>
      <c r="S46" s="1663">
        <f>INDEX(PT_DIFFERENTIATION_NUM_NTAR,MATCH(A46,PT_DIFFERENTIATION_NTAR_ID,0))</f>
        <v>0</v>
      </c>
      <c r="T46" s="468" t="s">
        <v>126</v>
      </c>
      <c r="U46" s="470"/>
      <c r="V46" s="2413"/>
      <c r="W46" s="2413"/>
      <c r="X46" s="2413"/>
      <c r="Y46" s="2413"/>
      <c r="Z46" s="2413"/>
      <c r="AA46" s="2413"/>
      <c r="AB46" s="2413"/>
      <c r="AC46" s="2414"/>
      <c r="AD46" s="2412" t="str">
        <f>INDEX(PT_DIFFERENTIATION_NTAR,MATCH(A46,PT_DIFFERENTIATION_NTAR_ID,0))</f>
        <v/>
      </c>
      <c r="AE46" s="2413"/>
      <c r="AF46" s="2413"/>
      <c r="AG46" s="2413"/>
      <c r="AH46" s="2413"/>
      <c r="AI46" s="2413"/>
      <c r="AJ46" s="2413"/>
      <c r="AK46" s="2413"/>
      <c r="AL46" s="2413"/>
      <c r="AM46" s="2413"/>
      <c r="AN46" s="2413"/>
      <c r="AO46" s="2413"/>
      <c r="AP46" s="2413"/>
      <c r="AQ46" s="2413"/>
      <c r="AR46" s="2413"/>
      <c r="AS46" s="2413"/>
      <c r="AT46" s="2413"/>
      <c r="AU46" s="2413"/>
      <c r="AV46" s="2413"/>
      <c r="AW46" s="2413"/>
      <c r="AX46" s="2413"/>
      <c r="AY46" s="2413"/>
      <c r="AZ46" s="2413"/>
      <c r="BA46" s="2413"/>
      <c r="BB46" s="2414"/>
      <c r="BC46" s="142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670"/>
      <c r="BF46" s="670" t="str">
        <f>IF(T46="","",T46)</f>
        <v>Наименование тарифа</v>
      </c>
      <c r="BG46" s="670"/>
      <c r="BH46" s="670"/>
      <c r="BI46" s="1325">
        <v>21</v>
      </c>
    </row>
    <row customHeight="1" ht="22.049999999999997">
      <c r="A47" s="1533" t="s">
        <v>273</v>
      </c>
      <c r="B47" s="1533" t="s">
        <v>274</v>
      </c>
      <c r="C47" s="1533"/>
      <c r="D47" s="1533"/>
      <c r="E47" s="2429"/>
      <c r="F47" s="2428">
        <v>1</v>
      </c>
      <c r="G47" s="1533"/>
      <c r="H47" s="1533"/>
      <c r="I47" s="1533"/>
      <c r="J47" s="1533"/>
      <c r="K47" s="1533"/>
      <c r="L47" s="1534"/>
      <c r="M47" s="1535"/>
      <c r="N47" s="1535"/>
      <c r="O47" s="1535"/>
      <c r="P47" s="1580"/>
      <c r="Q47" s="1581"/>
      <c r="R47" s="523"/>
      <c r="S47" s="1663" t="str">
        <f>INDEX(PT_DIFFERENTIATION_NUM_TER,MATCH(B47,PT_DIFFERENTIATION_TER_ID,0))</f>
        <v>.</v>
      </c>
      <c r="T47" s="478" t="s">
        <v>409</v>
      </c>
      <c r="U47" s="470"/>
      <c r="V47" s="2413"/>
      <c r="W47" s="2413"/>
      <c r="X47" s="2413"/>
      <c r="Y47" s="2413"/>
      <c r="Z47" s="2413"/>
      <c r="AA47" s="2413"/>
      <c r="AB47" s="2413"/>
      <c r="AC47" s="2414"/>
      <c r="AD47" s="2412" t="str">
        <f>INDEX(PT_DIFFERENTIATION_TER,MATCH(B47,PT_DIFFERENTIATION_TER_ID,0))</f>
        <v/>
      </c>
      <c r="AE47" s="2413"/>
      <c r="AF47" s="2413"/>
      <c r="AG47" s="2413"/>
      <c r="AH47" s="2413"/>
      <c r="AI47" s="2413"/>
      <c r="AJ47" s="2413"/>
      <c r="AK47" s="2413"/>
      <c r="AL47" s="2413"/>
      <c r="AM47" s="2413"/>
      <c r="AN47" s="2413"/>
      <c r="AO47" s="2413"/>
      <c r="AP47" s="2413"/>
      <c r="AQ47" s="2413"/>
      <c r="AR47" s="2413"/>
      <c r="AS47" s="2413"/>
      <c r="AT47" s="2413"/>
      <c r="AU47" s="2413"/>
      <c r="AV47" s="2413"/>
      <c r="AW47" s="2413"/>
      <c r="AX47" s="2413"/>
      <c r="AY47" s="2413"/>
      <c r="AZ47" s="2413"/>
      <c r="BA47" s="2413"/>
      <c r="BB47" s="2414"/>
      <c r="BC47" s="1428" t="s">
        <v>410</v>
      </c>
      <c r="BE47" s="670"/>
      <c r="BF47" s="670" t="str">
        <f>IF(T47="","",T47)</f>
        <v>Территория действия тарифа</v>
      </c>
      <c r="BG47" s="670"/>
      <c r="BH47" s="670"/>
      <c r="BI47" s="1325">
        <v>21</v>
      </c>
    </row>
    <row customHeight="1" ht="35.699999999999996">
      <c r="A48" s="1533" t="s">
        <v>273</v>
      </c>
      <c r="B48" s="1533" t="s">
        <v>274</v>
      </c>
      <c r="C48" s="1533" t="s">
        <v>275</v>
      </c>
      <c r="D48" s="1533"/>
      <c r="E48" s="2429"/>
      <c r="F48" s="2429"/>
      <c r="G48" s="2428">
        <v>1</v>
      </c>
      <c r="H48" s="1533"/>
      <c r="I48" s="1533"/>
      <c r="J48" s="1533"/>
      <c r="K48" s="1533"/>
      <c r="L48" s="1534"/>
      <c r="M48" s="1535"/>
      <c r="N48" s="1535"/>
      <c r="O48" s="1535"/>
      <c r="P48" s="1582"/>
      <c r="Q48" s="1581"/>
      <c r="R48" s="523"/>
      <c r="S48" s="1663" t="str">
        <f>INDEX(PT_DIFFERENTIATION_NUM_CS,MATCH(C48,PT_DIFFERENTIATION_CS_ID,0))</f>
        <v>..</v>
      </c>
      <c r="T48" s="479" t="s">
        <v>545</v>
      </c>
      <c r="U48" s="470"/>
      <c r="V48" s="2413"/>
      <c r="W48" s="2413"/>
      <c r="X48" s="2413"/>
      <c r="Y48" s="2413"/>
      <c r="Z48" s="2413"/>
      <c r="AA48" s="2413"/>
      <c r="AB48" s="2413"/>
      <c r="AC48" s="2414"/>
      <c r="AD48" s="2412" t="str">
        <f>INDEX(PT_DIFFERENTIATION_CS,MATCH(C48,PT_DIFFERENTIATION_CS_ID,0))</f>
        <v/>
      </c>
      <c r="AE48" s="2413"/>
      <c r="AF48" s="2413"/>
      <c r="AG48" s="2413"/>
      <c r="AH48" s="2413"/>
      <c r="AI48" s="2413"/>
      <c r="AJ48" s="2413"/>
      <c r="AK48" s="2413"/>
      <c r="AL48" s="2413"/>
      <c r="AM48" s="2413"/>
      <c r="AN48" s="2413"/>
      <c r="AO48" s="2413"/>
      <c r="AP48" s="2413"/>
      <c r="AQ48" s="2413"/>
      <c r="AR48" s="2413"/>
      <c r="AS48" s="2413"/>
      <c r="AT48" s="2413"/>
      <c r="AU48" s="2413"/>
      <c r="AV48" s="2413"/>
      <c r="AW48" s="2413"/>
      <c r="AX48" s="2413"/>
      <c r="AY48" s="2413"/>
      <c r="AZ48" s="2413"/>
      <c r="BA48" s="2413"/>
      <c r="BB48" s="2414"/>
      <c r="BC48" s="1428" t="s">
        <v>546</v>
      </c>
      <c r="BE48" s="670"/>
      <c r="BF48" s="670" t="str">
        <f>IF(T48="","",T48)</f>
        <v>Наименование централизованной системы горячего водоснабжения</v>
      </c>
      <c r="BG48" s="670"/>
      <c r="BH48" s="670"/>
      <c r="BI48" s="1325">
        <v>34</v>
      </c>
    </row>
    <row s="11993" customFormat="1" customHeight="1" ht="0">
      <c r="A49" s="1513" t="s">
        <v>273</v>
      </c>
      <c r="B49" s="1513" t="s">
        <v>274</v>
      </c>
      <c r="C49" s="1513" t="s">
        <v>275</v>
      </c>
      <c r="D49" s="1513" t="s">
        <v>559</v>
      </c>
      <c r="E49" s="2429"/>
      <c r="F49" s="2429"/>
      <c r="G49" s="2429"/>
      <c r="H49" s="2428">
        <v>1</v>
      </c>
      <c r="I49" s="1513"/>
      <c r="J49" s="1513"/>
      <c r="K49" s="1513"/>
      <c r="L49" s="1516"/>
      <c r="M49" s="1485"/>
      <c r="N49" s="1485"/>
      <c r="O49" s="1485"/>
      <c r="P49" s="1667"/>
      <c r="Q49" s="1668"/>
      <c r="R49" s="527"/>
      <c r="S49" s="1212"/>
      <c r="T49" s="1669"/>
      <c r="U49" s="1554"/>
      <c r="V49" s="2467"/>
      <c r="W49" s="2467"/>
      <c r="X49" s="2467"/>
      <c r="Y49" s="2467"/>
      <c r="Z49" s="2467"/>
      <c r="AA49" s="2467"/>
      <c r="AB49" s="2467"/>
      <c r="AC49" s="2468"/>
      <c r="AD49" s="2466"/>
      <c r="AE49" s="2467"/>
      <c r="AF49" s="2467"/>
      <c r="AG49" s="2467"/>
      <c r="AH49" s="2467"/>
      <c r="AI49" s="2467"/>
      <c r="AJ49" s="2467"/>
      <c r="AK49" s="2467"/>
      <c r="AL49" s="2467"/>
      <c r="AM49" s="2467"/>
      <c r="AN49" s="2467"/>
      <c r="AO49" s="2467"/>
      <c r="AP49" s="2467"/>
      <c r="AQ49" s="2467"/>
      <c r="AR49" s="2467"/>
      <c r="AS49" s="2467"/>
      <c r="AT49" s="2467"/>
      <c r="AU49" s="2467"/>
      <c r="AV49" s="2467"/>
      <c r="AW49" s="2467"/>
      <c r="AX49" s="2467"/>
      <c r="AY49" s="2467"/>
      <c r="AZ49" s="2467"/>
      <c r="BA49" s="2467"/>
      <c r="BB49" s="2468"/>
      <c r="BC49" s="1555" t="s">
        <v>414</v>
      </c>
      <c r="BE49" s="670"/>
      <c r="BF49" s="670" t="str">
        <f>IF(T49="","",T49)</f>
        <v/>
      </c>
      <c r="BG49" s="670"/>
      <c r="BH49" s="670"/>
      <c r="BI49" s="681">
        <v>0</v>
      </c>
    </row>
    <row s="11993" customFormat="1" customHeight="1" ht="0">
      <c r="A50" s="1513" t="s">
        <v>273</v>
      </c>
      <c r="B50" s="1513" t="s">
        <v>274</v>
      </c>
      <c r="C50" s="1513" t="s">
        <v>275</v>
      </c>
      <c r="D50" s="1513" t="s">
        <v>559</v>
      </c>
      <c r="E50" s="2429"/>
      <c r="F50" s="2429"/>
      <c r="G50" s="2429"/>
      <c r="H50" s="2429"/>
      <c r="I50" s="2426" t="str">
        <f>S49&amp;".1"</f>
        <v>.1</v>
      </c>
      <c r="J50" s="1513"/>
      <c r="K50" s="1513"/>
      <c r="L50" s="1516" t="s">
        <v>415</v>
      </c>
      <c r="M50" s="680"/>
      <c r="N50" s="680"/>
      <c r="O50" s="680"/>
      <c r="P50" s="2427">
        <v>1</v>
      </c>
      <c r="Q50" s="1651"/>
      <c r="R50" s="526"/>
      <c r="S50" s="1212"/>
      <c r="T50" s="1553"/>
      <c r="U50" s="1554"/>
      <c r="V50" s="2467"/>
      <c r="W50" s="2467"/>
      <c r="X50" s="2467"/>
      <c r="Y50" s="2467"/>
      <c r="Z50" s="2467"/>
      <c r="AA50" s="2467"/>
      <c r="AB50" s="2467"/>
      <c r="AC50" s="2468"/>
      <c r="AD50" s="2466"/>
      <c r="AE50" s="2467"/>
      <c r="AF50" s="2467"/>
      <c r="AG50" s="2467"/>
      <c r="AH50" s="2467"/>
      <c r="AI50" s="2467"/>
      <c r="AJ50" s="2467"/>
      <c r="AK50" s="2467"/>
      <c r="AL50" s="2467"/>
      <c r="AM50" s="2467"/>
      <c r="AN50" s="2467"/>
      <c r="AO50" s="2467"/>
      <c r="AP50" s="2467"/>
      <c r="AQ50" s="2467"/>
      <c r="AR50" s="2467"/>
      <c r="AS50" s="2467"/>
      <c r="AT50" s="2467"/>
      <c r="AU50" s="2467"/>
      <c r="AV50" s="2467"/>
      <c r="AW50" s="2467"/>
      <c r="AX50" s="2467"/>
      <c r="AY50" s="2467"/>
      <c r="AZ50" s="2467"/>
      <c r="BA50" s="2467"/>
      <c r="BB50" s="2468"/>
      <c r="BC50" s="1555"/>
      <c r="BE50" s="670"/>
      <c r="BF50" s="670" t="str">
        <f>IF(T50="","",T50)</f>
        <v/>
      </c>
      <c r="BG50" s="670"/>
      <c r="BH50" s="670"/>
      <c r="BI50" s="681">
        <v>0</v>
      </c>
    </row>
    <row s="11993" customFormat="1" customHeight="1" ht="0">
      <c r="A51" s="1513" t="s">
        <v>273</v>
      </c>
      <c r="B51" s="1513" t="s">
        <v>274</v>
      </c>
      <c r="C51" s="1513" t="s">
        <v>275</v>
      </c>
      <c r="D51" s="1513" t="s">
        <v>559</v>
      </c>
      <c r="E51" s="2429"/>
      <c r="F51" s="2429"/>
      <c r="G51" s="2429"/>
      <c r="H51" s="2429"/>
      <c r="I51" s="2456"/>
      <c r="J51" s="2426" t="str">
        <f>S49&amp;".1"</f>
        <v>.1</v>
      </c>
      <c r="K51" s="1513"/>
      <c r="L51" s="1516"/>
      <c r="M51" s="680"/>
      <c r="N51" s="680"/>
      <c r="O51" s="680"/>
      <c r="P51" s="2427"/>
      <c r="Q51" s="2427">
        <v>1</v>
      </c>
      <c r="R51" s="527"/>
      <c r="S51" s="1212"/>
      <c r="T51" s="1569"/>
      <c r="U51" s="1554"/>
      <c r="V51" s="2467"/>
      <c r="W51" s="2467"/>
      <c r="X51" s="2467"/>
      <c r="Y51" s="2467"/>
      <c r="Z51" s="2467"/>
      <c r="AA51" s="2467"/>
      <c r="AB51" s="2467"/>
      <c r="AC51" s="2468"/>
      <c r="AD51" s="2466"/>
      <c r="AE51" s="2467"/>
      <c r="AF51" s="2467"/>
      <c r="AG51" s="2467"/>
      <c r="AH51" s="2467"/>
      <c r="AI51" s="2467"/>
      <c r="AJ51" s="2467"/>
      <c r="AK51" s="2467"/>
      <c r="AL51" s="2467"/>
      <c r="AM51" s="2467"/>
      <c r="AN51" s="2534"/>
      <c r="AO51" s="2534"/>
      <c r="AP51" s="2467"/>
      <c r="AQ51" s="2467"/>
      <c r="AR51" s="2467"/>
      <c r="AS51" s="2467"/>
      <c r="AT51" s="2467"/>
      <c r="AU51" s="2467"/>
      <c r="AV51" s="2467"/>
      <c r="AW51" s="2467"/>
      <c r="AX51" s="2467"/>
      <c r="AY51" s="2467"/>
      <c r="AZ51" s="2467"/>
      <c r="BA51" s="2467"/>
      <c r="BB51" s="2468"/>
      <c r="BC51" s="1555"/>
      <c r="BE51" s="670"/>
      <c r="BF51" s="670" t="str">
        <f>IF(T51="","",T51)</f>
        <v/>
      </c>
      <c r="BG51" s="670"/>
      <c r="BH51" s="670"/>
      <c r="BI51" s="681">
        <v>0</v>
      </c>
    </row>
    <row customHeight="1" ht="11.549999999999999">
      <c r="A52" s="1533" t="s">
        <v>273</v>
      </c>
      <c r="B52" s="1533" t="s">
        <v>274</v>
      </c>
      <c r="C52" s="1533" t="s">
        <v>275</v>
      </c>
      <c r="D52" s="1533" t="s">
        <v>559</v>
      </c>
      <c r="E52" s="2429"/>
      <c r="F52" s="2429"/>
      <c r="G52" s="2429"/>
      <c r="H52" s="2429"/>
      <c r="I52" s="2456"/>
      <c r="J52" s="2456"/>
      <c r="K52" s="2426" t="str">
        <f>S48&amp;".1"</f>
        <v>...1</v>
      </c>
      <c r="L52" s="1534"/>
      <c r="P52" s="2427"/>
      <c r="Q52" s="2427"/>
      <c r="R52" s="527">
        <v>1</v>
      </c>
      <c r="S52" s="2511" t="str">
        <f>$K52</f>
        <v>...1</v>
      </c>
      <c r="T52" s="2530"/>
      <c r="U52" s="470"/>
      <c r="V52" s="921"/>
      <c r="W52" s="1427"/>
      <c r="X52" s="921"/>
      <c r="Y52" s="1427"/>
      <c r="Z52" s="1904"/>
      <c r="AA52" s="1639" t="s">
        <v>64</v>
      </c>
      <c r="AB52" s="1904"/>
      <c r="AC52" s="1639" t="s">
        <v>64</v>
      </c>
      <c r="AD52" s="2355" t="s">
        <v>64</v>
      </c>
      <c r="AE52" s="2496"/>
      <c r="AF52" s="2375">
        <v>1</v>
      </c>
      <c r="AG52" s="2533"/>
      <c r="AH52" s="2277" t="s">
        <v>64</v>
      </c>
      <c r="AI52" s="2496"/>
      <c r="AJ52" s="2375">
        <v>1</v>
      </c>
      <c r="AK52" s="2497" t="s">
        <v>28</v>
      </c>
      <c r="AL52" s="2277" t="s">
        <v>64</v>
      </c>
      <c r="AM52" s="2362"/>
      <c r="AN52" s="2375">
        <v>1</v>
      </c>
      <c r="AO52" s="2527"/>
      <c r="AP52" s="2528" t="s">
        <v>64</v>
      </c>
      <c r="AQ52" s="481"/>
      <c r="AR52" s="1656">
        <v>1</v>
      </c>
      <c r="AS52" s="1662" t="s">
        <v>28</v>
      </c>
      <c r="AT52" s="921"/>
      <c r="AU52" s="1427"/>
      <c r="AV52" s="921"/>
      <c r="AW52" s="1427"/>
      <c r="AX52" s="1904"/>
      <c r="AY52" s="1639" t="s">
        <v>64</v>
      </c>
      <c r="AZ52" s="1904"/>
      <c r="BA52" s="1639" t="s">
        <v>64</v>
      </c>
      <c r="BB52" s="1518"/>
      <c r="BC52" s="2423" t="s">
        <v>516</v>
      </c>
      <c r="BE52" s="670"/>
      <c r="BF52" s="670" t="str">
        <f>IF(T52="","",T52)</f>
        <v/>
      </c>
      <c r="BG52" s="670"/>
      <c r="BH52" s="670"/>
      <c r="BI52" s="1325">
        <v>11</v>
      </c>
    </row>
    <row customHeight="1" ht="11.549999999999999">
      <c r="A53" s="1533"/>
      <c r="B53" s="1533"/>
      <c r="C53" s="1533"/>
      <c r="D53" s="1533"/>
      <c r="E53" s="2429"/>
      <c r="F53" s="2429"/>
      <c r="G53" s="2429"/>
      <c r="H53" s="2429"/>
      <c r="I53" s="2456"/>
      <c r="J53" s="2456"/>
      <c r="K53" s="2426"/>
      <c r="L53" s="1534"/>
      <c r="P53" s="2427"/>
      <c r="Q53" s="2427"/>
      <c r="R53" s="527"/>
      <c r="S53" s="2512"/>
      <c r="T53" s="2531"/>
      <c r="U53" s="470"/>
      <c r="V53" s="1563"/>
      <c r="W53" s="1666"/>
      <c r="X53" s="1563"/>
      <c r="Y53" s="1666"/>
      <c r="Z53" s="1563"/>
      <c r="AA53" s="1563"/>
      <c r="AB53" s="1563"/>
      <c r="AC53" s="1563"/>
      <c r="AD53" s="2356"/>
      <c r="AE53" s="2496"/>
      <c r="AF53" s="2375"/>
      <c r="AG53" s="2533"/>
      <c r="AH53" s="2277"/>
      <c r="AI53" s="2496"/>
      <c r="AJ53" s="2375"/>
      <c r="AK53" s="2497"/>
      <c r="AL53" s="2277"/>
      <c r="AM53" s="2370"/>
      <c r="AN53" s="2375"/>
      <c r="AO53" s="2527"/>
      <c r="AP53" s="2529"/>
      <c r="AQ53" s="486"/>
      <c r="AR53" s="586"/>
      <c r="AS53" s="586" t="s">
        <v>517</v>
      </c>
      <c r="AT53" s="1563"/>
      <c r="AU53" s="1666"/>
      <c r="AV53" s="1563"/>
      <c r="AW53" s="1666"/>
      <c r="AX53" s="1563"/>
      <c r="AY53" s="1563"/>
      <c r="AZ53" s="1563"/>
      <c r="BA53" s="1563"/>
      <c r="BB53" s="1567"/>
      <c r="BC53" s="2424"/>
      <c r="BE53" s="670"/>
      <c r="BF53" s="670"/>
      <c r="BG53" s="670"/>
      <c r="BH53" s="670"/>
      <c r="BI53" s="1325">
        <v>11</v>
      </c>
    </row>
    <row customHeight="1" ht="11.549999999999999">
      <c r="A54" s="1533" t="s">
        <v>273</v>
      </c>
      <c r="B54" s="1533"/>
      <c r="C54" s="1533"/>
      <c r="D54" s="1533"/>
      <c r="E54" s="2429"/>
      <c r="F54" s="2429"/>
      <c r="G54" s="2429"/>
      <c r="H54" s="2429"/>
      <c r="I54" s="2456"/>
      <c r="J54" s="2456"/>
      <c r="K54" s="2426"/>
      <c r="L54" s="1534"/>
      <c r="P54" s="2427"/>
      <c r="Q54" s="2427"/>
      <c r="R54" s="527"/>
      <c r="S54" s="2512"/>
      <c r="T54" s="2531"/>
      <c r="U54" s="470"/>
      <c r="V54" s="1563"/>
      <c r="W54" s="1666"/>
      <c r="X54" s="1563"/>
      <c r="Y54" s="1666"/>
      <c r="Z54" s="1563"/>
      <c r="AA54" s="1563"/>
      <c r="AB54" s="1563"/>
      <c r="AC54" s="1563"/>
      <c r="AD54" s="2356"/>
      <c r="AE54" s="2496"/>
      <c r="AF54" s="2375"/>
      <c r="AG54" s="2533"/>
      <c r="AH54" s="2277"/>
      <c r="AI54" s="2496"/>
      <c r="AJ54" s="2375"/>
      <c r="AK54" s="2497"/>
      <c r="AL54" s="2277"/>
      <c r="AM54" s="486"/>
      <c r="AN54" s="1670"/>
      <c r="AO54" s="1670" t="s">
        <v>518</v>
      </c>
      <c r="AP54" s="586"/>
      <c r="AQ54" s="586"/>
      <c r="AR54" s="586"/>
      <c r="AS54" s="1563"/>
      <c r="AT54" s="1563"/>
      <c r="AU54" s="1666"/>
      <c r="AV54" s="1563"/>
      <c r="AW54" s="1666"/>
      <c r="AX54" s="1563"/>
      <c r="AY54" s="1563"/>
      <c r="AZ54" s="1563"/>
      <c r="BA54" s="1563"/>
      <c r="BB54" s="1567"/>
      <c r="BC54" s="2424"/>
      <c r="BE54" s="670"/>
      <c r="BF54" s="670"/>
      <c r="BG54" s="670"/>
      <c r="BH54" s="670"/>
      <c r="BI54" s="1325">
        <v>11</v>
      </c>
    </row>
    <row customHeight="1" ht="11.549999999999999">
      <c r="A55" s="1533" t="s">
        <v>273</v>
      </c>
      <c r="B55" s="1533"/>
      <c r="C55" s="1533"/>
      <c r="D55" s="1533"/>
      <c r="E55" s="2429"/>
      <c r="F55" s="2429"/>
      <c r="G55" s="2429"/>
      <c r="H55" s="2429"/>
      <c r="I55" s="2456"/>
      <c r="J55" s="2456"/>
      <c r="K55" s="2426"/>
      <c r="L55" s="1534"/>
      <c r="P55" s="2427"/>
      <c r="Q55" s="2427"/>
      <c r="R55" s="527"/>
      <c r="S55" s="2512"/>
      <c r="T55" s="2531"/>
      <c r="U55" s="470"/>
      <c r="V55" s="1563"/>
      <c r="W55" s="1666"/>
      <c r="X55" s="1563"/>
      <c r="Y55" s="1666"/>
      <c r="Z55" s="1563"/>
      <c r="AA55" s="1563"/>
      <c r="AB55" s="1563"/>
      <c r="AC55" s="1563"/>
      <c r="AD55" s="2356"/>
      <c r="AE55" s="2496"/>
      <c r="AF55" s="2375"/>
      <c r="AG55" s="2533"/>
      <c r="AH55" s="2277"/>
      <c r="AI55" s="464"/>
      <c r="AJ55" s="585"/>
      <c r="AK55" s="483" t="s">
        <v>519</v>
      </c>
      <c r="AL55" s="1563"/>
      <c r="AM55" s="1563"/>
      <c r="AN55" s="1563"/>
      <c r="AO55" s="1563"/>
      <c r="AP55" s="1563"/>
      <c r="AQ55" s="1563"/>
      <c r="AR55" s="1563"/>
      <c r="AS55" s="1563"/>
      <c r="AT55" s="1563"/>
      <c r="AU55" s="1666"/>
      <c r="AV55" s="1563"/>
      <c r="AW55" s="1666"/>
      <c r="AX55" s="1563"/>
      <c r="AY55" s="1563"/>
      <c r="AZ55" s="1563"/>
      <c r="BA55" s="1563"/>
      <c r="BB55" s="1567"/>
      <c r="BC55" s="2424"/>
      <c r="BE55" s="670"/>
      <c r="BF55" s="670"/>
      <c r="BG55" s="670"/>
      <c r="BH55" s="670"/>
      <c r="BI55" s="1325">
        <v>11</v>
      </c>
    </row>
    <row customHeight="1" ht="11.549999999999999">
      <c r="A56" s="1533" t="s">
        <v>273</v>
      </c>
      <c r="B56" s="1533" t="s">
        <v>274</v>
      </c>
      <c r="C56" s="1533" t="s">
        <v>275</v>
      </c>
      <c r="D56" s="1533" t="s">
        <v>559</v>
      </c>
      <c r="E56" s="2429"/>
      <c r="F56" s="2429"/>
      <c r="G56" s="2429"/>
      <c r="H56" s="2429"/>
      <c r="I56" s="2456"/>
      <c r="J56" s="2456"/>
      <c r="K56" s="2426"/>
      <c r="L56" s="1534"/>
      <c r="P56" s="2427"/>
      <c r="Q56" s="2427"/>
      <c r="R56" s="527"/>
      <c r="S56" s="2513"/>
      <c r="T56" s="2532"/>
      <c r="U56" s="470"/>
      <c r="V56" s="1563"/>
      <c r="W56" s="1564" t="str">
        <f>Z52&amp;"-"&amp;AB52</f>
        <v>-</v>
      </c>
      <c r="X56" s="1563"/>
      <c r="Y56" s="1564" t="str">
        <f>AB52&amp;"-"&amp;AD52</f>
        <v>-да</v>
      </c>
      <c r="Z56" s="1563"/>
      <c r="AA56" s="1563"/>
      <c r="AB56" s="1563"/>
      <c r="AC56" s="1563"/>
      <c r="AD56" s="2282"/>
      <c r="AE56" s="482"/>
      <c r="AF56" s="484"/>
      <c r="AG56" s="586" t="s">
        <v>520</v>
      </c>
      <c r="AH56" s="1563"/>
      <c r="AI56" s="1563"/>
      <c r="AJ56" s="1563"/>
      <c r="AK56" s="1563"/>
      <c r="AL56" s="1563"/>
      <c r="AM56" s="1563"/>
      <c r="AN56" s="1563"/>
      <c r="AO56" s="1563"/>
      <c r="AP56" s="1563"/>
      <c r="AQ56" s="1563"/>
      <c r="AR56" s="1563"/>
      <c r="AS56" s="1563"/>
      <c r="AT56" s="1563"/>
      <c r="AU56" s="1564" t="str">
        <f>AX52&amp;"-"&amp;AZ52</f>
        <v>-</v>
      </c>
      <c r="AV56" s="1563"/>
      <c r="AW56" s="1564" t="str">
        <f>AZ52&amp;"-"&amp;BB52</f>
        <v>-</v>
      </c>
      <c r="AX56" s="1563"/>
      <c r="AY56" s="1563"/>
      <c r="AZ56" s="1563"/>
      <c r="BA56" s="1563"/>
      <c r="BB56" s="1566" t="str">
        <f>BE52&amp;"-"&amp;BG52</f>
        <v>-</v>
      </c>
      <c r="BC56" s="2424"/>
      <c r="BE56" s="670"/>
      <c r="BF56" s="670" t="str">
        <f>IF(T56="","",T56)</f>
        <v/>
      </c>
      <c r="BG56" s="670"/>
      <c r="BH56" s="670"/>
      <c r="BI56" s="1325">
        <v>11</v>
      </c>
    </row>
    <row customHeight="1" ht="11.549999999999999">
      <c r="A57" s="1533" t="s">
        <v>273</v>
      </c>
      <c r="B57" s="1533" t="s">
        <v>274</v>
      </c>
      <c r="C57" s="1533" t="s">
        <v>275</v>
      </c>
      <c r="D57" s="1533" t="s">
        <v>559</v>
      </c>
      <c r="E57" s="2429"/>
      <c r="F57" s="2429"/>
      <c r="G57" s="2429"/>
      <c r="H57" s="2429"/>
      <c r="I57" s="2456"/>
      <c r="J57" s="2426"/>
      <c r="K57" s="1533"/>
      <c r="L57" s="1534"/>
      <c r="P57" s="2427"/>
      <c r="Q57" s="2427"/>
      <c r="R57" s="526"/>
      <c r="S57" s="1448"/>
      <c r="T57" s="457" t="s">
        <v>481</v>
      </c>
      <c r="U57" s="537"/>
      <c r="V57" s="537"/>
      <c r="W57" s="537"/>
      <c r="X57" s="537"/>
      <c r="Y57" s="537"/>
      <c r="Z57" s="537"/>
      <c r="AA57" s="537"/>
      <c r="AB57" s="537"/>
      <c r="AC57" s="494"/>
      <c r="AD57" s="1675"/>
      <c r="AE57" s="537"/>
      <c r="AF57" s="537"/>
      <c r="AG57" s="537"/>
      <c r="AH57" s="537"/>
      <c r="AI57" s="537"/>
      <c r="AJ57" s="537"/>
      <c r="AK57" s="537"/>
      <c r="AL57" s="537"/>
      <c r="AM57" s="537"/>
      <c r="AN57" s="537"/>
      <c r="AO57" s="537"/>
      <c r="AP57" s="537"/>
      <c r="AQ57" s="537"/>
      <c r="AR57" s="537"/>
      <c r="AS57" s="537"/>
      <c r="AT57" s="537"/>
      <c r="AU57" s="537"/>
      <c r="AV57" s="537"/>
      <c r="AW57" s="537"/>
      <c r="AX57" s="537"/>
      <c r="AY57" s="537"/>
      <c r="AZ57" s="537"/>
      <c r="BA57" s="537"/>
      <c r="BB57" s="494"/>
      <c r="BC57" s="2425"/>
      <c r="BE57" s="670"/>
      <c r="BF57" s="670" t="str">
        <f>IF(T57="","",T57)</f>
        <v>Добавить строку</v>
      </c>
      <c r="BG57" s="670"/>
      <c r="BH57" s="670"/>
      <c r="BI57" s="1325">
        <v>11</v>
      </c>
    </row>
    <row s="11993" customFormat="1" customHeight="1" ht="0">
      <c r="A58" s="1513" t="s">
        <v>273</v>
      </c>
      <c r="B58" s="1513" t="s">
        <v>274</v>
      </c>
      <c r="C58" s="1513" t="s">
        <v>275</v>
      </c>
      <c r="D58" s="1513" t="s">
        <v>559</v>
      </c>
      <c r="E58" s="2429"/>
      <c r="F58" s="2429"/>
      <c r="G58" s="2429"/>
      <c r="H58" s="2429"/>
      <c r="I58" s="2426"/>
      <c r="J58" s="1513"/>
      <c r="K58" s="1513"/>
      <c r="L58" s="1516"/>
      <c r="M58" s="680"/>
      <c r="N58" s="680"/>
      <c r="O58" s="680"/>
      <c r="P58" s="2427"/>
      <c r="Q58" s="1651"/>
      <c r="R58" s="526"/>
      <c r="S58" s="1556"/>
      <c r="T58" s="1557"/>
      <c r="U58" s="1558"/>
      <c r="V58" s="1558"/>
      <c r="W58" s="1558"/>
      <c r="X58" s="1558"/>
      <c r="Y58" s="1558"/>
      <c r="Z58" s="1558"/>
      <c r="AA58" s="1558"/>
      <c r="AB58" s="1558"/>
      <c r="AC58" s="1558"/>
      <c r="AD58" s="1558"/>
      <c r="AE58" s="1558"/>
      <c r="AF58" s="1558"/>
      <c r="AG58" s="1558"/>
      <c r="AH58" s="1558"/>
      <c r="AI58" s="1558"/>
      <c r="AJ58" s="1558"/>
      <c r="AK58" s="1558"/>
      <c r="AL58" s="1558"/>
      <c r="AM58" s="1558"/>
      <c r="AN58" s="1558"/>
      <c r="AO58" s="1558"/>
      <c r="AP58" s="1558"/>
      <c r="AQ58" s="1558"/>
      <c r="AR58" s="1558"/>
      <c r="AS58" s="1558"/>
      <c r="AT58" s="1558"/>
      <c r="AU58" s="1558"/>
      <c r="AV58" s="1558"/>
      <c r="AW58" s="1558"/>
      <c r="AX58" s="1558"/>
      <c r="AY58" s="1558"/>
      <c r="AZ58" s="1558"/>
      <c r="BA58" s="1558"/>
      <c r="BB58" s="1558"/>
      <c r="BC58" s="1559"/>
      <c r="BE58" s="670"/>
      <c r="BF58" s="670" t="str">
        <f>IF(T58="","",T58)</f>
        <v/>
      </c>
      <c r="BG58" s="670"/>
      <c r="BH58" s="670"/>
      <c r="BI58" s="681">
        <v>0</v>
      </c>
    </row>
    <row s="11993" customFormat="1" customHeight="1" ht="0">
      <c r="A59" s="1513" t="s">
        <v>273</v>
      </c>
      <c r="B59" s="1513" t="s">
        <v>274</v>
      </c>
      <c r="C59" s="1513" t="s">
        <v>275</v>
      </c>
      <c r="D59" s="1513" t="s">
        <v>559</v>
      </c>
      <c r="E59" s="2429"/>
      <c r="F59" s="2429"/>
      <c r="G59" s="2429"/>
      <c r="H59" s="2428"/>
      <c r="I59" s="1513"/>
      <c r="J59" s="1513"/>
      <c r="K59" s="1513"/>
      <c r="L59" s="1516"/>
      <c r="M59" s="1485"/>
      <c r="N59" s="1485"/>
      <c r="O59" s="688"/>
      <c r="P59" s="550"/>
      <c r="Q59" s="1514"/>
      <c r="R59" s="1571"/>
      <c r="S59" s="1556"/>
      <c r="T59" s="1557"/>
      <c r="U59" s="1558"/>
      <c r="V59" s="1558"/>
      <c r="W59" s="1558"/>
      <c r="X59" s="1558"/>
      <c r="Y59" s="1558"/>
      <c r="Z59" s="1558"/>
      <c r="AA59" s="1558"/>
      <c r="AB59" s="1558"/>
      <c r="AC59" s="1558"/>
      <c r="AD59" s="1558"/>
      <c r="AE59" s="1558"/>
      <c r="AF59" s="1558"/>
      <c r="AG59" s="1558"/>
      <c r="AH59" s="1558"/>
      <c r="AI59" s="1558"/>
      <c r="AJ59" s="1558"/>
      <c r="AK59" s="1558"/>
      <c r="AL59" s="1558"/>
      <c r="AM59" s="1558"/>
      <c r="AN59" s="1558"/>
      <c r="AO59" s="1558"/>
      <c r="AP59" s="1558"/>
      <c r="AQ59" s="1558"/>
      <c r="AR59" s="1558"/>
      <c r="AS59" s="1558"/>
      <c r="AT59" s="1558"/>
      <c r="AU59" s="1558"/>
      <c r="AV59" s="1558"/>
      <c r="AW59" s="1558"/>
      <c r="AX59" s="1558"/>
      <c r="AY59" s="1558"/>
      <c r="AZ59" s="1558"/>
      <c r="BA59" s="1558"/>
      <c r="BB59" s="1558"/>
      <c r="BC59" s="1559"/>
      <c r="BE59" s="670"/>
      <c r="BF59" s="670" t="str">
        <f>IF(T59="","",T59)</f>
        <v/>
      </c>
      <c r="BG59" s="670"/>
      <c r="BH59" s="670"/>
      <c r="BI59" s="681">
        <v>0</v>
      </c>
    </row>
    <row s="11993" customFormat="1" customHeight="1" ht="0">
      <c r="A60" s="1513" t="s">
        <v>273</v>
      </c>
      <c r="B60" s="1513" t="s">
        <v>274</v>
      </c>
      <c r="C60" s="1513" t="s">
        <v>275</v>
      </c>
      <c r="D60" s="1484"/>
      <c r="E60" s="2429"/>
      <c r="F60" s="2429"/>
      <c r="G60" s="2428"/>
      <c r="H60" s="1484"/>
      <c r="I60" s="1484"/>
      <c r="J60" s="1484"/>
      <c r="K60" s="1484"/>
      <c r="L60" s="1664"/>
      <c r="M60" s="1485"/>
      <c r="N60" s="1485"/>
      <c r="P60" s="1486"/>
      <c r="Q60" s="1487"/>
      <c r="R60" s="1486"/>
      <c r="S60" s="1492"/>
      <c r="T60" s="1495"/>
      <c r="U60" s="1494"/>
      <c r="V60" s="1494"/>
      <c r="W60" s="1494"/>
      <c r="X60" s="1494"/>
      <c r="Y60" s="1494"/>
      <c r="Z60" s="1494"/>
      <c r="AA60" s="1494"/>
      <c r="AB60" s="1494"/>
      <c r="AC60" s="1494"/>
      <c r="AD60" s="1494"/>
      <c r="AE60" s="1494"/>
      <c r="AF60" s="1494"/>
      <c r="AG60" s="1494"/>
      <c r="AH60" s="1494"/>
      <c r="AI60" s="1494"/>
      <c r="AJ60" s="1494"/>
      <c r="AK60" s="1494"/>
      <c r="AL60" s="1494"/>
      <c r="AM60" s="1494"/>
      <c r="AN60" s="1494"/>
      <c r="AO60" s="1494"/>
      <c r="AP60" s="1494"/>
      <c r="AQ60" s="1494"/>
      <c r="AR60" s="1494"/>
      <c r="AS60" s="1494"/>
      <c r="AT60" s="1494"/>
      <c r="AU60" s="1494"/>
      <c r="AV60" s="1494"/>
      <c r="AW60" s="1494"/>
      <c r="AX60" s="1494"/>
      <c r="AY60" s="1494"/>
      <c r="AZ60" s="1494"/>
      <c r="BA60" s="1494"/>
      <c r="BB60" s="1494"/>
      <c r="BC60" s="1494"/>
      <c r="BE60" s="959"/>
      <c r="BF60" s="959" t="str">
        <f>IF(T60="","",T60)</f>
        <v/>
      </c>
      <c r="BG60" s="959"/>
      <c r="BH60" s="959"/>
      <c r="BI60" s="688">
        <v>0</v>
      </c>
    </row>
    <row s="11993" customFormat="1" customHeight="1" ht="0">
      <c r="A61" s="1513" t="s">
        <v>273</v>
      </c>
      <c r="B61" s="1513" t="s">
        <v>274</v>
      </c>
      <c r="C61" s="1484"/>
      <c r="D61" s="1484"/>
      <c r="E61" s="2429"/>
      <c r="F61" s="2428"/>
      <c r="G61" s="1484"/>
      <c r="H61" s="1484"/>
      <c r="I61" s="1484"/>
      <c r="J61" s="1484"/>
      <c r="K61" s="1484"/>
      <c r="L61" s="1664"/>
      <c r="M61" s="1491"/>
      <c r="N61" s="1491"/>
      <c r="P61" s="1486"/>
      <c r="Q61" s="1487"/>
      <c r="R61" s="1486"/>
      <c r="S61" s="1492"/>
      <c r="T61" s="1495" t="s">
        <v>166</v>
      </c>
      <c r="U61" s="1494"/>
      <c r="V61" s="1494"/>
      <c r="W61" s="1494"/>
      <c r="X61" s="1494"/>
      <c r="Y61" s="1494"/>
      <c r="Z61" s="1494"/>
      <c r="AA61" s="1494"/>
      <c r="AB61" s="1494"/>
      <c r="AC61" s="1494"/>
      <c r="AD61" s="1494"/>
      <c r="AE61" s="1494"/>
      <c r="AF61" s="1494"/>
      <c r="AG61" s="1494"/>
      <c r="AH61" s="1494"/>
      <c r="AI61" s="1494"/>
      <c r="AJ61" s="1494"/>
      <c r="AK61" s="1494"/>
      <c r="AL61" s="1494"/>
      <c r="AM61" s="1494"/>
      <c r="AN61" s="1494"/>
      <c r="AO61" s="1494"/>
      <c r="AP61" s="1494"/>
      <c r="AQ61" s="1494"/>
      <c r="AR61" s="1494"/>
      <c r="AS61" s="1494"/>
      <c r="AT61" s="1494"/>
      <c r="AU61" s="1494"/>
      <c r="AV61" s="1494"/>
      <c r="AW61" s="1494"/>
      <c r="AX61" s="1494"/>
      <c r="AY61" s="1494"/>
      <c r="AZ61" s="1494"/>
      <c r="BA61" s="1494"/>
      <c r="BB61" s="1494"/>
      <c r="BC61" s="1494"/>
      <c r="BE61" s="959"/>
      <c r="BF61" s="959" t="str">
        <f>IF(T61="","",T61)</f>
        <v>Добавить централизованную систему для дифференциации</v>
      </c>
      <c r="BG61" s="959"/>
      <c r="BH61" s="959"/>
      <c r="BI61" s="688">
        <v>0</v>
      </c>
    </row>
    <row s="11993" customFormat="1" customHeight="1" ht="0">
      <c r="A62" s="1513" t="s">
        <v>273</v>
      </c>
      <c r="B62" s="1513"/>
      <c r="C62" s="1513"/>
      <c r="D62" s="1513"/>
      <c r="E62" s="2428"/>
      <c r="F62" s="1513"/>
      <c r="G62" s="1513"/>
      <c r="H62" s="1513"/>
      <c r="I62" s="1513"/>
      <c r="J62" s="1513"/>
      <c r="K62" s="1513"/>
      <c r="L62" s="1516"/>
      <c r="M62" s="1491"/>
      <c r="N62" s="1491"/>
      <c r="O62" s="688"/>
      <c r="P62" s="550"/>
      <c r="Q62" s="1514"/>
      <c r="R62" s="550"/>
      <c r="S62" s="1492"/>
      <c r="T62" s="1495" t="s">
        <v>167</v>
      </c>
      <c r="U62" s="1494"/>
      <c r="V62" s="1494"/>
      <c r="W62" s="1494"/>
      <c r="X62" s="1494"/>
      <c r="Y62" s="1494"/>
      <c r="Z62" s="1494"/>
      <c r="AA62" s="1494"/>
      <c r="AB62" s="1494"/>
      <c r="AC62" s="1494"/>
      <c r="AD62" s="1494"/>
      <c r="AE62" s="1494"/>
      <c r="AF62" s="1494"/>
      <c r="AG62" s="1494"/>
      <c r="AH62" s="1494"/>
      <c r="AI62" s="1494"/>
      <c r="AJ62" s="1494"/>
      <c r="AK62" s="1494"/>
      <c r="AL62" s="1494"/>
      <c r="AM62" s="1494"/>
      <c r="AN62" s="1494"/>
      <c r="AO62" s="1494"/>
      <c r="AP62" s="1494"/>
      <c r="AQ62" s="1494"/>
      <c r="AR62" s="1494"/>
      <c r="AS62" s="1494"/>
      <c r="AT62" s="1494"/>
      <c r="AU62" s="1494"/>
      <c r="AV62" s="1494"/>
      <c r="AW62" s="1494"/>
      <c r="AX62" s="1494"/>
      <c r="AY62" s="1494"/>
      <c r="AZ62" s="1494"/>
      <c r="BA62" s="1494"/>
      <c r="BB62" s="1494"/>
      <c r="BC62" s="1494"/>
      <c r="BE62" s="670"/>
      <c r="BF62" s="670" t="str">
        <f>IF(T62="","",T62)</f>
        <v>Добавить территорию для дифференциации</v>
      </c>
      <c r="BG62" s="670"/>
      <c r="BH62" s="670"/>
      <c r="BI62" s="681">
        <v>0</v>
      </c>
    </row>
    <row s="11993" customFormat="1" customHeight="1" ht="0">
      <c r="A63" s="1484"/>
      <c r="B63" s="1484"/>
      <c r="C63" s="1484"/>
      <c r="D63" s="1484"/>
      <c r="E63" s="1513"/>
      <c r="F63" s="1484"/>
      <c r="G63" s="1484"/>
      <c r="H63" s="1484"/>
      <c r="I63" s="1484"/>
      <c r="J63" s="1484"/>
      <c r="K63" s="1484"/>
      <c r="L63" s="1664"/>
      <c r="M63" s="1491"/>
      <c r="N63" s="1491"/>
      <c r="P63" s="1486"/>
      <c r="Q63" s="1487"/>
      <c r="R63" s="1486"/>
      <c r="S63" s="1492"/>
      <c r="T63" s="1495" t="s">
        <v>168</v>
      </c>
      <c r="U63" s="1494"/>
      <c r="V63" s="1494"/>
      <c r="W63" s="1494"/>
      <c r="X63" s="1494"/>
      <c r="Y63" s="1494"/>
      <c r="Z63" s="1494"/>
      <c r="AA63" s="1494"/>
      <c r="AB63" s="1494"/>
      <c r="AC63" s="1494"/>
      <c r="AD63" s="1494"/>
      <c r="AE63" s="1494"/>
      <c r="AF63" s="1494"/>
      <c r="AG63" s="1494"/>
      <c r="AH63" s="1494"/>
      <c r="AI63" s="1494"/>
      <c r="AJ63" s="1494"/>
      <c r="AK63" s="1494"/>
      <c r="AL63" s="1494"/>
      <c r="AM63" s="1494"/>
      <c r="AN63" s="1494"/>
      <c r="AO63" s="1494"/>
      <c r="AP63" s="1494"/>
      <c r="AQ63" s="1494"/>
      <c r="AR63" s="1494"/>
      <c r="AS63" s="1494"/>
      <c r="AT63" s="1494"/>
      <c r="AU63" s="1494"/>
      <c r="AV63" s="1494"/>
      <c r="AW63" s="1494"/>
      <c r="AX63" s="1494"/>
      <c r="AY63" s="1494"/>
      <c r="AZ63" s="1494"/>
      <c r="BA63" s="1494"/>
      <c r="BB63" s="1494"/>
      <c r="BC63" s="1494"/>
      <c r="BE63" s="959"/>
      <c r="BF63" s="959" t="str">
        <f>IF(T63="","",T63)</f>
        <v>Добавить наименование тарифа</v>
      </c>
      <c r="BG63" s="959"/>
      <c r="BH63" s="959"/>
      <c r="BI63" s="688">
        <v>0</v>
      </c>
    </row>
    <row customHeight="1" ht="11.549999999999999">
      <c r="M64" s="1330"/>
      <c r="N64" s="1330"/>
      <c r="O64" s="707"/>
      <c r="P64" s="1330"/>
      <c r="Q64" s="1330"/>
      <c r="R64" s="1325"/>
      <c r="S64" s="1325"/>
      <c r="BD64" s="1325"/>
      <c r="BE64" s="1325"/>
      <c r="BF64" s="1325"/>
      <c r="BG64" s="1325"/>
      <c r="BH64" s="1325"/>
      <c r="BI64" s="1325">
        <v>11</v>
      </c>
    </row>
    <row customHeight="1" ht="19.95">
      <c r="O65" s="707"/>
      <c r="S65" s="1423"/>
      <c r="T65" s="2455"/>
      <c r="U65" s="2455"/>
      <c r="V65" s="2455"/>
      <c r="W65" s="2455"/>
      <c r="X65" s="2455"/>
      <c r="Y65" s="2455"/>
      <c r="Z65" s="2455"/>
      <c r="AA65" s="2455"/>
      <c r="AB65" s="2455"/>
      <c r="AC65" s="2455"/>
      <c r="AD65" s="2455"/>
      <c r="AE65" s="2455"/>
      <c r="AF65" s="2455"/>
      <c r="AG65" s="2455"/>
      <c r="AH65" s="2455"/>
      <c r="AI65" s="2455"/>
      <c r="AJ65" s="2455"/>
      <c r="AK65" s="2455"/>
      <c r="AL65" s="2455"/>
      <c r="AM65" s="2455"/>
      <c r="AN65" s="2455"/>
      <c r="AO65" s="2455"/>
      <c r="AP65" s="2455"/>
      <c r="AQ65" s="2455"/>
      <c r="AR65" s="2455"/>
      <c r="AS65" s="2455"/>
      <c r="AT65" s="2455"/>
      <c r="AU65" s="2455"/>
      <c r="AV65" s="2455"/>
      <c r="AW65" s="2455"/>
      <c r="AX65" s="2455"/>
      <c r="AY65" s="2455"/>
      <c r="AZ65" s="2455"/>
      <c r="BA65" s="2455"/>
      <c r="BB65" s="2455"/>
      <c r="BC65" s="2455"/>
      <c r="BI65" s="1325">
        <v>19</v>
      </c>
    </row>
    <row customHeight="1" ht="14.699999999999998">
      <c r="O66" s="707"/>
      <c r="T66" s="1650"/>
      <c r="U66" s="1650"/>
      <c r="V66" s="1650"/>
      <c r="W66" s="1650"/>
      <c r="X66" s="1650"/>
      <c r="Y66" s="1650"/>
      <c r="Z66" s="1650"/>
      <c r="AA66" s="1650"/>
      <c r="AB66" s="1650"/>
      <c r="AC66" s="1650"/>
      <c r="AD66" s="1650"/>
      <c r="AE66" s="1650"/>
      <c r="AF66" s="1650"/>
      <c r="AG66" s="1650"/>
      <c r="AH66" s="1650"/>
      <c r="AI66" s="1650"/>
      <c r="AJ66" s="1650"/>
      <c r="AK66" s="1650"/>
      <c r="AL66" s="1650"/>
      <c r="AM66" s="1650"/>
      <c r="AN66" s="1650"/>
      <c r="AO66" s="1650"/>
      <c r="AP66" s="1650"/>
      <c r="AQ66" s="1650"/>
      <c r="AR66" s="1650"/>
      <c r="AS66" s="1650"/>
      <c r="AT66" s="1650"/>
      <c r="AU66" s="1650"/>
      <c r="AV66" s="1650"/>
      <c r="AW66" s="1650"/>
      <c r="AX66" s="1650"/>
      <c r="AY66" s="1650"/>
      <c r="AZ66" s="1650"/>
      <c r="BA66" s="1650"/>
      <c r="BB66" s="1650"/>
      <c r="BC66" s="1650"/>
      <c r="BI66" s="1325">
        <v>14</v>
      </c>
    </row>
    <row customHeight="1" ht="19.95">
      <c r="O67" s="707"/>
      <c r="S67" s="1423"/>
      <c r="T67" s="2455"/>
      <c r="U67" s="2455"/>
      <c r="V67" s="2455"/>
      <c r="W67" s="2455"/>
      <c r="X67" s="2455"/>
      <c r="Y67" s="2455"/>
      <c r="Z67" s="2455"/>
      <c r="AA67" s="2455"/>
      <c r="AB67" s="2455"/>
      <c r="AC67" s="2455"/>
      <c r="AD67" s="2455"/>
      <c r="AE67" s="2455"/>
      <c r="AF67" s="2455"/>
      <c r="AG67" s="2455"/>
      <c r="AH67" s="2455"/>
      <c r="AI67" s="2455"/>
      <c r="AJ67" s="2455"/>
      <c r="AK67" s="2455"/>
      <c r="AL67" s="2455"/>
      <c r="AM67" s="2455"/>
      <c r="AN67" s="2455"/>
      <c r="AO67" s="2455"/>
      <c r="AP67" s="2455"/>
      <c r="AQ67" s="2455"/>
      <c r="AR67" s="2455"/>
      <c r="AS67" s="2455"/>
      <c r="AT67" s="2455"/>
      <c r="AU67" s="2455"/>
      <c r="AV67" s="2455"/>
      <c r="AW67" s="2455"/>
      <c r="AX67" s="2455"/>
      <c r="AY67" s="2455"/>
      <c r="AZ67" s="2455"/>
      <c r="BA67" s="2455"/>
      <c r="BB67" s="2455"/>
      <c r="BC67" s="2455"/>
      <c r="BI67" s="1325">
        <v>19</v>
      </c>
    </row>
    <row customHeight="1" ht="14.699999999999998">
      <c r="O68" s="707"/>
      <c r="BI68" s="1325">
        <v>14</v>
      </c>
    </row>
    <row customHeight="1" ht="14.25" hidden="1">
      <c r="A69" s="1330" t="s">
        <v>85</v>
      </c>
      <c r="B69" s="1330">
        <v>0</v>
      </c>
      <c r="C69" s="1330">
        <v>0</v>
      </c>
      <c r="D69" s="1330">
        <v>0</v>
      </c>
      <c r="E69" s="1330">
        <v>0</v>
      </c>
      <c r="F69" s="1330">
        <v>0</v>
      </c>
      <c r="G69" s="1330">
        <v>0</v>
      </c>
      <c r="H69" s="1330">
        <v>0</v>
      </c>
      <c r="I69" s="1330">
        <v>0</v>
      </c>
      <c r="J69" s="1330">
        <v>0</v>
      </c>
      <c r="K69" s="1330">
        <v>0</v>
      </c>
      <c r="L69" s="1648">
        <v>0</v>
      </c>
      <c r="M69" s="1532">
        <v>0</v>
      </c>
      <c r="N69" s="1532">
        <v>0</v>
      </c>
      <c r="O69" s="1532">
        <v>0</v>
      </c>
      <c r="P69" s="1532">
        <v>0</v>
      </c>
      <c r="Q69" s="1541">
        <v>0</v>
      </c>
      <c r="R69" s="514">
        <v>3</v>
      </c>
      <c r="S69" s="751">
        <v>12</v>
      </c>
      <c r="T69" s="1325">
        <v>31</v>
      </c>
      <c r="U69" s="1325">
        <v>0</v>
      </c>
      <c r="V69" s="1325">
        <v>0</v>
      </c>
      <c r="W69" s="1325">
        <v>0</v>
      </c>
      <c r="X69" s="1325">
        <v>0</v>
      </c>
      <c r="Y69" s="1325">
        <v>0</v>
      </c>
      <c r="Z69" s="1325">
        <v>0</v>
      </c>
      <c r="AA69" s="1325">
        <v>0</v>
      </c>
      <c r="AB69" s="1325">
        <v>0</v>
      </c>
      <c r="AC69" s="1325">
        <v>0</v>
      </c>
      <c r="AD69" s="1325">
        <v>3</v>
      </c>
      <c r="AE69" s="1325">
        <v>3</v>
      </c>
      <c r="AF69" s="1325">
        <v>3</v>
      </c>
      <c r="AG69" s="1325">
        <v>24</v>
      </c>
      <c r="AH69" s="1325">
        <v>3</v>
      </c>
      <c r="AI69" s="1325">
        <v>3</v>
      </c>
      <c r="AJ69" s="1325">
        <v>3</v>
      </c>
      <c r="AK69" s="1325">
        <v>24</v>
      </c>
      <c r="AL69" s="1325">
        <v>3</v>
      </c>
      <c r="AM69" s="1325">
        <v>3</v>
      </c>
      <c r="AN69" s="1325">
        <v>3</v>
      </c>
      <c r="AO69" s="1325">
        <v>18</v>
      </c>
      <c r="AP69" s="1325">
        <v>3</v>
      </c>
      <c r="AQ69" s="1325">
        <v>3</v>
      </c>
      <c r="AR69" s="1325">
        <v>3</v>
      </c>
      <c r="AS69" s="1325">
        <v>18</v>
      </c>
      <c r="AT69" s="1325">
        <v>21</v>
      </c>
      <c r="AU69" s="1325">
        <v>21</v>
      </c>
      <c r="AV69" s="1325">
        <v>21</v>
      </c>
      <c r="AW69" s="1325">
        <v>21</v>
      </c>
      <c r="AX69" s="1325">
        <v>11</v>
      </c>
      <c r="AY69" s="1325">
        <v>3</v>
      </c>
      <c r="AZ69" s="1325">
        <v>11</v>
      </c>
      <c r="BA69" s="1325">
        <v>0</v>
      </c>
      <c r="BB69" s="1325">
        <v>4</v>
      </c>
      <c r="BC69" s="1325">
        <v>115</v>
      </c>
      <c r="BD69" s="681">
        <v>10</v>
      </c>
      <c r="BE69" s="681">
        <v>10</v>
      </c>
      <c r="BF69" s="681">
        <v>10</v>
      </c>
      <c r="BG69" s="681">
        <v>10</v>
      </c>
      <c r="BH69" s="681">
        <v>10</v>
      </c>
      <c r="BI69" s="132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470312-38BF-981F-999E-6F85A455CFFD}"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14537" width="10.7109375" hidden="1" customWidth="1"/>
    <col min="2" max="2" style="11992" width="16.8515625" hidden="1" customWidth="1"/>
    <col min="3" max="3" style="11993" width="5.57421875" hidden="1" customWidth="1"/>
    <col min="4" max="4" style="11913" width="3.00390625" customWidth="1"/>
    <col min="5" max="5" style="11913" width="7.00390625" customWidth="1"/>
    <col min="6" max="6" style="11913" width="54.00390625" customWidth="1"/>
    <col min="7" max="7" style="11913" width="10.00390625" customWidth="1"/>
    <col min="8" max="8" style="11913" width="40.7109375" hidden="1" customWidth="1"/>
    <col min="9" max="9" style="11913" width="40.7109375" customWidth="1"/>
    <col min="10" max="10" style="11913" width="102.00390625" customWidth="1"/>
    <col min="11" max="11" style="11992" width="9.00390625" customWidth="1"/>
    <col min="12" max="12" style="11993" width="5.00390625" customWidth="1"/>
    <col min="13" max="13" style="11993" width="3.00390625" customWidth="1"/>
    <col min="14" max="17" style="11992" width="3.00390625" customWidth="1"/>
    <col min="18" max="18" style="11993" width="10.00390625" customWidth="1"/>
    <col min="19" max="19" style="11992" width="34.00390625" customWidth="1"/>
    <col min="20" max="20" style="11992" width="9.00390625" customWidth="1"/>
    <col min="21" max="21" style="14538" width="8.00390625" customWidth="1"/>
    <col min="22" max="26" style="11992" width="8.00390625" customWidth="1"/>
    <col min="27" max="31" style="11877" width="8.00390625" customWidth="1"/>
    <col min="32" max="32" style="11913" width="9.140625" hidden="1"/>
  </cols>
  <sheetData>
    <row customHeight="1" ht="22.5" hidden="1">
      <c r="AF1" s="1801" t="s">
        <v>14</v>
      </c>
    </row>
    <row customHeight="1" ht="23.25" hidden="1">
      <c r="B2" s="2269"/>
      <c r="C2" s="1337" t="s">
        <v>560</v>
      </c>
      <c r="D2" s="1808"/>
      <c r="E2" s="716">
        <f>B2</f>
        <v>0</v>
      </c>
      <c r="F2" s="717"/>
      <c r="G2" s="1816" t="s">
        <v>561</v>
      </c>
      <c r="H2" s="1816" t="s">
        <v>561</v>
      </c>
      <c r="I2" s="1816" t="s">
        <v>561</v>
      </c>
      <c r="J2" s="459" t="s">
        <v>562</v>
      </c>
      <c r="K2" s="713"/>
      <c r="AF2" s="1801">
        <v>0</v>
      </c>
    </row>
    <row s="11993" customFormat="1" customHeight="1" ht="0.75" hidden="1">
      <c r="B3" s="2269"/>
      <c r="C3" s="1337"/>
      <c r="D3" s="718"/>
      <c r="E3" s="719"/>
      <c r="F3" s="720" t="s">
        <v>563</v>
      </c>
      <c r="G3" s="721"/>
      <c r="H3" s="721">
        <f>H4*H5+H7</f>
        <v>0</v>
      </c>
      <c r="I3" s="721">
        <f>I4*I5+I6</f>
        <v>0</v>
      </c>
      <c r="J3" s="722"/>
      <c r="AF3" s="1806">
        <v>0</v>
      </c>
    </row>
    <row customHeight="1" ht="23.25" hidden="1">
      <c r="B4" s="2269"/>
      <c r="C4" s="1337"/>
      <c r="D4" s="1808"/>
      <c r="E4" s="716" t="str">
        <f>B2&amp;".1"</f>
        <v>.1</v>
      </c>
      <c r="F4" s="723" t="s">
        <v>564</v>
      </c>
      <c r="G4" s="724"/>
      <c r="H4" s="711"/>
      <c r="I4" s="711"/>
      <c r="J4" s="459" t="s">
        <v>565</v>
      </c>
      <c r="K4" s="713"/>
      <c r="AF4" s="1801">
        <v>0</v>
      </c>
    </row>
    <row customHeight="1" ht="18.75" hidden="1">
      <c r="B5" s="2269"/>
      <c r="C5" s="1337"/>
      <c r="D5" s="1808"/>
      <c r="E5" s="716" t="str">
        <f>B2&amp;".2"</f>
        <v>.2</v>
      </c>
      <c r="F5" s="723" t="s">
        <v>566</v>
      </c>
      <c r="G5" s="1816" t="s">
        <v>567</v>
      </c>
      <c r="H5" s="711"/>
      <c r="I5" s="711"/>
      <c r="J5" s="459"/>
      <c r="K5" s="713"/>
      <c r="AF5" s="1801">
        <v>0</v>
      </c>
    </row>
    <row customHeight="1" ht="18.75" hidden="1">
      <c r="B6" s="2269"/>
      <c r="C6" s="1337"/>
      <c r="D6" s="1808"/>
      <c r="E6" s="716" t="str">
        <f>B2&amp;".3"</f>
        <v>.3</v>
      </c>
      <c r="F6" s="723" t="s">
        <v>568</v>
      </c>
      <c r="G6" s="1816" t="s">
        <v>567</v>
      </c>
      <c r="H6" s="711"/>
      <c r="I6" s="711"/>
      <c r="J6" s="459"/>
      <c r="K6" s="713"/>
      <c r="AF6" s="1801">
        <v>0</v>
      </c>
    </row>
    <row customHeight="1" ht="18.75" hidden="1">
      <c r="B7" s="2269"/>
      <c r="C7" s="1337"/>
      <c r="D7" s="1808"/>
      <c r="E7" s="716" t="str">
        <f>B2&amp;".4"</f>
        <v>.4</v>
      </c>
      <c r="F7" s="723" t="s">
        <v>569</v>
      </c>
      <c r="G7" s="1816" t="s">
        <v>561</v>
      </c>
      <c r="H7" s="725"/>
      <c r="I7" s="725"/>
      <c r="J7" s="459"/>
      <c r="K7" s="713"/>
      <c r="AF7" s="1801">
        <v>0</v>
      </c>
    </row>
    <row s="11992" customFormat="1" customHeight="1" ht="11.25" hidden="1">
      <c r="A8" s="1157"/>
      <c r="C8" s="1806"/>
      <c r="D8" s="707"/>
      <c r="H8" s="1330">
        <v>4</v>
      </c>
      <c r="I8" s="1330">
        <v>4</v>
      </c>
      <c r="L8" s="1806"/>
      <c r="M8" s="1806"/>
      <c r="R8" s="1806"/>
      <c r="AF8" s="1330">
        <v>0</v>
      </c>
    </row>
    <row s="11992" customFormat="1" customHeight="1" ht="22.5" hidden="1">
      <c r="A9" s="1157"/>
      <c r="C9" s="1806"/>
      <c r="D9" s="708"/>
      <c r="E9" s="1818"/>
      <c r="F9" s="710"/>
      <c r="G9" s="1816" t="s">
        <v>567</v>
      </c>
      <c r="H9" s="711"/>
      <c r="I9" s="711"/>
      <c r="J9" s="712" t="s">
        <v>570</v>
      </c>
      <c r="K9" s="713"/>
      <c r="L9" s="1806"/>
      <c r="M9" s="1806"/>
      <c r="R9" s="1806"/>
      <c r="U9" s="714"/>
      <c r="AA9" s="1802"/>
      <c r="AB9" s="1802"/>
      <c r="AC9" s="1802"/>
      <c r="AD9" s="1802"/>
      <c r="AE9" s="1802"/>
      <c r="AF9" s="1330">
        <v>0</v>
      </c>
    </row>
    <row customHeight="1" ht="11.25" hidden="1">
      <c r="AF10" s="1801">
        <v>0</v>
      </c>
    </row>
    <row customHeight="1" ht="18.75" hidden="1">
      <c r="D11" s="1808"/>
      <c r="E11" s="716"/>
      <c r="F11" s="710"/>
      <c r="G11" s="1816" t="s">
        <v>571</v>
      </c>
      <c r="H11" s="711"/>
      <c r="I11" s="711"/>
      <c r="J11" s="459" t="s">
        <v>572</v>
      </c>
      <c r="K11" s="713"/>
      <c r="AF11" s="1801">
        <v>0</v>
      </c>
    </row>
    <row customHeight="1" ht="11.25" hidden="1">
      <c r="AF12" s="1801">
        <v>0</v>
      </c>
    </row>
    <row customHeight="1" ht="22.5" hidden="1">
      <c r="D13" s="1808"/>
      <c r="E13" s="716"/>
      <c r="F13" s="710"/>
      <c r="G13" s="1139" t="s">
        <v>573</v>
      </c>
      <c r="H13" s="715"/>
      <c r="I13" s="715"/>
      <c r="J13" s="915" t="s">
        <v>574</v>
      </c>
      <c r="K13" s="713"/>
      <c r="AF13" s="1801">
        <v>0</v>
      </c>
    </row>
    <row customHeight="1" ht="11.25" hidden="1">
      <c r="AF14" s="1801">
        <v>0</v>
      </c>
    </row>
    <row customHeight="1" ht="22.5" hidden="1">
      <c r="D15" s="1808"/>
      <c r="E15" s="716"/>
      <c r="F15" s="710"/>
      <c r="G15" s="1816" t="s">
        <v>575</v>
      </c>
      <c r="H15" s="715"/>
      <c r="I15" s="715"/>
      <c r="J15" s="459" t="s">
        <v>576</v>
      </c>
      <c r="K15" s="713"/>
      <c r="AF15" s="1801">
        <v>0</v>
      </c>
    </row>
    <row customHeight="1" ht="11.25" hidden="1">
      <c r="AF16" s="1801">
        <v>0</v>
      </c>
    </row>
    <row customHeight="1" ht="22.5" hidden="1">
      <c r="D17" s="1808"/>
      <c r="E17" s="716"/>
      <c r="F17" s="710"/>
      <c r="G17" s="1816" t="s">
        <v>577</v>
      </c>
      <c r="H17" s="715"/>
      <c r="I17" s="715"/>
      <c r="J17" s="459" t="s">
        <v>578</v>
      </c>
      <c r="K17" s="713"/>
      <c r="AF17" s="1801">
        <v>0</v>
      </c>
    </row>
    <row customHeight="1" ht="11.25" hidden="1">
      <c r="AF18" s="1801">
        <v>0</v>
      </c>
    </row>
    <row s="11877" customFormat="1" customHeight="1" ht="11.25" hidden="1">
      <c r="A19" s="1157"/>
      <c r="B19" s="1330"/>
      <c r="C19" s="1806"/>
      <c r="D19" s="532"/>
      <c r="J19" s="1802">
        <v>4</v>
      </c>
      <c r="K19" s="1330"/>
      <c r="L19" s="1806"/>
      <c r="M19" s="1806"/>
      <c r="N19" s="1330"/>
      <c r="O19" s="1330"/>
      <c r="P19" s="1330"/>
      <c r="Q19" s="1330"/>
      <c r="R19" s="1806"/>
      <c r="S19" s="1330"/>
      <c r="T19" s="1330"/>
      <c r="U19" s="714"/>
      <c r="V19" s="1330"/>
      <c r="W19" s="1330"/>
      <c r="X19" s="1330"/>
      <c r="Y19" s="1330"/>
      <c r="Z19" s="1330"/>
      <c r="AF19" s="1802">
        <v>0</v>
      </c>
    </row>
    <row customHeight="1" ht="11.549999999999999">
      <c r="AF20" s="1801">
        <v>11</v>
      </c>
    </row>
    <row customHeight="1" ht="25.2">
      <c r="E21" s="241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418"/>
      <c r="G21" s="2418"/>
      <c r="H21" s="2418"/>
      <c r="I21" s="2418"/>
      <c r="J21" s="726"/>
      <c r="AF21" s="1801">
        <v>24</v>
      </c>
    </row>
    <row customHeight="1" ht="25.2">
      <c r="E22" s="2419" t="str">
        <f>IF(org=0,"Не определено",org)</f>
        <v>Филиал "Шатурская ГРЭС" ПАО "Юнипро"</v>
      </c>
      <c r="F22" s="2419"/>
      <c r="G22" s="2419"/>
      <c r="H22" s="2419"/>
      <c r="I22" s="2419"/>
      <c r="AF22" s="1801">
        <v>24</v>
      </c>
    </row>
    <row customHeight="1" ht="11.549999999999999">
      <c r="E23" s="1305"/>
      <c r="F23" s="1305"/>
      <c r="G23" s="1305"/>
      <c r="H23" s="1305"/>
      <c r="I23" s="1305"/>
      <c r="AF23" s="1801">
        <v>11</v>
      </c>
    </row>
    <row s="11993" customFormat="1" customHeight="1" ht="1.05">
      <c r="A24" s="1337"/>
      <c r="D24" s="1812"/>
      <c r="H24" s="1059"/>
      <c r="I24" s="1059" t="s">
        <v>120</v>
      </c>
      <c r="AF24" s="1806">
        <v>1</v>
      </c>
    </row>
    <row customHeight="1" ht="11.549999999999999">
      <c r="E25" s="881"/>
      <c r="F25" s="2537" t="s">
        <v>108</v>
      </c>
      <c r="G25" s="2538"/>
      <c r="H25" s="1822" t="str">
        <f>IF(H24="","",INDEX(DIFFERENTIATION_UNMERGE_VD,MATCH(H24,DIFFERENTIATION_ID_DIFF,0)))</f>
        <v/>
      </c>
      <c r="I25" s="1822">
        <f>IF(I24="","",INDEX(DIFFERENTIATION_UNMERGE_VD,MATCH(I24,DIFFERENTIATION_ID_DIFF,0)))</f>
        <v>0</v>
      </c>
      <c r="J25" s="2297"/>
      <c r="AF25" s="1801">
        <v>11</v>
      </c>
    </row>
    <row customHeight="1" ht="11.549999999999999">
      <c r="E26" s="881"/>
      <c r="F26" s="2537" t="s">
        <v>579</v>
      </c>
      <c r="G26" s="2538"/>
      <c r="H26" s="1822" t="str">
        <f>IF(H24="","",INDEX(DIFFERENTIATION_UNMERGE_AREA,MATCH(H24,DIFFERENTIATION_ID_DIFF,0)))</f>
        <v/>
      </c>
      <c r="I26" s="1822" t="str">
        <f>IF(I24="","",INDEX(DIFFERENTIATION_UNMERGE_AREA,MATCH(I24,DIFFERENTIATION_ID_DIFF,0)))</f>
        <v/>
      </c>
      <c r="J26" s="2297"/>
      <c r="AF26" s="1801">
        <v>11</v>
      </c>
    </row>
    <row customHeight="1" ht="11.549999999999999">
      <c r="E27" s="881"/>
      <c r="F27" s="2537" t="s">
        <v>580</v>
      </c>
      <c r="G27" s="2538"/>
      <c r="H27" s="1822" t="str">
        <f>IF(H24="","",INDEX(DIFFERENTIATION_UNMERGE_SYSTEM,MATCH(H24,DIFFERENTIATION_ID_DIFF,0)))</f>
        <v/>
      </c>
      <c r="I27" s="1822" t="str">
        <f>IF(I24="","",INDEX(DIFFERENTIATION_UNMERGE_SYSTEM,MATCH(I24,DIFFERENTIATION_ID_DIFF,0)))</f>
        <v>без дифференциации</v>
      </c>
      <c r="J27" s="2297"/>
      <c r="AF27" s="1801">
        <v>11</v>
      </c>
    </row>
    <row customHeight="1" ht="11.549999999999999">
      <c r="E28" s="2539" t="s">
        <v>312</v>
      </c>
      <c r="F28" s="2540"/>
      <c r="G28" s="2540"/>
      <c r="H28" s="1815"/>
      <c r="I28" s="1815"/>
      <c r="J28" s="2297"/>
      <c r="AF28" s="1801">
        <v>11</v>
      </c>
    </row>
    <row customHeight="1" ht="24">
      <c r="E29" s="1816" t="s">
        <v>91</v>
      </c>
      <c r="F29" s="1823" t="s">
        <v>314</v>
      </c>
      <c r="G29" s="1823" t="s">
        <v>581</v>
      </c>
      <c r="H29" s="1823" t="s">
        <v>315</v>
      </c>
      <c r="I29" s="1823" t="s">
        <v>315</v>
      </c>
      <c r="J29" s="2297"/>
      <c r="AF29" s="1801">
        <v>23</v>
      </c>
    </row>
    <row customHeight="1" ht="19.95">
      <c r="D30" s="1808"/>
      <c r="E30" s="716">
        <f>FHD_NUM_P_1</f>
        <v>1</v>
      </c>
      <c r="F30" s="2050" t="str">
        <f>FHD_P_1</f>
        <v>Выручка от регулируемого вида деятельности с распределением по видам деятельности</v>
      </c>
      <c r="G30" s="2048" t="s">
        <v>567</v>
      </c>
      <c r="H30" s="727"/>
      <c r="I30" s="727"/>
      <c r="J30" s="459" t="str">
        <f>FHD_NOTE_P_1</f>
        <v>Указывается выручка от регулируемого вида деятельности с распределением по видам деятельности.</v>
      </c>
      <c r="K30" s="713"/>
      <c r="AF30" s="1801">
        <v>19</v>
      </c>
    </row>
    <row customHeight="1" ht="11.549999999999999">
      <c r="D31" s="1808"/>
      <c r="E31" s="716">
        <f>FHD_NUM_P_2</f>
        <v>2</v>
      </c>
      <c r="F31" s="2050" t="str">
        <f>FHD_P_2</f>
        <v>Себестоимость производимых товаров (оказываемых услуг) по регулируемому виду деятельности, включая:</v>
      </c>
      <c r="G31" s="2048" t="s">
        <v>567</v>
      </c>
      <c r="H31" s="728">
        <f>SUMIF($K33:$K71,$K31,H33:H71)</f>
        <v>0</v>
      </c>
      <c r="I31" s="728">
        <f>SUMIF($K33:$K71,$K31,I33:I71)</f>
        <v>0</v>
      </c>
      <c r="J31" s="459" t="str">
        <f>FHD_NOTE_P_2</f>
        <v>Указывается суммарная себестоимость производимых товаров.</v>
      </c>
      <c r="K31" s="1806" t="s">
        <v>582</v>
      </c>
      <c r="AF31" s="1801">
        <v>11</v>
      </c>
    </row>
    <row customHeight="1" ht="11.549999999999999">
      <c r="D32" s="1808"/>
      <c r="E32" s="716" t="str">
        <f>FHD_NUM_P_3</f>
        <v>2.1</v>
      </c>
      <c r="F32" s="1694" t="str">
        <f>FHD_P_3</f>
        <v>Расходы на приобретаемую тепловую энергию (мощность), теплоноситель</v>
      </c>
      <c r="G32" s="2048" t="s">
        <v>567</v>
      </c>
      <c r="H32" s="727"/>
      <c r="I32" s="727"/>
      <c r="J32" s="459" t="str">
        <f>FHD_NOTE_P_3</f>
        <v/>
      </c>
      <c r="K32" s="1806" t="str">
        <f>IF((LEN(E32)-LEN(SUBSTITUTE(E32,".","")))/LEN(".")=1,"p","")</f>
        <v>p</v>
      </c>
      <c r="AF32" s="1801">
        <v>11</v>
      </c>
    </row>
    <row customHeight="1" ht="11.25">
      <c r="A33" s="2541" t="s">
        <v>583</v>
      </c>
      <c r="D33" s="1808"/>
      <c r="E33" s="716" t="str">
        <f>FHD_NUM_P_4</f>
        <v>2.2</v>
      </c>
      <c r="F33" s="169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2048" t="s">
        <v>567</v>
      </c>
      <c r="H33" s="728">
        <f>SUMIF($F34:$F40,$F3,H34:H40)</f>
        <v>0</v>
      </c>
      <c r="I33" s="728">
        <f>SUMIF($F34:$F40,$F3,I34:I40)</f>
        <v>0</v>
      </c>
      <c r="J33" s="459" t="str">
        <f>FHD_NOTE_P_4</f>
        <v>Указываются суммарные расходы на приобретение топлива всех видов.</v>
      </c>
      <c r="K33" s="1806" t="str">
        <f>IF((LEN(E33)-LEN(SUBSTITUTE(E33,".","")))/LEN(".")=1,"p","")</f>
        <v>p</v>
      </c>
      <c r="AF33" s="1801">
        <v>0</v>
      </c>
    </row>
    <row s="12668" customFormat="1" customHeight="1" ht="0.75">
      <c r="A34" s="2541"/>
      <c r="B34" s="2542" t="str">
        <f>E33&amp;".0"</f>
        <v>2.2.0</v>
      </c>
      <c r="C34" s="1337"/>
      <c r="D34" s="730"/>
      <c r="E34" s="731"/>
      <c r="F34" s="732"/>
      <c r="G34" s="733"/>
      <c r="H34" s="667"/>
      <c r="I34" s="667"/>
      <c r="J34" s="734"/>
      <c r="K34" s="1806" t="str">
        <f>IF((LEN(E34)-LEN(SUBSTITUTE(E34,".","")))/LEN(".")=1,"p","")</f>
        <v/>
      </c>
      <c r="L34" s="1806"/>
      <c r="M34" s="1806"/>
      <c r="N34" s="1806"/>
      <c r="O34" s="1806"/>
      <c r="P34" s="1806"/>
      <c r="Q34" s="1806"/>
      <c r="R34" s="1806"/>
      <c r="S34" s="1806"/>
      <c r="T34" s="1806"/>
      <c r="U34" s="735"/>
      <c r="V34" s="1806"/>
      <c r="W34" s="1806"/>
      <c r="X34" s="1806"/>
      <c r="Y34" s="1806"/>
      <c r="Z34" s="1806"/>
      <c r="AA34" s="736"/>
      <c r="AB34" s="736"/>
      <c r="AC34" s="736"/>
      <c r="AD34" s="736"/>
      <c r="AE34" s="736"/>
      <c r="AF34" s="1811">
        <v>0</v>
      </c>
    </row>
    <row s="12668" customFormat="1" customHeight="1" ht="0.75">
      <c r="A35" s="2541"/>
      <c r="B35" s="2542"/>
      <c r="C35" s="1337"/>
      <c r="D35" s="730"/>
      <c r="E35" s="737"/>
      <c r="F35" s="738"/>
      <c r="G35" s="733"/>
      <c r="H35" s="739"/>
      <c r="I35" s="739"/>
      <c r="J35" s="734"/>
      <c r="K35" s="1806" t="str">
        <f>IF((LEN(E35)-LEN(SUBSTITUTE(E35,".","")))/LEN(".")=1,"p","")</f>
        <v/>
      </c>
      <c r="L35" s="1806"/>
      <c r="M35" s="1806"/>
      <c r="N35" s="1806"/>
      <c r="O35" s="1806"/>
      <c r="P35" s="1806"/>
      <c r="Q35" s="1806"/>
      <c r="R35" s="1806"/>
      <c r="S35" s="1806"/>
      <c r="T35" s="1806"/>
      <c r="U35" s="735"/>
      <c r="V35" s="1806"/>
      <c r="W35" s="1806"/>
      <c r="X35" s="1806"/>
      <c r="Y35" s="1806"/>
      <c r="Z35" s="1806"/>
      <c r="AA35" s="736"/>
      <c r="AB35" s="736"/>
      <c r="AC35" s="736"/>
      <c r="AD35" s="736"/>
      <c r="AE35" s="736"/>
      <c r="AF35" s="1811">
        <v>0</v>
      </c>
    </row>
    <row s="12668" customFormat="1" customHeight="1" ht="0.75">
      <c r="A36" s="2541"/>
      <c r="B36" s="2542"/>
      <c r="C36" s="1337"/>
      <c r="D36" s="730"/>
      <c r="E36" s="737"/>
      <c r="F36" s="738"/>
      <c r="G36" s="733"/>
      <c r="H36" s="739"/>
      <c r="I36" s="739"/>
      <c r="J36" s="734"/>
      <c r="K36" s="1806" t="str">
        <f>IF((LEN(E36)-LEN(SUBSTITUTE(E36,".","")))/LEN(".")=1,"p","")</f>
        <v/>
      </c>
      <c r="L36" s="1806"/>
      <c r="M36" s="1806"/>
      <c r="N36" s="1806"/>
      <c r="O36" s="1806"/>
      <c r="P36" s="1806"/>
      <c r="Q36" s="1806"/>
      <c r="R36" s="1806"/>
      <c r="S36" s="1806"/>
      <c r="T36" s="1806"/>
      <c r="U36" s="735"/>
      <c r="V36" s="1806"/>
      <c r="W36" s="1806"/>
      <c r="X36" s="1806"/>
      <c r="Y36" s="1806"/>
      <c r="Z36" s="1806"/>
      <c r="AA36" s="736"/>
      <c r="AB36" s="736"/>
      <c r="AC36" s="736"/>
      <c r="AD36" s="736"/>
      <c r="AE36" s="736"/>
      <c r="AF36" s="1811">
        <v>0</v>
      </c>
    </row>
    <row s="12668" customFormat="1" customHeight="1" ht="0.75">
      <c r="A37" s="2541"/>
      <c r="B37" s="2542"/>
      <c r="C37" s="1337"/>
      <c r="D37" s="730"/>
      <c r="E37" s="737"/>
      <c r="F37" s="738"/>
      <c r="G37" s="733"/>
      <c r="H37" s="739"/>
      <c r="I37" s="739"/>
      <c r="J37" s="734"/>
      <c r="K37" s="1806" t="str">
        <f>IF((LEN(E37)-LEN(SUBSTITUTE(E37,".","")))/LEN(".")=1,"p","")</f>
        <v/>
      </c>
      <c r="L37" s="1806"/>
      <c r="M37" s="1806"/>
      <c r="N37" s="1806"/>
      <c r="O37" s="1806"/>
      <c r="P37" s="1806"/>
      <c r="Q37" s="1806"/>
      <c r="R37" s="1806"/>
      <c r="S37" s="1806"/>
      <c r="T37" s="1806"/>
      <c r="U37" s="735"/>
      <c r="V37" s="1806"/>
      <c r="W37" s="1806"/>
      <c r="X37" s="1806"/>
      <c r="Y37" s="1806"/>
      <c r="Z37" s="1806"/>
      <c r="AA37" s="736"/>
      <c r="AB37" s="736"/>
      <c r="AC37" s="736"/>
      <c r="AD37" s="736"/>
      <c r="AE37" s="736"/>
      <c r="AF37" s="1811">
        <v>0</v>
      </c>
    </row>
    <row s="12668" customFormat="1" customHeight="1" ht="0.75">
      <c r="A38" s="2541"/>
      <c r="B38" s="2542"/>
      <c r="C38" s="1337"/>
      <c r="D38" s="730"/>
      <c r="E38" s="737"/>
      <c r="F38" s="738"/>
      <c r="G38" s="733"/>
      <c r="H38" s="739"/>
      <c r="I38" s="739"/>
      <c r="J38" s="734"/>
      <c r="K38" s="1806" t="str">
        <f>IF((LEN(E38)-LEN(SUBSTITUTE(E38,".","")))/LEN(".")=1,"p","")</f>
        <v/>
      </c>
      <c r="L38" s="1806"/>
      <c r="M38" s="1806"/>
      <c r="N38" s="1806"/>
      <c r="O38" s="1806"/>
      <c r="P38" s="1806"/>
      <c r="Q38" s="1806"/>
      <c r="R38" s="1806"/>
      <c r="S38" s="1806"/>
      <c r="T38" s="1806"/>
      <c r="U38" s="735"/>
      <c r="V38" s="1806"/>
      <c r="W38" s="1806"/>
      <c r="X38" s="1806"/>
      <c r="Y38" s="1806"/>
      <c r="Z38" s="1806"/>
      <c r="AA38" s="736"/>
      <c r="AB38" s="736"/>
      <c r="AC38" s="736"/>
      <c r="AD38" s="736"/>
      <c r="AE38" s="736"/>
      <c r="AF38" s="1811">
        <v>0</v>
      </c>
    </row>
    <row s="12668" customFormat="1" customHeight="1" ht="0.75">
      <c r="A39" s="2541"/>
      <c r="B39" s="2542"/>
      <c r="C39" s="1337"/>
      <c r="D39" s="730"/>
      <c r="E39" s="737"/>
      <c r="F39" s="738"/>
      <c r="G39" s="733"/>
      <c r="H39" s="667"/>
      <c r="I39" s="667"/>
      <c r="J39" s="734"/>
      <c r="K39" s="1806" t="str">
        <f>IF((LEN(E39)-LEN(SUBSTITUTE(E39,".","")))/LEN(".")=1,"p","")</f>
        <v/>
      </c>
      <c r="L39" s="1806"/>
      <c r="M39" s="1806"/>
      <c r="N39" s="1806"/>
      <c r="O39" s="1806"/>
      <c r="P39" s="1806"/>
      <c r="Q39" s="1806"/>
      <c r="R39" s="1806"/>
      <c r="S39" s="1806"/>
      <c r="T39" s="1806"/>
      <c r="U39" s="735"/>
      <c r="V39" s="1806"/>
      <c r="W39" s="1806"/>
      <c r="X39" s="1806"/>
      <c r="Y39" s="1806"/>
      <c r="Z39" s="1806"/>
      <c r="AA39" s="736"/>
      <c r="AB39" s="736"/>
      <c r="AC39" s="736"/>
      <c r="AD39" s="736"/>
      <c r="AE39" s="736"/>
      <c r="AF39" s="1811">
        <v>0</v>
      </c>
    </row>
    <row s="11992" customFormat="1" customHeight="1" ht="15">
      <c r="A40" s="2541"/>
      <c r="C40" s="1806"/>
      <c r="D40" s="1803"/>
      <c r="E40" s="740"/>
      <c r="F40" s="741" t="s">
        <v>584</v>
      </c>
      <c r="G40" s="742"/>
      <c r="H40" s="743"/>
      <c r="I40" s="743"/>
      <c r="J40" s="471"/>
      <c r="K40" s="1806" t="str">
        <f>IF((LEN(E40)-LEN(SUBSTITUTE(E40,".","")))/LEN(".")=1,"p","")</f>
        <v/>
      </c>
      <c r="L40" s="1806"/>
      <c r="M40" s="1806"/>
      <c r="R40" s="1806"/>
      <c r="U40" s="714"/>
      <c r="AA40" s="1802"/>
      <c r="AB40" s="1802"/>
      <c r="AC40" s="1802"/>
      <c r="AD40" s="1802"/>
      <c r="AE40" s="1802"/>
      <c r="AF40" s="1330">
        <v>0</v>
      </c>
    </row>
    <row customHeight="1" ht="11.25" hidden="1">
      <c r="A41" s="2541" t="s">
        <v>585</v>
      </c>
      <c r="D41" s="1808"/>
      <c r="E41" s="716" t="str">
        <f>FHD_NUM_P_5</f>
        <v/>
      </c>
      <c r="F41" s="1694" t="str">
        <f>FHD_P_5</f>
        <v/>
      </c>
      <c r="G41" s="2048" t="s">
        <v>567</v>
      </c>
      <c r="H41" s="727"/>
      <c r="I41" s="727"/>
      <c r="J41" s="459" t="str">
        <f>FHD_NOTE_P_5</f>
        <v/>
      </c>
      <c r="K41" s="1806" t="str">
        <f>IF((LEN(E41)-LEN(SUBSTITUTE(E41,".","")))/LEN(".")=1,"p","")</f>
        <v/>
      </c>
      <c r="AF41" s="1801">
        <v>0</v>
      </c>
    </row>
    <row customHeight="1" ht="11.25" hidden="1">
      <c r="A42" s="2541"/>
      <c r="D42" s="1808"/>
      <c r="E42" s="716" t="str">
        <f>FHD_NUM_P_6</f>
        <v/>
      </c>
      <c r="F42" s="1694" t="str">
        <f>FHD_P_6</f>
        <v/>
      </c>
      <c r="G42" s="2048" t="s">
        <v>567</v>
      </c>
      <c r="H42" s="727"/>
      <c r="I42" s="727"/>
      <c r="J42" s="459" t="str">
        <f>FHD_NOTE_P_6</f>
        <v/>
      </c>
      <c r="K42" s="1806" t="str">
        <f>IF((LEN(E42)-LEN(SUBSTITUTE(E42,".","")))/LEN(".")=1,"p","")</f>
        <v/>
      </c>
      <c r="AF42" s="1801">
        <v>0</v>
      </c>
    </row>
    <row customHeight="1" ht="11.25" hidden="1">
      <c r="A43" s="2541"/>
      <c r="D43" s="1808"/>
      <c r="E43" s="716" t="str">
        <f>FHD_NUM_P_7</f>
        <v/>
      </c>
      <c r="F43" s="1694" t="str">
        <f>FHD_P_7</f>
        <v/>
      </c>
      <c r="G43" s="2048" t="s">
        <v>567</v>
      </c>
      <c r="H43" s="727"/>
      <c r="I43" s="727"/>
      <c r="J43" s="459" t="str">
        <f>FHD_NOTE_P_7</f>
        <v/>
      </c>
      <c r="K43" s="1806" t="str">
        <f>IF((LEN(E43)-LEN(SUBSTITUTE(E43,".","")))/LEN(".")=1,"p","")</f>
        <v/>
      </c>
      <c r="AF43" s="1801">
        <v>0</v>
      </c>
    </row>
    <row customHeight="1" ht="11.549999999999999">
      <c r="D44" s="1808"/>
      <c r="E44" s="716" t="str">
        <f>FHD_NUM_P_8</f>
        <v>2.3</v>
      </c>
      <c r="F44" s="1694" t="str">
        <f>FHD_P_8</f>
        <v>Расходы на приобретаемую электрическую энергию (мощность), используемую в технологическом процессе</v>
      </c>
      <c r="G44" s="2048" t="s">
        <v>567</v>
      </c>
      <c r="H44" s="727"/>
      <c r="I44" s="727"/>
      <c r="J44" s="459" t="str">
        <f>FHD_NOTE_P_8</f>
        <v/>
      </c>
      <c r="K44" s="1806" t="str">
        <f>IF((LEN(E44)-LEN(SUBSTITUTE(E44,".","")))/LEN(".")=1,"p","")</f>
        <v>p</v>
      </c>
      <c r="AF44" s="1801">
        <v>11</v>
      </c>
    </row>
    <row customHeight="1" ht="11.549999999999999">
      <c r="D45" s="1808"/>
      <c r="E45" s="716" t="str">
        <f>FHD_NUM_P_9</f>
        <v>2.3.1</v>
      </c>
      <c r="F45" s="1820" t="str">
        <f>FHD_P_9</f>
        <v>Средневзвешенная стоимость 1 кВт.ч (с учетом мощности)</v>
      </c>
      <c r="G45" s="2048" t="s">
        <v>586</v>
      </c>
      <c r="H45" s="727"/>
      <c r="I45" s="727"/>
      <c r="J45" s="459" t="str">
        <f>FHD_NOTE_P_9</f>
        <v/>
      </c>
      <c r="K45" s="1806" t="str">
        <f>IF((LEN(E45)-LEN(SUBSTITUTE(E45,".","")))/LEN(".")=1,"p","")</f>
        <v/>
      </c>
      <c r="AF45" s="1801">
        <v>11</v>
      </c>
    </row>
    <row s="11992" customFormat="1" customHeight="1" ht="11.549999999999999">
      <c r="A46" s="1157"/>
      <c r="C46" s="1806"/>
      <c r="D46" s="744"/>
      <c r="E46" s="716" t="str">
        <f>FHD_NUM_P_10</f>
        <v>2.3.2</v>
      </c>
      <c r="F46" s="1820" t="str">
        <f>FHD_P_10</f>
        <v>Объём приобретения электрической энергии</v>
      </c>
      <c r="G46" s="2048" t="s">
        <v>587</v>
      </c>
      <c r="H46" s="727"/>
      <c r="I46" s="727"/>
      <c r="J46" s="459" t="str">
        <f>FHD_NOTE_P_10</f>
        <v/>
      </c>
      <c r="K46" s="1806" t="str">
        <f>IF((LEN(E46)-LEN(SUBSTITUTE(E46,".","")))/LEN(".")=1,"p","")</f>
        <v/>
      </c>
      <c r="L46" s="1806"/>
      <c r="M46" s="1806"/>
      <c r="R46" s="1806"/>
      <c r="U46" s="714"/>
      <c r="AA46" s="1802"/>
      <c r="AB46" s="1802"/>
      <c r="AC46" s="1802"/>
      <c r="AD46" s="1802"/>
      <c r="AE46" s="1802"/>
      <c r="AF46" s="1330">
        <v>11</v>
      </c>
    </row>
    <row s="11992" customFormat="1" customHeight="1" ht="11.25">
      <c r="A47" s="1159" t="s">
        <v>588</v>
      </c>
      <c r="C47" s="1806"/>
      <c r="D47" s="745"/>
      <c r="E47" s="716" t="str">
        <f>FHD_NUM_P_11</f>
        <v>2.4</v>
      </c>
      <c r="F47" s="1694" t="str">
        <f>FHD_P_11</f>
        <v>Расходы на приобретение холодной воды, используемой в технологическом процессе</v>
      </c>
      <c r="G47" s="2048" t="s">
        <v>567</v>
      </c>
      <c r="H47" s="727"/>
      <c r="I47" s="727"/>
      <c r="J47" s="459" t="str">
        <f>FHD_NOTE_P_11</f>
        <v/>
      </c>
      <c r="K47" s="1806" t="str">
        <f>IF((LEN(E47)-LEN(SUBSTITUTE(E47,".","")))/LEN(".")=1,"p","")</f>
        <v>p</v>
      </c>
      <c r="L47" s="1806"/>
      <c r="M47" s="1806"/>
      <c r="R47" s="1806"/>
      <c r="U47" s="714"/>
      <c r="AA47" s="1802"/>
      <c r="AB47" s="1802"/>
      <c r="AC47" s="1802"/>
      <c r="AD47" s="1802"/>
      <c r="AE47" s="1802"/>
      <c r="AF47" s="1330">
        <v>0</v>
      </c>
    </row>
    <row s="11992" customFormat="1" customHeight="1" ht="18.75">
      <c r="A48" s="1159" t="s">
        <v>589</v>
      </c>
      <c r="C48" s="1806"/>
      <c r="D48" s="1808"/>
      <c r="E48" s="716" t="str">
        <f>FHD_NUM_P_12</f>
        <v>2.5</v>
      </c>
      <c r="F48" s="1694" t="str">
        <f>FHD_P_12</f>
        <v>Расходы на  химические реагенты, используемые в технологическом процессе</v>
      </c>
      <c r="G48" s="2048" t="s">
        <v>567</v>
      </c>
      <c r="H48" s="747"/>
      <c r="I48" s="747"/>
      <c r="J48" s="459" t="str">
        <f>FHD_NOTE_P_12</f>
        <v/>
      </c>
      <c r="K48" s="1806" t="str">
        <f>IF((LEN(E48)-LEN(SUBSTITUTE(E48,".","")))/LEN(".")=1,"p","")</f>
        <v>p</v>
      </c>
      <c r="L48" s="1806"/>
      <c r="M48" s="1806"/>
      <c r="R48" s="1806"/>
      <c r="U48" s="714"/>
      <c r="AA48" s="1802"/>
      <c r="AB48" s="1802"/>
      <c r="AC48" s="1802"/>
      <c r="AD48" s="1802"/>
      <c r="AE48" s="1802"/>
      <c r="AF48" s="1330">
        <v>18</v>
      </c>
    </row>
    <row s="14476" customFormat="1" customHeight="1" ht="11.549999999999999">
      <c r="A49" s="1158"/>
      <c r="C49" s="900"/>
      <c r="D49" s="843"/>
      <c r="E49" s="716" t="str">
        <f>FHD_NUM_P_13</f>
        <v>2.6</v>
      </c>
      <c r="F49" s="169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048" t="s">
        <v>567</v>
      </c>
      <c r="H49" s="727"/>
      <c r="I49" s="727"/>
      <c r="J49" s="459" t="str">
        <f>FHD_NOTE_P_13</f>
        <v/>
      </c>
      <c r="K49" s="1806" t="str">
        <f>IF((LEN(E49)-LEN(SUBSTITUTE(E49,".","")))/LEN(".")=1,"p","")</f>
        <v>p</v>
      </c>
      <c r="L49" s="900"/>
      <c r="M49" s="900"/>
      <c r="R49" s="900"/>
      <c r="U49" s="901"/>
      <c r="AA49" s="902"/>
      <c r="AB49" s="902"/>
      <c r="AC49" s="902"/>
      <c r="AD49" s="902"/>
      <c r="AE49" s="902"/>
      <c r="AF49" s="899">
        <v>11</v>
      </c>
    </row>
    <row s="14476" customFormat="1" customHeight="1" ht="11.549999999999999">
      <c r="A50" s="1158"/>
      <c r="C50" s="900"/>
      <c r="D50" s="843"/>
      <c r="E50" s="716" t="str">
        <f>FHD_NUM_P_14</f>
        <v>2.6.1</v>
      </c>
      <c r="F50" s="1820" t="str">
        <f>FHD_P_14</f>
        <v>Расходы на оплату труда основного производственного персонала</v>
      </c>
      <c r="G50" s="2048" t="s">
        <v>567</v>
      </c>
      <c r="H50" s="727"/>
      <c r="I50" s="727"/>
      <c r="J50" s="459" t="str">
        <f>FHD_NOTE_P_14</f>
        <v/>
      </c>
      <c r="K50" s="1806" t="str">
        <f>IF((LEN(E50)-LEN(SUBSTITUTE(E50,".","")))/LEN(".")=1,"p","")</f>
        <v/>
      </c>
      <c r="L50" s="900"/>
      <c r="M50" s="900"/>
      <c r="R50" s="900"/>
      <c r="U50" s="901"/>
      <c r="AA50" s="902"/>
      <c r="AB50" s="902"/>
      <c r="AC50" s="902"/>
      <c r="AD50" s="902"/>
      <c r="AE50" s="902"/>
      <c r="AF50" s="899">
        <v>11</v>
      </c>
    </row>
    <row s="14476" customFormat="1" customHeight="1" ht="11.549999999999999">
      <c r="A51" s="1158"/>
      <c r="C51" s="900"/>
      <c r="D51" s="843"/>
      <c r="E51" s="716" t="str">
        <f>FHD_NUM_P_15</f>
        <v>2.6.2</v>
      </c>
      <c r="F51" s="1820" t="str">
        <f>FHD_P_15</f>
        <v>Страховые взносы на обязательное социальное страхование, выплачиваемые из фонда оплаты труда основного производственного персонала</v>
      </c>
      <c r="G51" s="2048" t="s">
        <v>567</v>
      </c>
      <c r="H51" s="727"/>
      <c r="I51" s="727"/>
      <c r="J51" s="459" t="str">
        <f>FHD_NOTE_P_15</f>
        <v/>
      </c>
      <c r="K51" s="1806" t="str">
        <f>IF((LEN(E51)-LEN(SUBSTITUTE(E51,".","")))/LEN(".")=1,"p","")</f>
        <v/>
      </c>
      <c r="L51" s="900"/>
      <c r="M51" s="900"/>
      <c r="R51" s="900"/>
      <c r="U51" s="901"/>
      <c r="AA51" s="902"/>
      <c r="AB51" s="902"/>
      <c r="AC51" s="902"/>
      <c r="AD51" s="902"/>
      <c r="AE51" s="902"/>
      <c r="AF51" s="899">
        <v>11</v>
      </c>
    </row>
    <row s="11992" customFormat="1" customHeight="1" ht="11.549999999999999">
      <c r="A52" s="1157"/>
      <c r="C52" s="1806"/>
      <c r="D52" s="1808"/>
      <c r="E52" s="716" t="str">
        <f>FHD_NUM_P_16</f>
        <v>2.7</v>
      </c>
      <c r="F52" s="169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2048" t="s">
        <v>567</v>
      </c>
      <c r="H52" s="727"/>
      <c r="I52" s="727"/>
      <c r="J52" s="459" t="str">
        <f>FHD_NOTE_P_16</f>
        <v/>
      </c>
      <c r="K52" s="1806" t="str">
        <f>IF((LEN(E52)-LEN(SUBSTITUTE(E52,".","")))/LEN(".")=1,"p","")</f>
        <v>p</v>
      </c>
      <c r="L52" s="1806"/>
      <c r="M52" s="1812"/>
      <c r="N52" s="707"/>
      <c r="O52" s="707"/>
      <c r="R52" s="1806"/>
      <c r="U52" s="714"/>
      <c r="AA52" s="1802"/>
      <c r="AB52" s="1802"/>
      <c r="AC52" s="1802"/>
      <c r="AD52" s="1802"/>
      <c r="AE52" s="1802"/>
      <c r="AF52" s="1330">
        <v>11</v>
      </c>
    </row>
    <row s="11992" customFormat="1" customHeight="1" ht="11.549999999999999">
      <c r="A53" s="1157"/>
      <c r="C53" s="1806"/>
      <c r="D53" s="1808"/>
      <c r="E53" s="716" t="str">
        <f>FHD_NUM_P_17</f>
        <v>2.7.1</v>
      </c>
      <c r="F53" s="1820" t="str">
        <f>FHD_P_17</f>
        <v>Расходы на оплату труда административно-управленческого персонала</v>
      </c>
      <c r="G53" s="2048" t="s">
        <v>567</v>
      </c>
      <c r="H53" s="727"/>
      <c r="I53" s="727"/>
      <c r="J53" s="459" t="str">
        <f>FHD_NOTE_P_17</f>
        <v/>
      </c>
      <c r="K53" s="1806" t="str">
        <f>IF((LEN(E53)-LEN(SUBSTITUTE(E53,".","")))/LEN(".")=1,"p","")</f>
        <v/>
      </c>
      <c r="L53" s="1806"/>
      <c r="M53" s="1812"/>
      <c r="N53" s="707"/>
      <c r="O53" s="707"/>
      <c r="R53" s="1806"/>
      <c r="U53" s="714"/>
      <c r="AA53" s="1802"/>
      <c r="AB53" s="1802"/>
      <c r="AC53" s="1802"/>
      <c r="AD53" s="1802"/>
      <c r="AE53" s="1802"/>
      <c r="AF53" s="1330">
        <v>11</v>
      </c>
    </row>
    <row s="11992" customFormat="1" customHeight="1" ht="11.549999999999999">
      <c r="A54" s="1157"/>
      <c r="C54" s="1806"/>
      <c r="D54" s="1808"/>
      <c r="E54" s="716" t="str">
        <f>FHD_NUM_P_18</f>
        <v>2.7.2</v>
      </c>
      <c r="F54" s="182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048" t="s">
        <v>567</v>
      </c>
      <c r="H54" s="727"/>
      <c r="I54" s="727"/>
      <c r="J54" s="459" t="str">
        <f>FHD_NOTE_P_18</f>
        <v/>
      </c>
      <c r="K54" s="1806" t="str">
        <f>IF((LEN(E54)-LEN(SUBSTITUTE(E54,".","")))/LEN(".")=1,"p","")</f>
        <v/>
      </c>
      <c r="L54" s="1806"/>
      <c r="M54" s="1812"/>
      <c r="N54" s="707"/>
      <c r="O54" s="707"/>
      <c r="R54" s="1806"/>
      <c r="U54" s="714"/>
      <c r="AA54" s="1802"/>
      <c r="AB54" s="1802"/>
      <c r="AC54" s="1802"/>
      <c r="AD54" s="1802"/>
      <c r="AE54" s="1802"/>
      <c r="AF54" s="1330">
        <v>11</v>
      </c>
    </row>
    <row s="11992" customFormat="1" customHeight="1" ht="11.549999999999999">
      <c r="A55" s="1157"/>
      <c r="C55" s="1806"/>
      <c r="D55" s="745"/>
      <c r="E55" s="716" t="str">
        <f>FHD_NUM_P_19</f>
        <v>2.8</v>
      </c>
      <c r="F55" s="1694" t="str">
        <f>FHD_P_19</f>
        <v>Расходы на амортизацию основных средств и нематериальных активов</v>
      </c>
      <c r="G55" s="2048" t="s">
        <v>567</v>
      </c>
      <c r="H55" s="727"/>
      <c r="I55" s="727"/>
      <c r="J55" s="459" t="str">
        <f>FHD_NOTE_P_19</f>
        <v/>
      </c>
      <c r="K55" s="1806" t="str">
        <f>IF((LEN(E55)-LEN(SUBSTITUTE(E55,".","")))/LEN(".")=1,"p","")</f>
        <v>p</v>
      </c>
      <c r="L55" s="1806"/>
      <c r="M55" s="1806"/>
      <c r="R55" s="1806"/>
      <c r="U55" s="714"/>
      <c r="AA55" s="1802"/>
      <c r="AB55" s="1802"/>
      <c r="AC55" s="1802"/>
      <c r="AD55" s="1802"/>
      <c r="AE55" s="1802"/>
      <c r="AF55" s="1330">
        <v>11</v>
      </c>
    </row>
    <row s="11992" customFormat="1" customHeight="1" ht="11.549999999999999">
      <c r="A56" s="1157"/>
      <c r="C56" s="1806"/>
      <c r="D56" s="745"/>
      <c r="E56" s="716" t="str">
        <f>FHD_NUM_P_20</f>
        <v>2.8.1</v>
      </c>
      <c r="F56" s="1820" t="str">
        <f>FHD_P_20</f>
        <v>Расходы на амортизацию основных средств</v>
      </c>
      <c r="G56" s="2048" t="s">
        <v>567</v>
      </c>
      <c r="H56" s="727"/>
      <c r="I56" s="727"/>
      <c r="J56" s="459" t="str">
        <f>FHD_NOTE_P_20</f>
        <v/>
      </c>
      <c r="K56" s="1806" t="str">
        <f>IF((LEN(E56)-LEN(SUBSTITUTE(E56,".","")))/LEN(".")=1,"p","")</f>
        <v/>
      </c>
      <c r="L56" s="1806"/>
      <c r="M56" s="1806"/>
      <c r="R56" s="1806"/>
      <c r="U56" s="714"/>
      <c r="AA56" s="1802"/>
      <c r="AB56" s="1802"/>
      <c r="AC56" s="1802"/>
      <c r="AD56" s="1802"/>
      <c r="AE56" s="1802"/>
      <c r="AF56" s="1330">
        <v>11</v>
      </c>
    </row>
    <row s="11992" customFormat="1" customHeight="1" ht="11.549999999999999">
      <c r="A57" s="1157"/>
      <c r="C57" s="1806"/>
      <c r="D57" s="745"/>
      <c r="E57" s="716" t="str">
        <f>FHD_NUM_P_21</f>
        <v>2.8.2</v>
      </c>
      <c r="F57" s="1820" t="str">
        <f>FHD_P_21</f>
        <v>Расходы на амортизацию нематериальных активов</v>
      </c>
      <c r="G57" s="2048" t="s">
        <v>567</v>
      </c>
      <c r="H57" s="727"/>
      <c r="I57" s="727"/>
      <c r="J57" s="459" t="str">
        <f>FHD_NOTE_P_21</f>
        <v/>
      </c>
      <c r="K57" s="1806" t="str">
        <f>IF((LEN(E57)-LEN(SUBSTITUTE(E57,".","")))/LEN(".")=1,"p","")</f>
        <v/>
      </c>
      <c r="L57" s="1806"/>
      <c r="M57" s="1806"/>
      <c r="R57" s="1806"/>
      <c r="U57" s="714"/>
      <c r="AA57" s="1802"/>
      <c r="AB57" s="1802"/>
      <c r="AC57" s="1802"/>
      <c r="AD57" s="1802"/>
      <c r="AE57" s="1802"/>
      <c r="AF57" s="1330">
        <v>11</v>
      </c>
    </row>
    <row s="11992" customFormat="1" customHeight="1" ht="11.549999999999999">
      <c r="A58" s="1157"/>
      <c r="C58" s="1806"/>
      <c r="D58" s="1808"/>
      <c r="E58" s="716" t="str">
        <f>FHD_NUM_P_22</f>
        <v>2.9</v>
      </c>
      <c r="F58" s="1694" t="str">
        <f>FHD_P_22</f>
        <v>Расходы на аренду имущества, используемого для осуществления регулируемого вида деятельности</v>
      </c>
      <c r="G58" s="2048" t="s">
        <v>567</v>
      </c>
      <c r="H58" s="727"/>
      <c r="I58" s="727"/>
      <c r="J58" s="459" t="str">
        <f>FHD_NOTE_P_22</f>
        <v/>
      </c>
      <c r="K58" s="1806" t="str">
        <f>IF((LEN(E58)-LEN(SUBSTITUTE(E58,".","")))/LEN(".")=1,"p","")</f>
        <v>p</v>
      </c>
      <c r="L58" s="1806"/>
      <c r="M58" s="1806"/>
      <c r="R58" s="1806"/>
      <c r="U58" s="714"/>
      <c r="AA58" s="1802"/>
      <c r="AB58" s="1802"/>
      <c r="AC58" s="1802"/>
      <c r="AD58" s="1802"/>
      <c r="AE58" s="1802"/>
      <c r="AF58" s="1330">
        <v>11</v>
      </c>
    </row>
    <row s="11992" customFormat="1" customHeight="1" ht="11.549999999999999">
      <c r="A59" s="1157"/>
      <c r="C59" s="1806"/>
      <c r="D59" s="745"/>
      <c r="E59" s="716" t="str">
        <f>FHD_NUM_P_23</f>
        <v>2.10</v>
      </c>
      <c r="F59" s="1694" t="str">
        <f>FHD_P_23</f>
        <v>Общепроизводственные расходы, в том числе:</v>
      </c>
      <c r="G59" s="2048" t="s">
        <v>567</v>
      </c>
      <c r="H59" s="727"/>
      <c r="I59" s="727"/>
      <c r="J59" s="459" t="str">
        <f>FHD_NOTE_P_23</f>
        <v>Указывается общая сумма общепроизводственных расходов.</v>
      </c>
      <c r="K59" s="1806" t="str">
        <f>IF((LEN(E59)-LEN(SUBSTITUTE(E59,".","")))/LEN(".")=1,"p","")</f>
        <v>p</v>
      </c>
      <c r="L59" s="1806"/>
      <c r="M59" s="1806"/>
      <c r="R59" s="1806"/>
      <c r="U59" s="714"/>
      <c r="AA59" s="1802"/>
      <c r="AB59" s="1802"/>
      <c r="AC59" s="1802"/>
      <c r="AD59" s="1802"/>
      <c r="AE59" s="1802"/>
      <c r="AF59" s="1330">
        <v>11</v>
      </c>
    </row>
    <row s="11992" customFormat="1" customHeight="1" ht="11.549999999999999">
      <c r="A60" s="1157"/>
      <c r="C60" s="1806"/>
      <c r="D60" s="745"/>
      <c r="E60" s="716" t="str">
        <f>FHD_NUM_P_24</f>
        <v>2.10.1</v>
      </c>
      <c r="F60" s="1820" t="str">
        <f>FHD_P_24</f>
        <v>Расходы на текущий ремонт</v>
      </c>
      <c r="G60" s="2048" t="s">
        <v>567</v>
      </c>
      <c r="H60" s="727"/>
      <c r="I60" s="727"/>
      <c r="J60" s="459" t="str">
        <f>FHD_NOTE_P_24</f>
        <v>Указываются расходы на текущий ремонт, отнесенные к общепроизводственным расходам.</v>
      </c>
      <c r="K60" s="1806" t="str">
        <f>IF((LEN(E60)-LEN(SUBSTITUTE(E60,".","")))/LEN(".")=1,"p","")</f>
        <v/>
      </c>
      <c r="L60" s="1806"/>
      <c r="M60" s="1806"/>
      <c r="R60" s="1806"/>
      <c r="U60" s="714"/>
      <c r="AA60" s="1802"/>
      <c r="AB60" s="1802"/>
      <c r="AC60" s="1802"/>
      <c r="AD60" s="1802"/>
      <c r="AE60" s="1802"/>
      <c r="AF60" s="1330">
        <v>11</v>
      </c>
    </row>
    <row s="11992" customFormat="1" customHeight="1" ht="11.549999999999999">
      <c r="A61" s="1157"/>
      <c r="C61" s="1806"/>
      <c r="D61" s="745"/>
      <c r="E61" s="716" t="str">
        <f>FHD_NUM_P_25</f>
        <v>2.10.2</v>
      </c>
      <c r="F61" s="1820" t="str">
        <f>FHD_P_25</f>
        <v>Расходы на капитальный ремонт</v>
      </c>
      <c r="G61" s="2048" t="s">
        <v>567</v>
      </c>
      <c r="H61" s="727"/>
      <c r="I61" s="727"/>
      <c r="J61" s="459" t="str">
        <f>FHD_NOTE_P_25</f>
        <v>Указываются расходы на капитальный ремонт, отнесенные к общепроизводственным расходам.</v>
      </c>
      <c r="K61" s="1806" t="str">
        <f>IF((LEN(E61)-LEN(SUBSTITUTE(E61,".","")))/LEN(".")=1,"p","")</f>
        <v/>
      </c>
      <c r="L61" s="1806"/>
      <c r="M61" s="1806"/>
      <c r="R61" s="1806"/>
      <c r="U61" s="714"/>
      <c r="AA61" s="1802"/>
      <c r="AB61" s="1802"/>
      <c r="AC61" s="1802"/>
      <c r="AD61" s="1802"/>
      <c r="AE61" s="1802"/>
      <c r="AF61" s="1330">
        <v>11</v>
      </c>
    </row>
    <row s="11992" customFormat="1" customHeight="1" ht="11.549999999999999">
      <c r="A62" s="1157"/>
      <c r="C62" s="1806"/>
      <c r="D62" s="1808"/>
      <c r="E62" s="716" t="str">
        <f>FHD_NUM_P_26</f>
        <v>2.11</v>
      </c>
      <c r="F62" s="1694" t="str">
        <f>FHD_P_26</f>
        <v>Общехозяйственные расходы, в том числе:</v>
      </c>
      <c r="G62" s="2048" t="s">
        <v>567</v>
      </c>
      <c r="H62" s="727"/>
      <c r="I62" s="727"/>
      <c r="J62" s="459" t="str">
        <f>FHD_NOTE_P_26</f>
        <v>Указывается общая сумма общехозяйственных расходов.</v>
      </c>
      <c r="K62" s="1806" t="str">
        <f>IF((LEN(E62)-LEN(SUBSTITUTE(E62,".","")))/LEN(".")=1,"p","")</f>
        <v>p</v>
      </c>
      <c r="L62" s="1806"/>
      <c r="M62" s="1806"/>
      <c r="R62" s="1806"/>
      <c r="U62" s="714"/>
      <c r="AA62" s="1802"/>
      <c r="AB62" s="1802"/>
      <c r="AC62" s="1802"/>
      <c r="AD62" s="1802"/>
      <c r="AE62" s="1802"/>
      <c r="AF62" s="1330">
        <v>11</v>
      </c>
    </row>
    <row s="11992" customFormat="1" customHeight="1" ht="11.549999999999999">
      <c r="A63" s="1157"/>
      <c r="C63" s="1806"/>
      <c r="D63" s="1808"/>
      <c r="E63" s="716" t="str">
        <f>FHD_NUM_P_27</f>
        <v>2.11.1</v>
      </c>
      <c r="F63" s="1820" t="str">
        <f>FHD_P_27</f>
        <v>Расходы на текущий ремонт</v>
      </c>
      <c r="G63" s="2048" t="s">
        <v>567</v>
      </c>
      <c r="H63" s="727"/>
      <c r="I63" s="727"/>
      <c r="J63" s="459" t="str">
        <f>FHD_NOTE_P_27</f>
        <v>Указываются расходы на текущий ремонт, отнесенные к общехозяйственным расходам.</v>
      </c>
      <c r="K63" s="1806" t="str">
        <f>IF((LEN(E63)-LEN(SUBSTITUTE(E63,".","")))/LEN(".")=1,"p","")</f>
        <v/>
      </c>
      <c r="L63" s="1806"/>
      <c r="M63" s="1806"/>
      <c r="R63" s="1806"/>
      <c r="U63" s="714"/>
      <c r="AA63" s="1802"/>
      <c r="AB63" s="1802"/>
      <c r="AC63" s="1802"/>
      <c r="AD63" s="1802"/>
      <c r="AE63" s="1802"/>
      <c r="AF63" s="1330">
        <v>11</v>
      </c>
    </row>
    <row s="11992" customFormat="1" customHeight="1" ht="11.549999999999999">
      <c r="A64" s="1157"/>
      <c r="C64" s="1806"/>
      <c r="D64" s="1808"/>
      <c r="E64" s="716" t="str">
        <f>FHD_NUM_P_28</f>
        <v>2.11.2</v>
      </c>
      <c r="F64" s="1820" t="str">
        <f>FHD_P_28</f>
        <v>Расходы на капитальный ремонт</v>
      </c>
      <c r="G64" s="2048" t="s">
        <v>567</v>
      </c>
      <c r="H64" s="727"/>
      <c r="I64" s="727"/>
      <c r="J64" s="459" t="str">
        <f>FHD_NOTE_P_28</f>
        <v>Указываются расходы на капитальный ремонт, отнесенные к общехозяйственным расходам.</v>
      </c>
      <c r="K64" s="1806" t="str">
        <f>IF((LEN(E64)-LEN(SUBSTITUTE(E64,".","")))/LEN(".")=1,"p","")</f>
        <v/>
      </c>
      <c r="L64" s="1806"/>
      <c r="M64" s="1806"/>
      <c r="R64" s="1806"/>
      <c r="U64" s="714"/>
      <c r="AA64" s="1802"/>
      <c r="AB64" s="1802"/>
      <c r="AC64" s="1802"/>
      <c r="AD64" s="1802"/>
      <c r="AE64" s="1802"/>
      <c r="AF64" s="1330">
        <v>11</v>
      </c>
    </row>
    <row s="11992" customFormat="1" customHeight="1" ht="11.549999999999999">
      <c r="A65" s="1157"/>
      <c r="C65" s="1806"/>
      <c r="D65" s="1808"/>
      <c r="E65" s="716" t="str">
        <f>FHD_NUM_P_29</f>
        <v>2.12</v>
      </c>
      <c r="F65" s="1694" t="str">
        <f>FHD_P_29</f>
        <v>Расходы на капитальный и текущий ремонт основных средств</v>
      </c>
      <c r="G65" s="2048" t="s">
        <v>567</v>
      </c>
      <c r="H65" s="727"/>
      <c r="I65" s="727"/>
      <c r="J65" s="45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806" t="str">
        <f>IF((LEN(E65)-LEN(SUBSTITUTE(E65,".","")))/LEN(".")=1,"p","")</f>
        <v>p</v>
      </c>
      <c r="L65" s="1806"/>
      <c r="M65" s="1806"/>
      <c r="R65" s="1806"/>
      <c r="U65" s="714"/>
      <c r="AA65" s="1802"/>
      <c r="AB65" s="1802"/>
      <c r="AC65" s="1802"/>
      <c r="AD65" s="1802"/>
      <c r="AE65" s="1802"/>
      <c r="AF65" s="1330">
        <v>11</v>
      </c>
    </row>
    <row s="11992" customFormat="1" customHeight="1" ht="11.549999999999999">
      <c r="A66" s="1157"/>
      <c r="C66" s="1806"/>
      <c r="D66" s="1808"/>
      <c r="E66" s="716" t="str">
        <f>FHD_NUM_P_30</f>
        <v>2.12.1</v>
      </c>
      <c r="F66" s="182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048" t="s">
        <v>318</v>
      </c>
      <c r="H66" s="1819" t="s">
        <v>590</v>
      </c>
      <c r="I66" s="1819" t="s">
        <v>590</v>
      </c>
      <c r="J66" s="459" t="str">
        <f>FHD_NOTE_P_30</f>
        <v/>
      </c>
      <c r="K66" s="1806" t="str">
        <f>IF((LEN(E66)-LEN(SUBSTITUTE(E66,".","")))/LEN(".")=1,"p","")</f>
        <v/>
      </c>
      <c r="L66" s="1806">
        <f>_xlfn.IFERROR(MATCH("есть",B_FHD_FLAG_INDEX_1,0),0)</f>
        <v>0</v>
      </c>
      <c r="M66" s="1806"/>
      <c r="R66" s="1806"/>
      <c r="U66" s="714"/>
      <c r="AA66" s="1802"/>
      <c r="AB66" s="1802"/>
      <c r="AC66" s="1802"/>
      <c r="AD66" s="1802"/>
      <c r="AE66" s="1802"/>
      <c r="AF66" s="1330">
        <v>11</v>
      </c>
    </row>
    <row s="11992" customFormat="1" customHeight="1" ht="23.25" hidden="1">
      <c r="A67" s="2541" t="s">
        <v>591</v>
      </c>
      <c r="C67" s="1806"/>
      <c r="D67" s="1808"/>
      <c r="E67" s="716" t="str">
        <f>FHD_NUM_P_31</f>
        <v/>
      </c>
      <c r="F67" s="1694" t="str">
        <f>FHD_P_31</f>
        <v/>
      </c>
      <c r="G67" s="2048" t="s">
        <v>567</v>
      </c>
      <c r="H67" s="727"/>
      <c r="I67" s="727"/>
      <c r="J67" s="459" t="str">
        <f>FHD_NOTE_P_31</f>
        <v/>
      </c>
      <c r="K67" s="1806" t="str">
        <f>IF((LEN(E67)-LEN(SUBSTITUTE(E67,".","")))/LEN(".")=1,"p","")</f>
        <v/>
      </c>
      <c r="L67" s="1806"/>
      <c r="M67" s="1806"/>
      <c r="R67" s="1806"/>
      <c r="U67" s="714"/>
      <c r="AA67" s="1802"/>
      <c r="AB67" s="1802"/>
      <c r="AC67" s="1802"/>
      <c r="AD67" s="1802"/>
      <c r="AE67" s="1802"/>
      <c r="AF67" s="1330">
        <v>22</v>
      </c>
    </row>
    <row s="11992" customFormat="1" customHeight="1" ht="47.25" hidden="1">
      <c r="A68" s="2541"/>
      <c r="C68" s="1806"/>
      <c r="D68" s="1808"/>
      <c r="E68" s="716" t="str">
        <f>FHD_NUM_P_32</f>
        <v/>
      </c>
      <c r="F68" s="1820" t="str">
        <f>FHD_P_32</f>
        <v/>
      </c>
      <c r="G68" s="2048" t="s">
        <v>318</v>
      </c>
      <c r="H68" s="1819" t="s">
        <v>590</v>
      </c>
      <c r="I68" s="1819" t="s">
        <v>590</v>
      </c>
      <c r="J68" s="459" t="str">
        <f>FHD_NOTE_P_32</f>
        <v/>
      </c>
      <c r="K68" s="1806" t="str">
        <f>IF((LEN(E68)-LEN(SUBSTITUTE(E68,".","")))/LEN(".")=1,"p","")</f>
        <v/>
      </c>
      <c r="L68" s="1806">
        <f>_xlfn.IFERROR(MATCH("есть",B_FHD_FLAG_INDEX_2,0),0)</f>
        <v>0</v>
      </c>
      <c r="M68" s="1806"/>
      <c r="R68" s="1806"/>
      <c r="U68" s="714"/>
      <c r="AA68" s="1802"/>
      <c r="AB68" s="1802"/>
      <c r="AC68" s="1802"/>
      <c r="AD68" s="1802"/>
      <c r="AE68" s="1802"/>
      <c r="AF68" s="1330">
        <v>45</v>
      </c>
    </row>
    <row s="11992" customFormat="1" customHeight="1" ht="11.549999999999999">
      <c r="A69" s="1157"/>
      <c r="C69" s="1806"/>
      <c r="D69" s="1808"/>
      <c r="E69" s="716" t="str">
        <f>FHD_NUM_P_33</f>
        <v>2.13</v>
      </c>
      <c r="F69" s="1694" t="str">
        <f>FHD_P_33</f>
        <v>Прочие расходы, которые подлежат отнесению на регулируемые виды деятельности в соответствии с законодательством Российской Федерации</v>
      </c>
      <c r="G69" s="2049" t="s">
        <v>567</v>
      </c>
      <c r="H69" s="749">
        <f>SUM(H70:H71)</f>
        <v>0</v>
      </c>
      <c r="I69" s="749">
        <f>SUM(I70:I71)</f>
        <v>0</v>
      </c>
      <c r="J69" s="45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806" t="str">
        <f>IF((LEN(E69)-LEN(SUBSTITUTE(E69,".","")))/LEN(".")=1,"p","")</f>
        <v>p</v>
      </c>
      <c r="L69" s="1806"/>
      <c r="M69" s="1806"/>
      <c r="R69" s="1806"/>
      <c r="U69" s="714"/>
      <c r="AA69" s="1802"/>
      <c r="AB69" s="1802"/>
      <c r="AC69" s="1802"/>
      <c r="AD69" s="1802"/>
      <c r="AE69" s="1802"/>
      <c r="AF69" s="1330">
        <v>11</v>
      </c>
    </row>
    <row s="11993" customFormat="1" customHeight="1" ht="1.05">
      <c r="A70" s="1337"/>
      <c r="D70" s="718"/>
      <c r="E70" s="1183" t="str">
        <f>E69&amp;".0"</f>
        <v>2.13.0</v>
      </c>
      <c r="F70" s="1161"/>
      <c r="G70" s="1183"/>
      <c r="H70" s="1162"/>
      <c r="I70" s="1162"/>
      <c r="J70" s="1163"/>
      <c r="K70" s="1806" t="str">
        <f>IF((LEN(E70)-LEN(SUBSTITUTE(E70,".","")))/LEN(".")=1,"p","")</f>
        <v/>
      </c>
      <c r="AF70" s="1806">
        <v>1</v>
      </c>
    </row>
    <row s="11992" customFormat="1" customHeight="1" ht="14.699999999999998">
      <c r="A71" s="1157"/>
      <c r="C71" s="1806"/>
      <c r="D71" s="1803"/>
      <c r="E71" s="740"/>
      <c r="F71" s="741" t="s">
        <v>592</v>
      </c>
      <c r="G71" s="742"/>
      <c r="H71" s="743"/>
      <c r="I71" s="743"/>
      <c r="J71" s="471"/>
      <c r="K71" s="1806"/>
      <c r="L71" s="1806"/>
      <c r="M71" s="1806"/>
      <c r="R71" s="1806"/>
      <c r="U71" s="714"/>
      <c r="AA71" s="1802"/>
      <c r="AB71" s="1802"/>
      <c r="AC71" s="1802"/>
      <c r="AD71" s="1802"/>
      <c r="AE71" s="1802"/>
      <c r="AF71" s="1330">
        <v>14</v>
      </c>
    </row>
    <row s="11992" customFormat="1" customHeight="1" ht="18.75">
      <c r="A72" s="1159" t="s">
        <v>593</v>
      </c>
      <c r="C72" s="1806"/>
      <c r="D72" s="1808"/>
      <c r="E72" s="716" t="str">
        <f>FHD_NUM_P_34</f>
        <v>3</v>
      </c>
      <c r="F72" s="2050" t="str">
        <f>FHD_P_34</f>
        <v>Валовая прибыль (убытки) от реализации товаров и оказания услуг по регулируемому виду деятельности</v>
      </c>
      <c r="G72" s="2048" t="s">
        <v>567</v>
      </c>
      <c r="H72" s="727"/>
      <c r="I72" s="727"/>
      <c r="J72" s="459" t="str">
        <f>FHD_NOTE_P_34</f>
        <v/>
      </c>
      <c r="K72" s="713"/>
      <c r="L72" s="1806"/>
      <c r="M72" s="1806"/>
      <c r="R72" s="1806"/>
      <c r="U72" s="714"/>
      <c r="AA72" s="1802"/>
      <c r="AB72" s="1802"/>
      <c r="AC72" s="1802"/>
      <c r="AD72" s="1802"/>
      <c r="AE72" s="1802"/>
      <c r="AF72" s="1330">
        <v>0</v>
      </c>
    </row>
    <row s="11992" customFormat="1" customHeight="1" ht="19.95">
      <c r="A73" s="1157"/>
      <c r="C73" s="1806"/>
      <c r="D73" s="745"/>
      <c r="E73" s="716" t="str">
        <f>FHD_NUM_P_35</f>
        <v>4</v>
      </c>
      <c r="F73" s="2050" t="str">
        <f>FHD_P_35</f>
        <v>Чистая прибыль, полученная от регулируемого вида деятельности, в том числе:</v>
      </c>
      <c r="G73" s="2048" t="s">
        <v>567</v>
      </c>
      <c r="H73" s="727"/>
      <c r="I73" s="727"/>
      <c r="J73" s="459" t="str">
        <f>FHD_NOTE_P_35</f>
        <v>Указывается общая сумма чистой прибыли, полученной от регулируемого вида деятельности.</v>
      </c>
      <c r="K73" s="713"/>
      <c r="L73" s="1806"/>
      <c r="M73" s="1806"/>
      <c r="R73" s="1806"/>
      <c r="U73" s="714"/>
      <c r="AA73" s="1802"/>
      <c r="AB73" s="1802"/>
      <c r="AC73" s="1802"/>
      <c r="AD73" s="1802"/>
      <c r="AE73" s="1802"/>
      <c r="AF73" s="1330">
        <v>19</v>
      </c>
    </row>
    <row s="11992" customFormat="1" customHeight="1" ht="19.95">
      <c r="A74" s="1157"/>
      <c r="C74" s="1806"/>
      <c r="D74" s="1808"/>
      <c r="E74" s="716" t="str">
        <f>FHD_NUM_P_36</f>
        <v>4.1</v>
      </c>
      <c r="F74" s="169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2048" t="s">
        <v>567</v>
      </c>
      <c r="H74" s="727"/>
      <c r="I74" s="727"/>
      <c r="J74" s="459" t="str">
        <f>FHD_NOTE_P_36</f>
        <v/>
      </c>
      <c r="K74" s="713"/>
      <c r="L74" s="1806"/>
      <c r="M74" s="1806"/>
      <c r="R74" s="1806"/>
      <c r="U74" s="714"/>
      <c r="AA74" s="1802"/>
      <c r="AB74" s="1802"/>
      <c r="AC74" s="1802"/>
      <c r="AD74" s="1802"/>
      <c r="AE74" s="1802"/>
      <c r="AF74" s="1330">
        <v>19</v>
      </c>
    </row>
    <row s="11992" customFormat="1" customHeight="1" ht="19.95">
      <c r="A75" s="1157"/>
      <c r="C75" s="1806"/>
      <c r="D75" s="1808"/>
      <c r="E75" s="716" t="str">
        <f>FHD_NUM_P_37</f>
        <v>5</v>
      </c>
      <c r="F75" s="2050" t="str">
        <f>FHD_P_37</f>
        <v>Изменение стоимости основных фондов, в том числе:</v>
      </c>
      <c r="G75" s="2048" t="s">
        <v>567</v>
      </c>
      <c r="H75" s="727"/>
      <c r="I75" s="727"/>
      <c r="J75" s="459" t="str">
        <f>FHD_NOTE_P_37</f>
        <v>Указывается общее изменение стоимости основных фондов.</v>
      </c>
      <c r="K75" s="713"/>
      <c r="L75" s="1806"/>
      <c r="M75" s="1806"/>
      <c r="R75" s="1806"/>
      <c r="U75" s="714"/>
      <c r="AA75" s="1802"/>
      <c r="AB75" s="1802"/>
      <c r="AC75" s="1802"/>
      <c r="AD75" s="1802"/>
      <c r="AE75" s="1802"/>
      <c r="AF75" s="1330">
        <v>19</v>
      </c>
    </row>
    <row s="11992" customFormat="1" customHeight="1" ht="19.95">
      <c r="A76" s="1157"/>
      <c r="C76" s="1806"/>
      <c r="D76" s="1808"/>
      <c r="E76" s="716" t="str">
        <f>FHD_NUM_P_38</f>
        <v>5.1</v>
      </c>
      <c r="F76" s="1694" t="str">
        <f>FHD_P_38</f>
        <v>Изменение стоимости основных фондов за счет:</v>
      </c>
      <c r="G76" s="2048" t="s">
        <v>567</v>
      </c>
      <c r="H76" s="727"/>
      <c r="I76" s="727"/>
      <c r="J76" s="459" t="str">
        <f>FHD_NOTE_P_38</f>
        <v>Указываются общее изменение стоимости основных фондов за счет их ввода в эксплуатацию и вывода из эксплуатации.</v>
      </c>
      <c r="K76" s="713"/>
      <c r="L76" s="1806"/>
      <c r="M76" s="1806"/>
      <c r="R76" s="1806"/>
      <c r="U76" s="714"/>
      <c r="AA76" s="1802"/>
      <c r="AB76" s="1802"/>
      <c r="AC76" s="1802"/>
      <c r="AD76" s="1802"/>
      <c r="AE76" s="1802"/>
      <c r="AF76" s="1330">
        <v>19</v>
      </c>
    </row>
    <row s="11992" customFormat="1" customHeight="1" ht="19.95">
      <c r="A77" s="1157"/>
      <c r="C77" s="1806"/>
      <c r="D77" s="1808"/>
      <c r="E77" s="716" t="str">
        <f>FHD_NUM_P_39</f>
        <v>5.1.1</v>
      </c>
      <c r="F77" s="1820" t="str">
        <f>FHD_P_39</f>
        <v>Изменения стоимости основных фондов за счет их ввода в эксплуатацию</v>
      </c>
      <c r="G77" s="2242" t="s">
        <v>567</v>
      </c>
      <c r="H77" s="727"/>
      <c r="I77" s="727"/>
      <c r="J77" s="459" t="str">
        <f>FHD_NOTE_P_39</f>
        <v>Указываются изменение стоимости основных фондов за счет их ввода в эксплуатацию.</v>
      </c>
      <c r="K77" s="713"/>
      <c r="L77" s="1806"/>
      <c r="M77" s="1806"/>
      <c r="R77" s="1806"/>
      <c r="U77" s="714"/>
      <c r="AA77" s="1802"/>
      <c r="AB77" s="1802"/>
      <c r="AC77" s="1802"/>
      <c r="AD77" s="1802"/>
      <c r="AE77" s="1802"/>
      <c r="AF77" s="1330">
        <v>19</v>
      </c>
    </row>
    <row s="11992" customFormat="1" customHeight="1" ht="19.95">
      <c r="A78" s="1157"/>
      <c r="C78" s="1806"/>
      <c r="D78" s="1808"/>
      <c r="E78" s="716" t="str">
        <f>FHD_NUM_P_40</f>
        <v>5.1.2</v>
      </c>
      <c r="F78" s="2246" t="str">
        <f>FHD_P_40</f>
        <v>Изменения стоимости основных фондов за счет их вывода в эксплуатацию</v>
      </c>
      <c r="G78" s="2241" t="s">
        <v>567</v>
      </c>
      <c r="H78" s="1146"/>
      <c r="I78" s="727"/>
      <c r="J78" s="459" t="str">
        <f>FHD_NOTE_P_40</f>
        <v>Указываются изменение стоимости основных фондов за счет их вывода из эксплуатации.</v>
      </c>
      <c r="K78" s="713"/>
      <c r="L78" s="1806"/>
      <c r="M78" s="1806"/>
      <c r="R78" s="1806"/>
      <c r="U78" s="714"/>
      <c r="AA78" s="1802"/>
      <c r="AB78" s="1802"/>
      <c r="AC78" s="1802"/>
      <c r="AD78" s="1802"/>
      <c r="AE78" s="1802"/>
      <c r="AF78" s="1330">
        <v>19</v>
      </c>
    </row>
    <row s="11992" customFormat="1" customHeight="1" ht="19.95">
      <c r="A79" s="1157"/>
      <c r="C79" s="1806"/>
      <c r="D79" s="1808"/>
      <c r="E79" s="716" t="str">
        <f>FHD_NUM_P_41</f>
        <v>5.2</v>
      </c>
      <c r="F79" s="2245" t="str">
        <f>FHD_P_41</f>
        <v>Изменение стоимости основных фондов за счет их переоценки</v>
      </c>
      <c r="G79" s="2241" t="s">
        <v>567</v>
      </c>
      <c r="H79" s="1146"/>
      <c r="I79" s="727"/>
      <c r="J79" s="459" t="str">
        <f>FHD_NOTE_P_41</f>
        <v/>
      </c>
      <c r="K79" s="713"/>
      <c r="L79" s="1806"/>
      <c r="M79" s="1806"/>
      <c r="R79" s="1806"/>
      <c r="U79" s="714"/>
      <c r="AA79" s="1802"/>
      <c r="AB79" s="1802"/>
      <c r="AC79" s="1802"/>
      <c r="AD79" s="1802"/>
      <c r="AE79" s="1802"/>
      <c r="AF79" s="1330">
        <v>19</v>
      </c>
    </row>
    <row s="11992" customFormat="1" customHeight="1" ht="20.25" hidden="1">
      <c r="A80" s="1159" t="s">
        <v>594</v>
      </c>
      <c r="C80" s="1806"/>
      <c r="D80" s="1808"/>
      <c r="E80" s="716" t="str">
        <f>FHD_NUM_P_42</f>
        <v/>
      </c>
      <c r="F80" s="2243" t="str">
        <f>FHD_P_42</f>
        <v/>
      </c>
      <c r="G80" s="2241" t="s">
        <v>567</v>
      </c>
      <c r="H80" s="1146"/>
      <c r="I80" s="727"/>
      <c r="J80" s="459" t="str">
        <f>FHD_NOTE_P_42</f>
        <v/>
      </c>
      <c r="K80" s="713"/>
      <c r="L80" s="1806"/>
      <c r="M80" s="1806"/>
      <c r="R80" s="1806"/>
      <c r="U80" s="714"/>
      <c r="AA80" s="1802"/>
      <c r="AB80" s="1802"/>
      <c r="AC80" s="1802"/>
      <c r="AD80" s="1802"/>
      <c r="AE80" s="1802"/>
      <c r="AF80" s="1330">
        <v>19</v>
      </c>
    </row>
    <row s="11992" customFormat="1" customHeight="1" ht="19.95">
      <c r="A81" s="1157"/>
      <c r="C81" s="1806"/>
      <c r="D81" s="1808"/>
      <c r="E81" s="716" t="str">
        <f>FHD_NUM_P_43</f>
        <v>6</v>
      </c>
      <c r="F81" s="2050" t="str">
        <f>FHD_P_43</f>
        <v>Годовая бухгалтерская (финансовая) отчетность, включая бухгалтерский баланс и приложения к нему</v>
      </c>
      <c r="G81" s="2244" t="s">
        <v>318</v>
      </c>
      <c r="H81" s="1225"/>
      <c r="I81" s="988"/>
      <c r="J81" s="45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713"/>
      <c r="L81" s="1806"/>
      <c r="M81" s="1806"/>
      <c r="R81" s="1806"/>
      <c r="U81" s="714"/>
      <c r="AA81" s="1802"/>
      <c r="AB81" s="1802"/>
      <c r="AC81" s="1802"/>
      <c r="AD81" s="1802"/>
      <c r="AE81" s="1802"/>
      <c r="AF81" s="1330">
        <v>19</v>
      </c>
    </row>
    <row s="11992" customFormat="1" customHeight="1" ht="18.75" hidden="1">
      <c r="A82" s="2541" t="s">
        <v>595</v>
      </c>
      <c r="C82" s="905"/>
      <c r="D82" s="903"/>
      <c r="E82" s="716" t="str">
        <f>FHD_NUM_P_44</f>
        <v/>
      </c>
      <c r="F82" s="2050" t="str">
        <f>FHD_P_44</f>
        <v/>
      </c>
      <c r="G82" s="2051" t="s">
        <v>596</v>
      </c>
      <c r="H82" s="1147"/>
      <c r="I82" s="747"/>
      <c r="J82" s="459" t="str">
        <f>FHD_NOTE_P_44</f>
        <v/>
      </c>
      <c r="K82" s="904"/>
      <c r="L82" s="905"/>
      <c r="M82" s="905"/>
      <c r="R82" s="905"/>
      <c r="U82" s="906"/>
      <c r="AA82" s="907"/>
      <c r="AB82" s="907"/>
      <c r="AC82" s="907"/>
      <c r="AD82" s="907"/>
      <c r="AE82" s="907"/>
      <c r="AF82" s="1080">
        <v>0</v>
      </c>
    </row>
    <row s="11992" customFormat="1" customHeight="1" ht="18.75" hidden="1">
      <c r="A83" s="2541"/>
      <c r="C83" s="905"/>
      <c r="D83" s="903"/>
      <c r="E83" s="716" t="str">
        <f>FHD_NUM_P_45</f>
        <v/>
      </c>
      <c r="F83" s="2050" t="str">
        <f>FHD_P_45</f>
        <v/>
      </c>
      <c r="G83" s="2051" t="s">
        <v>596</v>
      </c>
      <c r="H83" s="1147"/>
      <c r="I83" s="747"/>
      <c r="J83" s="459" t="str">
        <f>FHD_NOTE_P_45</f>
        <v/>
      </c>
      <c r="K83" s="904"/>
      <c r="L83" s="905"/>
      <c r="M83" s="905"/>
      <c r="R83" s="905"/>
      <c r="U83" s="906"/>
      <c r="AA83" s="907"/>
      <c r="AB83" s="907"/>
      <c r="AC83" s="907"/>
      <c r="AD83" s="907"/>
      <c r="AE83" s="907"/>
      <c r="AF83" s="1080">
        <v>0</v>
      </c>
    </row>
    <row s="11992" customFormat="1" customHeight="1" ht="18.75" hidden="1">
      <c r="A84" s="2541"/>
      <c r="C84" s="905"/>
      <c r="D84" s="908"/>
      <c r="E84" s="716" t="str">
        <f>FHD_NUM_P_46</f>
        <v/>
      </c>
      <c r="F84" s="2050" t="str">
        <f>FHD_P_46</f>
        <v/>
      </c>
      <c r="G84" s="2051" t="s">
        <v>596</v>
      </c>
      <c r="H84" s="1147"/>
      <c r="I84" s="747"/>
      <c r="J84" s="459" t="str">
        <f>FHD_NOTE_P_46</f>
        <v/>
      </c>
      <c r="K84" s="904"/>
      <c r="L84" s="905"/>
      <c r="M84" s="905"/>
      <c r="R84" s="905"/>
      <c r="U84" s="906"/>
      <c r="AA84" s="907"/>
      <c r="AB84" s="907"/>
      <c r="AC84" s="907"/>
      <c r="AD84" s="907"/>
      <c r="AE84" s="907"/>
      <c r="AF84" s="1080">
        <v>0</v>
      </c>
    </row>
    <row s="11992" customFormat="1" customHeight="1" ht="18.75" hidden="1">
      <c r="A85" s="2541"/>
      <c r="C85" s="905"/>
      <c r="D85" s="903"/>
      <c r="E85" s="716" t="str">
        <f>FHD_NUM_P_47</f>
        <v/>
      </c>
      <c r="F85" s="2050" t="str">
        <f>FHD_P_47</f>
        <v/>
      </c>
      <c r="G85" s="2051" t="s">
        <v>596</v>
      </c>
      <c r="H85" s="1147"/>
      <c r="I85" s="747"/>
      <c r="J85" s="459" t="str">
        <f>FHD_NOTE_P_47</f>
        <v/>
      </c>
      <c r="K85" s="904"/>
      <c r="L85" s="905"/>
      <c r="M85" s="905"/>
      <c r="R85" s="905"/>
      <c r="U85" s="906"/>
      <c r="AA85" s="907"/>
      <c r="AB85" s="907"/>
      <c r="AC85" s="907"/>
      <c r="AD85" s="907"/>
      <c r="AE85" s="907"/>
      <c r="AF85" s="1080">
        <v>0</v>
      </c>
    </row>
    <row s="11913" customFormat="1" customHeight="1" ht="18.75" hidden="1">
      <c r="A86" s="2541"/>
      <c r="B86" s="1080"/>
      <c r="C86" s="905"/>
      <c r="D86" s="903"/>
      <c r="E86" s="716" t="str">
        <f>FHD_NUM_P_48</f>
        <v/>
      </c>
      <c r="F86" s="2050" t="str">
        <f>FHD_P_48</f>
        <v/>
      </c>
      <c r="G86" s="2051" t="s">
        <v>596</v>
      </c>
      <c r="H86" s="1147"/>
      <c r="I86" s="747"/>
      <c r="J86" s="459" t="str">
        <f>FHD_NOTE_P_48</f>
        <v/>
      </c>
      <c r="K86" s="904"/>
      <c r="L86" s="905"/>
      <c r="M86" s="905"/>
      <c r="N86" s="1080"/>
      <c r="O86" s="1080"/>
      <c r="P86" s="1080"/>
      <c r="Q86" s="1080"/>
      <c r="R86" s="905"/>
      <c r="S86" s="1080"/>
      <c r="T86" s="1080"/>
      <c r="U86" s="906"/>
      <c r="V86" s="1080"/>
      <c r="W86" s="1080"/>
      <c r="X86" s="1080"/>
      <c r="Y86" s="1080"/>
      <c r="Z86" s="1080"/>
      <c r="AA86" s="907"/>
      <c r="AB86" s="907"/>
      <c r="AC86" s="907"/>
      <c r="AD86" s="907"/>
      <c r="AE86" s="907"/>
      <c r="AF86" s="909">
        <v>0</v>
      </c>
    </row>
    <row s="11913" customFormat="1" customHeight="1" ht="18.75" hidden="1">
      <c r="A87" s="2541"/>
      <c r="B87" s="1080"/>
      <c r="C87" s="905"/>
      <c r="D87" s="903"/>
      <c r="E87" s="716" t="str">
        <f>FHD_NUM_P_49</f>
        <v/>
      </c>
      <c r="F87" s="2050" t="str">
        <f>FHD_P_49</f>
        <v/>
      </c>
      <c r="G87" s="2051" t="s">
        <v>596</v>
      </c>
      <c r="H87" s="1148">
        <f>SUM(H88:H89)</f>
        <v>0</v>
      </c>
      <c r="I87" s="919">
        <f>SUM(I88:I89)</f>
        <v>0</v>
      </c>
      <c r="J87" s="459" t="str">
        <f>FHD_NOTE_P_49</f>
        <v/>
      </c>
      <c r="K87" s="904"/>
      <c r="L87" s="905"/>
      <c r="M87" s="905"/>
      <c r="N87" s="1080"/>
      <c r="O87" s="1080"/>
      <c r="P87" s="1080"/>
      <c r="Q87" s="1080"/>
      <c r="R87" s="905"/>
      <c r="S87" s="1080"/>
      <c r="T87" s="1080"/>
      <c r="U87" s="906"/>
      <c r="V87" s="1080"/>
      <c r="W87" s="1080"/>
      <c r="X87" s="1080"/>
      <c r="Y87" s="1080"/>
      <c r="Z87" s="1080"/>
      <c r="AA87" s="907"/>
      <c r="AB87" s="907"/>
      <c r="AC87" s="907"/>
      <c r="AD87" s="907"/>
      <c r="AE87" s="907"/>
      <c r="AF87" s="909">
        <v>0</v>
      </c>
    </row>
    <row s="11913" customFormat="1" customHeight="1" ht="18.75" hidden="1">
      <c r="A88" s="2541"/>
      <c r="B88" s="1080"/>
      <c r="C88" s="905"/>
      <c r="D88" s="903"/>
      <c r="E88" s="716" t="str">
        <f>FHD_NUM_P_50</f>
        <v/>
      </c>
      <c r="F88" s="2050" t="str">
        <f>FHD_P_50</f>
        <v/>
      </c>
      <c r="G88" s="2051" t="s">
        <v>596</v>
      </c>
      <c r="H88" s="1147"/>
      <c r="I88" s="747"/>
      <c r="J88" s="459" t="str">
        <f>FHD_NOTE_P_50</f>
        <v/>
      </c>
      <c r="K88" s="904"/>
      <c r="L88" s="905"/>
      <c r="M88" s="905"/>
      <c r="N88" s="1080"/>
      <c r="O88" s="1080"/>
      <c r="P88" s="1080"/>
      <c r="Q88" s="1080"/>
      <c r="R88" s="905"/>
      <c r="S88" s="1080"/>
      <c r="T88" s="1080"/>
      <c r="U88" s="906"/>
      <c r="V88" s="1080"/>
      <c r="W88" s="1080"/>
      <c r="X88" s="1080"/>
      <c r="Y88" s="1080"/>
      <c r="Z88" s="1080"/>
      <c r="AA88" s="907"/>
      <c r="AB88" s="907"/>
      <c r="AC88" s="907"/>
      <c r="AD88" s="907"/>
      <c r="AE88" s="907"/>
      <c r="AF88" s="909">
        <v>0</v>
      </c>
    </row>
    <row s="11913" customFormat="1" customHeight="1" ht="18.75" hidden="1">
      <c r="A89" s="2541"/>
      <c r="B89" s="1080"/>
      <c r="C89" s="905"/>
      <c r="D89" s="903"/>
      <c r="E89" s="716" t="str">
        <f>FHD_NUM_P_51</f>
        <v/>
      </c>
      <c r="F89" s="2050" t="str">
        <f>FHD_P_51</f>
        <v/>
      </c>
      <c r="G89" s="2051" t="s">
        <v>596</v>
      </c>
      <c r="H89" s="1147"/>
      <c r="I89" s="747"/>
      <c r="J89" s="459" t="str">
        <f>FHD_NOTE_P_51</f>
        <v/>
      </c>
      <c r="K89" s="904"/>
      <c r="L89" s="905"/>
      <c r="M89" s="905"/>
      <c r="N89" s="1080"/>
      <c r="O89" s="1080"/>
      <c r="P89" s="1080"/>
      <c r="Q89" s="1080"/>
      <c r="R89" s="905"/>
      <c r="S89" s="1080"/>
      <c r="T89" s="1080"/>
      <c r="U89" s="906"/>
      <c r="V89" s="1080"/>
      <c r="W89" s="1080"/>
      <c r="X89" s="1080"/>
      <c r="Y89" s="1080"/>
      <c r="Z89" s="1080"/>
      <c r="AA89" s="907"/>
      <c r="AB89" s="907"/>
      <c r="AC89" s="907"/>
      <c r="AD89" s="907"/>
      <c r="AE89" s="907"/>
      <c r="AF89" s="909">
        <v>0</v>
      </c>
    </row>
    <row s="11913" customFormat="1" customHeight="1" ht="18.75" hidden="1">
      <c r="A90" s="2541"/>
      <c r="B90" s="1080"/>
      <c r="C90" s="905"/>
      <c r="D90" s="903"/>
      <c r="E90" s="716" t="str">
        <f>FHD_NUM_P_52</f>
        <v/>
      </c>
      <c r="F90" s="2050" t="str">
        <f>FHD_P_52</f>
        <v/>
      </c>
      <c r="G90" s="2051" t="s">
        <v>573</v>
      </c>
      <c r="H90" s="1146"/>
      <c r="I90" s="727"/>
      <c r="J90" s="459" t="str">
        <f>FHD_NOTE_P_52</f>
        <v/>
      </c>
      <c r="K90" s="904"/>
      <c r="L90" s="905"/>
      <c r="M90" s="905"/>
      <c r="N90" s="1080"/>
      <c r="O90" s="1080"/>
      <c r="P90" s="1080"/>
      <c r="Q90" s="1080"/>
      <c r="R90" s="905"/>
      <c r="S90" s="1080"/>
      <c r="T90" s="1080"/>
      <c r="U90" s="906"/>
      <c r="V90" s="1080"/>
      <c r="W90" s="1080"/>
      <c r="X90" s="1080"/>
      <c r="Y90" s="1080"/>
      <c r="Z90" s="1080"/>
      <c r="AA90" s="907"/>
      <c r="AB90" s="907"/>
      <c r="AC90" s="907"/>
      <c r="AD90" s="907"/>
      <c r="AE90" s="907"/>
      <c r="AF90" s="909">
        <v>0</v>
      </c>
    </row>
    <row s="11992" customFormat="1" customHeight="1" ht="18.75" hidden="1">
      <c r="A91" s="2543" t="s">
        <v>597</v>
      </c>
      <c r="C91" s="905"/>
      <c r="D91" s="903"/>
      <c r="E91" s="716" t="str">
        <f>FHD_NUM_P_53</f>
        <v/>
      </c>
      <c r="F91" s="2050" t="str">
        <f>FHD_P_53</f>
        <v/>
      </c>
      <c r="G91" s="2051" t="s">
        <v>596</v>
      </c>
      <c r="H91" s="1147"/>
      <c r="I91" s="747"/>
      <c r="J91" s="459" t="str">
        <f>FHD_NOTE_P_53</f>
        <v/>
      </c>
      <c r="K91" s="904"/>
      <c r="L91" s="905"/>
      <c r="M91" s="905"/>
      <c r="R91" s="905"/>
      <c r="U91" s="906"/>
      <c r="AA91" s="907"/>
      <c r="AB91" s="907"/>
      <c r="AC91" s="907"/>
      <c r="AD91" s="907"/>
      <c r="AE91" s="907"/>
      <c r="AF91" s="1080">
        <v>0</v>
      </c>
    </row>
    <row s="11992" customFormat="1" customHeight="1" ht="18.75" hidden="1">
      <c r="A92" s="2543"/>
      <c r="C92" s="905"/>
      <c r="D92" s="903"/>
      <c r="E92" s="716" t="str">
        <f>FHD_NUM_P_54</f>
        <v/>
      </c>
      <c r="F92" s="2050" t="str">
        <f>FHD_P_54</f>
        <v/>
      </c>
      <c r="G92" s="2051" t="s">
        <v>596</v>
      </c>
      <c r="H92" s="1147"/>
      <c r="I92" s="747"/>
      <c r="J92" s="459" t="str">
        <f>FHD_NOTE_P_54</f>
        <v/>
      </c>
      <c r="K92" s="904"/>
      <c r="L92" s="905"/>
      <c r="M92" s="905"/>
      <c r="R92" s="905"/>
      <c r="U92" s="906"/>
      <c r="AA92" s="907"/>
      <c r="AB92" s="907"/>
      <c r="AC92" s="907"/>
      <c r="AD92" s="907"/>
      <c r="AE92" s="907"/>
      <c r="AF92" s="1080">
        <v>0</v>
      </c>
    </row>
    <row s="11992" customFormat="1" customHeight="1" ht="18.75" hidden="1">
      <c r="A93" s="2543"/>
      <c r="C93" s="905"/>
      <c r="D93" s="908"/>
      <c r="E93" s="716" t="str">
        <f>FHD_NUM_P_55</f>
        <v/>
      </c>
      <c r="F93" s="2050" t="str">
        <f>FHD_P_55</f>
        <v/>
      </c>
      <c r="G93" s="2054"/>
      <c r="H93" s="1147"/>
      <c r="I93" s="747"/>
      <c r="J93" s="459" t="str">
        <f>FHD_NOTE_P_55</f>
        <v/>
      </c>
      <c r="K93" s="904"/>
      <c r="L93" s="905"/>
      <c r="M93" s="905"/>
      <c r="R93" s="905"/>
      <c r="U93" s="906"/>
      <c r="AA93" s="907"/>
      <c r="AB93" s="907"/>
      <c r="AC93" s="907"/>
      <c r="AD93" s="907"/>
      <c r="AE93" s="907"/>
      <c r="AF93" s="1080">
        <v>0</v>
      </c>
    </row>
    <row s="11992" customFormat="1" customHeight="1" ht="18.75" hidden="1">
      <c r="A94" s="2543"/>
      <c r="C94" s="905"/>
      <c r="D94" s="903"/>
      <c r="E94" s="716" t="str">
        <f>FHD_NUM_P_56</f>
        <v/>
      </c>
      <c r="F94" s="2050" t="str">
        <f>FHD_P_56</f>
        <v/>
      </c>
      <c r="G94" s="2051" t="s">
        <v>598</v>
      </c>
      <c r="H94" s="1147"/>
      <c r="I94" s="747"/>
      <c r="J94" s="459" t="str">
        <f>FHD_NOTE_P_56</f>
        <v/>
      </c>
      <c r="K94" s="904"/>
      <c r="L94" s="905"/>
      <c r="M94" s="905"/>
      <c r="R94" s="905"/>
      <c r="U94" s="906"/>
      <c r="AA94" s="907"/>
      <c r="AB94" s="907"/>
      <c r="AC94" s="907"/>
      <c r="AD94" s="907"/>
      <c r="AE94" s="907"/>
      <c r="AF94" s="1080">
        <v>0</v>
      </c>
    </row>
    <row s="11913" customFormat="1" customHeight="1" ht="18.75" hidden="1">
      <c r="A95" s="2543"/>
      <c r="B95" s="1080"/>
      <c r="C95" s="905"/>
      <c r="D95" s="903"/>
      <c r="E95" s="716" t="str">
        <f>FHD_NUM_P_57</f>
        <v/>
      </c>
      <c r="F95" s="2050" t="str">
        <f>FHD_P_57</f>
        <v/>
      </c>
      <c r="G95" s="2051" t="s">
        <v>573</v>
      </c>
      <c r="H95" s="1146"/>
      <c r="I95" s="727"/>
      <c r="J95" s="459" t="str">
        <f>FHD_NOTE_P_57</f>
        <v/>
      </c>
      <c r="K95" s="904"/>
      <c r="L95" s="905"/>
      <c r="M95" s="905"/>
      <c r="N95" s="1080"/>
      <c r="O95" s="1080"/>
      <c r="P95" s="1080"/>
      <c r="Q95" s="1080"/>
      <c r="R95" s="905"/>
      <c r="S95" s="1080"/>
      <c r="T95" s="1080"/>
      <c r="U95" s="906"/>
      <c r="V95" s="1080"/>
      <c r="W95" s="1080"/>
      <c r="X95" s="1080"/>
      <c r="Y95" s="1080"/>
      <c r="Z95" s="1080"/>
      <c r="AA95" s="907"/>
      <c r="AB95" s="907"/>
      <c r="AC95" s="907"/>
      <c r="AD95" s="907"/>
      <c r="AE95" s="907"/>
      <c r="AF95" s="909">
        <v>0</v>
      </c>
    </row>
    <row customHeight="1" ht="18.75" hidden="1">
      <c r="A96" s="2541" t="s">
        <v>599</v>
      </c>
      <c r="D96" s="1808"/>
      <c r="E96" s="716" t="str">
        <f>FHD_NUM_P_58</f>
        <v/>
      </c>
      <c r="F96" s="2050" t="str">
        <f>FHD_P_58</f>
        <v/>
      </c>
      <c r="G96" s="2051" t="s">
        <v>596</v>
      </c>
      <c r="H96" s="1147"/>
      <c r="I96" s="747"/>
      <c r="J96" s="459" t="str">
        <f>FHD_NOTE_P_58</f>
        <v/>
      </c>
      <c r="K96" s="713"/>
      <c r="AF96" s="1801">
        <v>0</v>
      </c>
    </row>
    <row customHeight="1" ht="18.75" hidden="1">
      <c r="A97" s="2541"/>
      <c r="D97" s="1808"/>
      <c r="E97" s="716" t="str">
        <f>FHD_NUM_P_59</f>
        <v/>
      </c>
      <c r="F97" s="2050" t="str">
        <f>FHD_P_59</f>
        <v/>
      </c>
      <c r="G97" s="2051" t="s">
        <v>596</v>
      </c>
      <c r="H97" s="1147"/>
      <c r="I97" s="747"/>
      <c r="J97" s="459" t="str">
        <f>FHD_NOTE_P_59</f>
        <v/>
      </c>
      <c r="K97" s="713"/>
      <c r="AF97" s="1801">
        <v>0</v>
      </c>
    </row>
    <row customHeight="1" ht="18.75" hidden="1">
      <c r="A98" s="2541"/>
      <c r="D98" s="1808"/>
      <c r="E98" s="716" t="str">
        <f>FHD_NUM_P_60</f>
        <v/>
      </c>
      <c r="F98" s="2050" t="str">
        <f>FHD_P_60</f>
        <v/>
      </c>
      <c r="G98" s="2051" t="s">
        <v>596</v>
      </c>
      <c r="H98" s="1147"/>
      <c r="I98" s="747"/>
      <c r="J98" s="459" t="str">
        <f>FHD_NOTE_P_60</f>
        <v/>
      </c>
      <c r="K98" s="713"/>
      <c r="AF98" s="1801">
        <v>0</v>
      </c>
    </row>
    <row s="11992" customFormat="1" customHeight="1" ht="18.75">
      <c r="A99" s="2541" t="s">
        <v>600</v>
      </c>
      <c r="C99" s="1806"/>
      <c r="D99" s="1808"/>
      <c r="E99" s="716" t="str">
        <f>FHD_NUM_P_61</f>
        <v>7</v>
      </c>
      <c r="F99" s="205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2048" t="s">
        <v>571</v>
      </c>
      <c r="H99" s="1149"/>
      <c r="I99" s="912"/>
      <c r="J99" s="45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713"/>
      <c r="L99" s="1806"/>
      <c r="M99" s="1806"/>
      <c r="R99" s="1806"/>
      <c r="U99" s="714"/>
      <c r="AA99" s="1802"/>
      <c r="AB99" s="1802"/>
      <c r="AC99" s="1802"/>
      <c r="AD99" s="1802"/>
      <c r="AE99" s="1802"/>
      <c r="AF99" s="1330">
        <v>0</v>
      </c>
    </row>
    <row s="11993" customFormat="1" customHeight="1" ht="0.75">
      <c r="A100" s="2541"/>
      <c r="D100" s="718"/>
      <c r="E100" s="1183" t="str">
        <f>E99&amp;".0"</f>
        <v>7.0</v>
      </c>
      <c r="F100" s="1164"/>
      <c r="G100" s="1165"/>
      <c r="H100" s="1162"/>
      <c r="I100" s="1162"/>
      <c r="J100" s="1166"/>
      <c r="AF100" s="1806">
        <v>0</v>
      </c>
    </row>
    <row customHeight="1" ht="15">
      <c r="A101" s="2541"/>
      <c r="D101" s="1803"/>
      <c r="E101" s="1141"/>
      <c r="F101" s="1142" t="s">
        <v>601</v>
      </c>
      <c r="G101" s="742"/>
      <c r="H101" s="743"/>
      <c r="I101" s="743"/>
      <c r="J101" s="1174" t="s">
        <v>602</v>
      </c>
      <c r="K101" s="713"/>
      <c r="AF101" s="1801">
        <v>0</v>
      </c>
    </row>
    <row s="11992" customFormat="1" customHeight="1" ht="18.75">
      <c r="A102" s="2541"/>
      <c r="C102" s="1806"/>
      <c r="D102" s="1808"/>
      <c r="E102" s="716" t="str">
        <f>FHD_NUM_P_62</f>
        <v>8</v>
      </c>
      <c r="F102" s="2050" t="str">
        <f>FHD_P_62</f>
        <v>Тепловая нагрузка по договорам, заключенным в рамках осуществления регулируемых видов деятельности</v>
      </c>
      <c r="G102" s="2047" t="s">
        <v>571</v>
      </c>
      <c r="H102" s="727"/>
      <c r="I102" s="727"/>
      <c r="J102" s="45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713"/>
      <c r="L102" s="1806"/>
      <c r="M102" s="1806"/>
      <c r="R102" s="1806"/>
      <c r="U102" s="714"/>
      <c r="AA102" s="1802"/>
      <c r="AB102" s="1802"/>
      <c r="AC102" s="1802"/>
      <c r="AD102" s="1802"/>
      <c r="AE102" s="1802"/>
      <c r="AF102" s="1330">
        <v>0</v>
      </c>
    </row>
    <row s="11992" customFormat="1" customHeight="1" ht="18.75">
      <c r="A103" s="2541"/>
      <c r="C103" s="1806"/>
      <c r="D103" s="1808"/>
      <c r="E103" s="716" t="str">
        <f>FHD_NUM_P_63</f>
        <v>9</v>
      </c>
      <c r="F103" s="2050" t="str">
        <f>FHD_P_63</f>
        <v>Объем вырабатываемой регулируемой организацией тепловой энергии в рамках осуществления регулируемых видов деятельности</v>
      </c>
      <c r="G103" s="2047" t="s">
        <v>598</v>
      </c>
      <c r="H103" s="747"/>
      <c r="I103" s="747"/>
      <c r="J103" s="45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713"/>
      <c r="L103" s="1806"/>
      <c r="M103" s="1806"/>
      <c r="R103" s="1806"/>
      <c r="U103" s="714"/>
      <c r="AA103" s="1802"/>
      <c r="AB103" s="1802"/>
      <c r="AC103" s="1802"/>
      <c r="AD103" s="1802"/>
      <c r="AE103" s="1802"/>
      <c r="AF103" s="1330">
        <v>0</v>
      </c>
    </row>
    <row s="11992" customFormat="1" customHeight="1" ht="18.75">
      <c r="A104" s="2541"/>
      <c r="C104" s="1806" t="s">
        <v>603</v>
      </c>
      <c r="D104" s="1808"/>
      <c r="E104" s="716" t="str">
        <f>FHD_NUM_P_64</f>
        <v>9.1</v>
      </c>
      <c r="F104" s="2050" t="str">
        <f>FHD_P_64</f>
        <v>Объем приобретаемой регулируемой организацией тепловой энергии в рамках осуществления регулируемых видов деятельности</v>
      </c>
      <c r="G104" s="2047" t="s">
        <v>598</v>
      </c>
      <c r="H104" s="715"/>
      <c r="I104" s="715"/>
      <c r="J104" s="459" t="str">
        <f>FHD_NOTE_P_64</f>
        <v>Информация указывается только едиными теплоснабжающими организациями.</v>
      </c>
      <c r="K104" s="713"/>
      <c r="L104" s="1806"/>
      <c r="M104" s="1806"/>
      <c r="R104" s="1806"/>
      <c r="U104" s="714"/>
      <c r="AA104" s="1802"/>
      <c r="AB104" s="1802"/>
      <c r="AC104" s="1802"/>
      <c r="AD104" s="1802"/>
      <c r="AE104" s="1802"/>
      <c r="AF104" s="1330">
        <v>0</v>
      </c>
    </row>
    <row s="11992" customFormat="1" customHeight="1" ht="18.75">
      <c r="A105" s="2541"/>
      <c r="C105" s="1806"/>
      <c r="D105" s="1808"/>
      <c r="E105" s="716" t="str">
        <f>FHD_NUM_P_65</f>
        <v>10</v>
      </c>
      <c r="F105" s="205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2047" t="s">
        <v>598</v>
      </c>
      <c r="H105" s="747"/>
      <c r="I105" s="747"/>
      <c r="J105" s="45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713"/>
      <c r="L105" s="1806"/>
      <c r="M105" s="1806"/>
      <c r="R105" s="1806"/>
      <c r="U105" s="714"/>
      <c r="AA105" s="1802"/>
      <c r="AB105" s="1802"/>
      <c r="AC105" s="1802"/>
      <c r="AD105" s="1802"/>
      <c r="AE105" s="1802"/>
      <c r="AF105" s="1330">
        <v>0</v>
      </c>
    </row>
    <row s="11992" customFormat="1" customHeight="1" ht="18.75">
      <c r="A106" s="2541"/>
      <c r="C106" s="1806"/>
      <c r="D106" s="1808"/>
      <c r="E106" s="716" t="str">
        <f>FHD_NUM_P_66</f>
        <v>10.1</v>
      </c>
      <c r="F106" s="1694" t="str">
        <f>FHD_P_66</f>
        <v>По приборам учёта </v>
      </c>
      <c r="G106" s="2047" t="s">
        <v>598</v>
      </c>
      <c r="H106" s="747"/>
      <c r="I106" s="747"/>
      <c r="J106" s="459" t="str">
        <f>FHD_NOTE_P_66</f>
        <v/>
      </c>
      <c r="K106" s="713"/>
      <c r="L106" s="1806"/>
      <c r="M106" s="1806"/>
      <c r="R106" s="1806"/>
      <c r="U106" s="714"/>
      <c r="AA106" s="1802"/>
      <c r="AB106" s="1802"/>
      <c r="AC106" s="1802"/>
      <c r="AD106" s="1802"/>
      <c r="AE106" s="1802"/>
      <c r="AF106" s="1330">
        <v>0</v>
      </c>
    </row>
    <row s="11992" customFormat="1" customHeight="1" ht="18.75">
      <c r="A107" s="2541"/>
      <c r="C107" s="1806"/>
      <c r="D107" s="1808"/>
      <c r="E107" s="716" t="str">
        <f>FHD_NUM_P_67</f>
        <v>10.1.1</v>
      </c>
      <c r="F107" s="182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2047" t="s">
        <v>598</v>
      </c>
      <c r="H107" s="747"/>
      <c r="I107" s="747"/>
      <c r="J107" s="459" t="str">
        <f>FHD_NOTE_P_67</f>
        <v/>
      </c>
      <c r="K107" s="713"/>
      <c r="L107" s="1806"/>
      <c r="M107" s="1806"/>
      <c r="R107" s="1806"/>
      <c r="U107" s="714"/>
      <c r="AA107" s="1802"/>
      <c r="AB107" s="1802"/>
      <c r="AC107" s="1802"/>
      <c r="AD107" s="1802"/>
      <c r="AE107" s="1802"/>
      <c r="AF107" s="1330">
        <v>0</v>
      </c>
    </row>
    <row s="11992" customFormat="1" customHeight="1" ht="18.75">
      <c r="A108" s="2541"/>
      <c r="C108" s="1806"/>
      <c r="D108" s="1808"/>
      <c r="E108" s="716" t="str">
        <f>FHD_NUM_P_68</f>
        <v>10.2</v>
      </c>
      <c r="F108" s="1694" t="str">
        <f>FHD_P_68</f>
        <v>Расчётным путём</v>
      </c>
      <c r="G108" s="2047" t="s">
        <v>598</v>
      </c>
      <c r="H108" s="747"/>
      <c r="I108" s="747"/>
      <c r="J108" s="459" t="str">
        <f>FHD_NOTE_P_68</f>
        <v/>
      </c>
      <c r="K108" s="713"/>
      <c r="L108" s="1806"/>
      <c r="M108" s="1806"/>
      <c r="R108" s="1806"/>
      <c r="U108" s="714"/>
      <c r="AA108" s="1802"/>
      <c r="AB108" s="1802"/>
      <c r="AC108" s="1802"/>
      <c r="AD108" s="1802"/>
      <c r="AE108" s="1802"/>
      <c r="AF108" s="1330">
        <v>0</v>
      </c>
    </row>
    <row s="11992" customFormat="1" customHeight="1" ht="18.75">
      <c r="A109" s="2541"/>
      <c r="C109" s="1806"/>
      <c r="D109" s="1808"/>
      <c r="E109" s="716" t="str">
        <f>FHD_NUM_P_69</f>
        <v>10.3</v>
      </c>
      <c r="F109" s="1694" t="str">
        <f>FHD_P_69</f>
        <v>По нормативам потребления коммунальных услуг и нормативам потребления коммунальных ресурсов</v>
      </c>
      <c r="G109" s="2047" t="s">
        <v>598</v>
      </c>
      <c r="H109" s="747"/>
      <c r="I109" s="747"/>
      <c r="J109" s="459" t="str">
        <f>FHD_NOTE_P_69</f>
        <v/>
      </c>
      <c r="K109" s="713"/>
      <c r="L109" s="1806"/>
      <c r="M109" s="1806"/>
      <c r="R109" s="1806"/>
      <c r="U109" s="714"/>
      <c r="AA109" s="1802"/>
      <c r="AB109" s="1802"/>
      <c r="AC109" s="1802"/>
      <c r="AD109" s="1802"/>
      <c r="AE109" s="1802"/>
      <c r="AF109" s="1330">
        <v>0</v>
      </c>
    </row>
    <row s="11992" customFormat="1" customHeight="1" ht="22.5">
      <c r="A110" s="2541"/>
      <c r="C110" s="1806"/>
      <c r="D110" s="1808"/>
      <c r="E110" s="716" t="str">
        <f>FHD_NUM_P_70</f>
        <v>11</v>
      </c>
      <c r="F110" s="2050" t="str">
        <f>FHD_P_70</f>
        <v>Нормативы технологических потерь при передаче тепловой энергии, теплоносителя по тепловым сетям, утвержденные уполномоченным органом</v>
      </c>
      <c r="G110" s="2047" t="s">
        <v>604</v>
      </c>
      <c r="H110" s="727"/>
      <c r="I110" s="727"/>
      <c r="J110" s="459" t="str">
        <f>FHD_NOTE_P_70</f>
        <v/>
      </c>
      <c r="K110" s="713"/>
      <c r="L110" s="1806"/>
      <c r="M110" s="1806"/>
      <c r="R110" s="1806"/>
      <c r="U110" s="714"/>
      <c r="AA110" s="1802"/>
      <c r="AB110" s="1802"/>
      <c r="AC110" s="1802"/>
      <c r="AD110" s="1802"/>
      <c r="AE110" s="1802"/>
      <c r="AF110" s="1330">
        <v>0</v>
      </c>
    </row>
    <row s="11992" customFormat="1" customHeight="1" ht="22.5">
      <c r="A111" s="2541"/>
      <c r="C111" s="1806"/>
      <c r="D111" s="1808"/>
      <c r="E111" s="716" t="str">
        <f>FHD_NUM_P_71</f>
        <v>12</v>
      </c>
      <c r="F111" s="2050" t="str">
        <f>FHD_P_71</f>
        <v>Фактический объем потерь при передаче тепловой энергии</v>
      </c>
      <c r="G111" s="2047" t="s">
        <v>604</v>
      </c>
      <c r="H111" s="727"/>
      <c r="I111" s="727"/>
      <c r="J111" s="459" t="str">
        <f>FHD_NOTE_P_71</f>
        <v/>
      </c>
      <c r="K111" s="713"/>
      <c r="L111" s="1806"/>
      <c r="M111" s="1806"/>
      <c r="R111" s="1806"/>
      <c r="U111" s="714"/>
      <c r="AA111" s="1802"/>
      <c r="AB111" s="1802"/>
      <c r="AC111" s="1802"/>
      <c r="AD111" s="1802"/>
      <c r="AE111" s="1802"/>
      <c r="AF111" s="1330">
        <v>0</v>
      </c>
    </row>
    <row customHeight="1" ht="19.95">
      <c r="D112" s="1808"/>
      <c r="E112" s="716" t="str">
        <f>FHD_NUM_P_72</f>
        <v>13</v>
      </c>
      <c r="F112" s="2050" t="str">
        <f>FHD_P_72</f>
        <v>Среднесписочная численность основного производственного персонала</v>
      </c>
      <c r="G112" s="2046" t="s">
        <v>605</v>
      </c>
      <c r="H112" s="747"/>
      <c r="I112" s="747"/>
      <c r="J112" s="459" t="str">
        <f>FHD_NOTE_P_72</f>
        <v/>
      </c>
      <c r="K112" s="713"/>
      <c r="AF112" s="1801">
        <v>19</v>
      </c>
    </row>
    <row customHeight="1" ht="18.75">
      <c r="A113" s="1159" t="s">
        <v>606</v>
      </c>
      <c r="D113" s="1808"/>
      <c r="E113" s="716" t="str">
        <f>FHD_NUM_P_73</f>
        <v>14</v>
      </c>
      <c r="F113" s="2050" t="str">
        <f>FHD_P_73</f>
        <v>Среднесписочная численность административно-управленческого персонала</v>
      </c>
      <c r="G113" s="1140" t="s">
        <v>605</v>
      </c>
      <c r="H113" s="1138"/>
      <c r="I113" s="1138"/>
      <c r="J113" s="459" t="str">
        <f>FHD_NOTE_P_73</f>
        <v/>
      </c>
      <c r="K113" s="713"/>
      <c r="AF113" s="1801">
        <v>0</v>
      </c>
    </row>
    <row customHeight="1" ht="33.75" hidden="1">
      <c r="A114" s="1159" t="s">
        <v>607</v>
      </c>
      <c r="D114" s="1808"/>
      <c r="E114" s="716" t="str">
        <f>FHD_NUM_P_74</f>
        <v/>
      </c>
      <c r="F114" s="2050" t="str">
        <f>FHD_P_74</f>
        <v/>
      </c>
      <c r="G114" s="2046" t="s">
        <v>608</v>
      </c>
      <c r="H114" s="747"/>
      <c r="I114" s="747"/>
      <c r="J114" s="459" t="str">
        <f>FHD_NOTE_P_74</f>
        <v/>
      </c>
      <c r="K114" s="713"/>
      <c r="AF114" s="1801">
        <v>0</v>
      </c>
    </row>
    <row s="11913" customFormat="1" customHeight="1" ht="18.75" hidden="1">
      <c r="A115" s="2543" t="s">
        <v>609</v>
      </c>
      <c r="B115" s="1080"/>
      <c r="C115" s="905"/>
      <c r="D115" s="903"/>
      <c r="E115" s="716" t="str">
        <f>FHD_NUM_P_75</f>
        <v/>
      </c>
      <c r="F115" s="2050" t="str">
        <f>FHD_P_75</f>
        <v/>
      </c>
      <c r="G115" s="2046" t="s">
        <v>573</v>
      </c>
      <c r="H115" s="727"/>
      <c r="I115" s="727"/>
      <c r="J115" s="459" t="str">
        <f>FHD_NOTE_P_75</f>
        <v/>
      </c>
      <c r="K115" s="904"/>
      <c r="L115" s="905"/>
      <c r="M115" s="905"/>
      <c r="N115" s="1080"/>
      <c r="O115" s="1080"/>
      <c r="P115" s="1080"/>
      <c r="Q115" s="1080"/>
      <c r="R115" s="905"/>
      <c r="S115" s="1080"/>
      <c r="T115" s="1080"/>
      <c r="U115" s="906"/>
      <c r="V115" s="1080"/>
      <c r="W115" s="1080"/>
      <c r="X115" s="1080"/>
      <c r="Y115" s="1080"/>
      <c r="Z115" s="1080"/>
      <c r="AA115" s="907"/>
      <c r="AB115" s="907"/>
      <c r="AC115" s="907"/>
      <c r="AD115" s="907"/>
      <c r="AE115" s="907"/>
      <c r="AF115" s="909">
        <v>0</v>
      </c>
    </row>
    <row s="11913" customFormat="1" customHeight="1" ht="18.75" hidden="1">
      <c r="A116" s="2543"/>
      <c r="B116" s="1080"/>
      <c r="C116" s="905"/>
      <c r="D116" s="903"/>
      <c r="E116" s="716" t="str">
        <f>FHD_NUM_P_76</f>
        <v/>
      </c>
      <c r="F116" s="2050" t="str">
        <f>FHD_P_76</f>
        <v/>
      </c>
      <c r="G116" s="2046" t="s">
        <v>573</v>
      </c>
      <c r="H116" s="727"/>
      <c r="I116" s="727"/>
      <c r="J116" s="459" t="str">
        <f>FHD_NOTE_P_76</f>
        <v/>
      </c>
      <c r="K116" s="904"/>
      <c r="L116" s="905"/>
      <c r="M116" s="905"/>
      <c r="N116" s="1080"/>
      <c r="O116" s="1080"/>
      <c r="P116" s="1080"/>
      <c r="Q116" s="1080"/>
      <c r="R116" s="905"/>
      <c r="S116" s="1080"/>
      <c r="T116" s="1080"/>
      <c r="U116" s="906"/>
      <c r="V116" s="1080"/>
      <c r="W116" s="1080"/>
      <c r="X116" s="1080"/>
      <c r="Y116" s="1080"/>
      <c r="Z116" s="1080"/>
      <c r="AA116" s="907"/>
      <c r="AB116" s="907"/>
      <c r="AC116" s="907"/>
      <c r="AD116" s="907"/>
      <c r="AE116" s="907"/>
      <c r="AF116" s="909">
        <v>0</v>
      </c>
    </row>
    <row s="11913" customFormat="1" customHeight="1" ht="18.75" hidden="1">
      <c r="A117" s="2543"/>
      <c r="B117" s="1080"/>
      <c r="C117" s="905"/>
      <c r="D117" s="903"/>
      <c r="E117" s="716" t="str">
        <f>FHD_NUM_P_77</f>
        <v/>
      </c>
      <c r="F117" s="2050" t="str">
        <f>FHD_P_77</f>
        <v/>
      </c>
      <c r="G117" s="2046" t="s">
        <v>573</v>
      </c>
      <c r="H117" s="727"/>
      <c r="I117" s="727"/>
      <c r="J117" s="459" t="str">
        <f>FHD_NOTE_P_77</f>
        <v/>
      </c>
      <c r="K117" s="904"/>
      <c r="L117" s="905"/>
      <c r="M117" s="905"/>
      <c r="N117" s="1080"/>
      <c r="O117" s="1080"/>
      <c r="P117" s="1080"/>
      <c r="Q117" s="1080"/>
      <c r="R117" s="905"/>
      <c r="S117" s="1080"/>
      <c r="T117" s="1080"/>
      <c r="U117" s="906"/>
      <c r="V117" s="1080"/>
      <c r="W117" s="1080"/>
      <c r="X117" s="1080"/>
      <c r="Y117" s="1080"/>
      <c r="Z117" s="1080"/>
      <c r="AA117" s="907"/>
      <c r="AB117" s="907"/>
      <c r="AC117" s="907"/>
      <c r="AD117" s="907"/>
      <c r="AE117" s="907"/>
      <c r="AF117" s="909">
        <v>0</v>
      </c>
    </row>
    <row s="11993" customFormat="1" customHeight="1" ht="0.75" hidden="1">
      <c r="A118" s="2543"/>
      <c r="D118" s="718"/>
      <c r="E118" s="1183" t="str">
        <f>E117&amp;".0"</f>
        <v>.0</v>
      </c>
      <c r="F118" s="1167"/>
      <c r="G118" s="1821"/>
      <c r="H118" s="1162"/>
      <c r="I118" s="1162"/>
      <c r="J118" s="1166"/>
      <c r="AF118" s="1806">
        <v>0</v>
      </c>
    </row>
    <row s="11913" customFormat="1" customHeight="1" ht="15" hidden="1">
      <c r="A119" s="2543"/>
      <c r="B119" s="1080"/>
      <c r="C119" s="905"/>
      <c r="D119" s="916"/>
      <c r="E119" s="1143"/>
      <c r="F119" s="1144" t="s">
        <v>610</v>
      </c>
      <c r="G119" s="917"/>
      <c r="H119" s="918"/>
      <c r="I119" s="918"/>
      <c r="J119" s="1173" t="s">
        <v>611</v>
      </c>
      <c r="K119" s="904"/>
      <c r="L119" s="905"/>
      <c r="M119" s="905"/>
      <c r="N119" s="1080"/>
      <c r="O119" s="1080"/>
      <c r="P119" s="1080"/>
      <c r="Q119" s="1080"/>
      <c r="R119" s="905"/>
      <c r="S119" s="1080"/>
      <c r="T119" s="1080"/>
      <c r="U119" s="906"/>
      <c r="V119" s="1080"/>
      <c r="W119" s="1080"/>
      <c r="X119" s="1080"/>
      <c r="Y119" s="1080"/>
      <c r="Z119" s="1080"/>
      <c r="AA119" s="907"/>
      <c r="AB119" s="907"/>
      <c r="AC119" s="907"/>
      <c r="AD119" s="907"/>
      <c r="AE119" s="907"/>
      <c r="AF119" s="909">
        <v>0</v>
      </c>
    </row>
    <row customHeight="1" ht="22.5">
      <c r="A120" s="2541" t="s">
        <v>612</v>
      </c>
      <c r="D120" s="1808"/>
      <c r="E120" s="716" t="str">
        <f>FHD_NUM_P_78</f>
        <v>15</v>
      </c>
      <c r="F120" s="205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2047" t="s">
        <v>575</v>
      </c>
      <c r="H120" s="747"/>
      <c r="I120" s="747"/>
      <c r="J120" s="459" t="str">
        <f>FHD_NOTE_P_78</f>
        <v/>
      </c>
      <c r="K120" s="713"/>
      <c r="AF120" s="1801">
        <v>0</v>
      </c>
    </row>
    <row s="11993" customFormat="1" customHeight="1" ht="0.75">
      <c r="A121" s="2541"/>
      <c r="D121" s="718"/>
      <c r="E121" s="1183" t="str">
        <f>E120&amp;".0"</f>
        <v>15.0</v>
      </c>
      <c r="F121" s="1167"/>
      <c r="G121" s="1821"/>
      <c r="H121" s="1162"/>
      <c r="I121" s="1162"/>
      <c r="J121" s="1166"/>
      <c r="AF121" s="1806">
        <v>0</v>
      </c>
    </row>
    <row customHeight="1" ht="15">
      <c r="A122" s="2541"/>
      <c r="D122" s="1803"/>
      <c r="E122" s="740"/>
      <c r="F122" s="1338" t="s">
        <v>601</v>
      </c>
      <c r="G122" s="742"/>
      <c r="H122" s="743"/>
      <c r="I122" s="743"/>
      <c r="J122" s="1174" t="s">
        <v>613</v>
      </c>
      <c r="K122" s="713"/>
      <c r="AF122" s="1801">
        <v>0</v>
      </c>
    </row>
    <row customHeight="1" ht="22.5">
      <c r="A123" s="2541"/>
      <c r="D123" s="1808"/>
      <c r="E123" s="716" t="str">
        <f>FHD_NUM_P_79</f>
        <v>16</v>
      </c>
      <c r="F123" s="205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2048" t="s">
        <v>577</v>
      </c>
      <c r="H123" s="747"/>
      <c r="I123" s="747"/>
      <c r="J123" s="45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713"/>
      <c r="AF123" s="1801">
        <v>0</v>
      </c>
    </row>
    <row s="11993" customFormat="1" customHeight="1" ht="0.75">
      <c r="A124" s="2541"/>
      <c r="D124" s="718"/>
      <c r="E124" s="1183" t="str">
        <f>E123&amp;".0"</f>
        <v>16.0</v>
      </c>
      <c r="F124" s="1168"/>
      <c r="G124" s="1821"/>
      <c r="H124" s="1162"/>
      <c r="I124" s="1162"/>
      <c r="J124" s="1166"/>
      <c r="AF124" s="1806">
        <v>0</v>
      </c>
    </row>
    <row customHeight="1" ht="15">
      <c r="A125" s="2541"/>
      <c r="D125" s="1803"/>
      <c r="E125" s="740"/>
      <c r="F125" s="1338" t="s">
        <v>601</v>
      </c>
      <c r="G125" s="742"/>
      <c r="H125" s="743"/>
      <c r="I125" s="743"/>
      <c r="J125" s="1174" t="s">
        <v>614</v>
      </c>
      <c r="K125" s="713"/>
      <c r="AF125" s="1801">
        <v>0</v>
      </c>
    </row>
    <row customHeight="1" ht="22.5">
      <c r="A126" s="2541"/>
      <c r="D126" s="1808"/>
      <c r="E126" s="716" t="str">
        <f>FHD_NUM_P_80</f>
        <v>17</v>
      </c>
      <c r="F126" s="205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2048" t="s">
        <v>615</v>
      </c>
      <c r="H126" s="727"/>
      <c r="I126" s="727"/>
      <c r="J126" s="459" t="str">
        <f>FHD_NOTE_P_80</f>
        <v>Регулируемыми организациями указывается информация с по договорам, заключенным в рамках осуществления регулируемой деятельности.</v>
      </c>
      <c r="K126" s="713"/>
      <c r="AF126" s="1801">
        <v>0</v>
      </c>
    </row>
    <row customHeight="1" ht="18.75">
      <c r="A127" s="2541"/>
      <c r="D127" s="1808"/>
      <c r="E127" s="716" t="str">
        <f>FHD_NUM_P_81</f>
        <v>18</v>
      </c>
      <c r="F127" s="205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2048" t="s">
        <v>616</v>
      </c>
      <c r="H127" s="727"/>
      <c r="I127" s="727"/>
      <c r="J127" s="459" t="str">
        <f>FHD_NOTE_P_81</f>
        <v>Регулируемыми организациями указывается информация с по договорам, заключенным в рамках осуществления регулируемой деятельности.</v>
      </c>
      <c r="K127" s="713"/>
      <c r="AF127" s="1801">
        <v>0</v>
      </c>
    </row>
    <row customHeight="1" ht="18.75">
      <c r="A128" s="2541"/>
      <c r="C128" s="1806" t="s">
        <v>603</v>
      </c>
      <c r="D128" s="1808"/>
      <c r="E128" s="716" t="str">
        <f>FHD_NUM_P_82</f>
        <v>19</v>
      </c>
      <c r="F128" s="205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2048" t="s">
        <v>318</v>
      </c>
      <c r="H128" s="571"/>
      <c r="I128" s="571"/>
      <c r="J128" s="459" t="str">
        <f>FHD_NOTE_P_82</f>
        <v>Указывается ссылка на документ, предварительно загруженный в хранилище файлов ФГИС ЕИАС.</v>
      </c>
      <c r="K128" s="713"/>
      <c r="AF128" s="1801">
        <v>0</v>
      </c>
    </row>
    <row customHeight="1" ht="18.75">
      <c r="A129" s="2541"/>
      <c r="C129" s="1806" t="s">
        <v>603</v>
      </c>
      <c r="D129" s="1808"/>
      <c r="E129" s="716" t="str">
        <f>FHD_NUM_P_83</f>
        <v>19.1</v>
      </c>
      <c r="F129" s="1694" t="str">
        <f>FHD_P_83</f>
        <v>Информация о показателях физического износа объектов теплоснабжения</v>
      </c>
      <c r="G129" s="2048" t="s">
        <v>318</v>
      </c>
      <c r="H129" s="571"/>
      <c r="I129" s="571"/>
      <c r="J129" s="459" t="str">
        <f>FHD_NOTE_P_83</f>
        <v>Указывается ссылка на документ, предварительно загруженный в хранилище файлов ФГИС ЕИАС.</v>
      </c>
      <c r="K129" s="713"/>
      <c r="AF129" s="1801">
        <v>0</v>
      </c>
    </row>
    <row customHeight="1" ht="18.75">
      <c r="A130" s="2541"/>
      <c r="C130" s="1806" t="s">
        <v>603</v>
      </c>
      <c r="D130" s="1808"/>
      <c r="E130" s="716" t="str">
        <f>FHD_NUM_P_84</f>
        <v>19.2</v>
      </c>
      <c r="F130" s="1694" t="str">
        <f>FHD_P_84</f>
        <v>Информация о показателях энергетической эффективности объектов теплоснабжения</v>
      </c>
      <c r="G130" s="2048" t="s">
        <v>318</v>
      </c>
      <c r="H130" s="571"/>
      <c r="I130" s="571"/>
      <c r="J130" s="459" t="str">
        <f>FHD_NOTE_P_84</f>
        <v>Указывается ссылка на документ, предварительно загруженный в хранилище файлов ФГИС ЕИАС.</v>
      </c>
      <c r="K130" s="713"/>
      <c r="AF130" s="1801">
        <v>0</v>
      </c>
    </row>
    <row customHeight="1" ht="11.549999999999999">
      <c r="D131" s="1808"/>
      <c r="AF131" s="1801">
        <v>11</v>
      </c>
    </row>
    <row customHeight="1" ht="13.5">
      <c r="D132" s="1808"/>
      <c r="E132" s="506"/>
      <c r="F132" s="539"/>
      <c r="G132" s="539"/>
      <c r="H132" s="539"/>
      <c r="I132" s="1817"/>
      <c r="J132" s="751"/>
      <c r="AF132" s="1801">
        <v>13</v>
      </c>
    </row>
    <row s="12668" customFormat="1" customHeight="1" ht="11.549999999999999">
      <c r="A133" s="1157"/>
      <c r="B133" s="1806"/>
      <c r="C133" s="1806"/>
      <c r="D133" s="521"/>
      <c r="F133" s="1810"/>
      <c r="G133" s="1801"/>
      <c r="H133" s="1801"/>
      <c r="I133" s="1801"/>
      <c r="K133" s="1330"/>
      <c r="L133" s="1806"/>
      <c r="M133" s="1806"/>
      <c r="N133" s="1330"/>
      <c r="O133" s="1330"/>
      <c r="P133" s="1330"/>
      <c r="Q133" s="1330"/>
      <c r="R133" s="1806"/>
      <c r="S133" s="1330"/>
      <c r="T133" s="1330"/>
      <c r="U133" s="714"/>
      <c r="V133" s="1330"/>
      <c r="W133" s="1330"/>
      <c r="X133" s="1330"/>
      <c r="Y133" s="1330"/>
      <c r="Z133" s="1330"/>
      <c r="AA133" s="1802"/>
      <c r="AB133" s="736"/>
      <c r="AC133" s="736"/>
      <c r="AD133" s="736"/>
      <c r="AE133" s="736"/>
      <c r="AF133" s="1811">
        <v>11</v>
      </c>
    </row>
    <row s="12668" customFormat="1" customHeight="1" ht="11.549999999999999">
      <c r="A134" s="1157"/>
      <c r="B134" s="1806"/>
      <c r="C134" s="1806"/>
      <c r="D134" s="521"/>
      <c r="K134" s="1330"/>
      <c r="L134" s="1806"/>
      <c r="M134" s="1806"/>
      <c r="N134" s="1330"/>
      <c r="O134" s="1330"/>
      <c r="P134" s="1330"/>
      <c r="Q134" s="1330"/>
      <c r="R134" s="1806"/>
      <c r="S134" s="1330"/>
      <c r="T134" s="1330"/>
      <c r="U134" s="714"/>
      <c r="V134" s="1330"/>
      <c r="W134" s="1330"/>
      <c r="X134" s="1330"/>
      <c r="Y134" s="1330"/>
      <c r="Z134" s="1330"/>
      <c r="AA134" s="1802"/>
      <c r="AB134" s="736"/>
      <c r="AC134" s="736"/>
      <c r="AD134" s="736"/>
      <c r="AE134" s="736"/>
      <c r="AF134" s="1811">
        <v>11</v>
      </c>
    </row>
    <row s="12668" customFormat="1" customHeight="1" ht="11.549999999999999">
      <c r="A135" s="1157"/>
      <c r="B135" s="1806"/>
      <c r="C135" s="1806"/>
      <c r="D135" s="521"/>
      <c r="K135" s="1330"/>
      <c r="L135" s="1806"/>
      <c r="M135" s="1806"/>
      <c r="N135" s="1330"/>
      <c r="O135" s="1330"/>
      <c r="P135" s="1330"/>
      <c r="Q135" s="1330"/>
      <c r="R135" s="1806"/>
      <c r="S135" s="1330"/>
      <c r="T135" s="1330"/>
      <c r="U135" s="714"/>
      <c r="V135" s="1330"/>
      <c r="W135" s="1330"/>
      <c r="X135" s="1330"/>
      <c r="Y135" s="1330"/>
      <c r="Z135" s="1330"/>
      <c r="AA135" s="1802"/>
      <c r="AB135" s="736"/>
      <c r="AC135" s="736"/>
      <c r="AD135" s="736"/>
      <c r="AE135" s="736"/>
      <c r="AF135" s="1811">
        <v>11</v>
      </c>
    </row>
    <row s="12668" customFormat="1" customHeight="1" ht="11.549999999999999">
      <c r="A136" s="1157"/>
      <c r="B136" s="1806"/>
      <c r="C136" s="1806"/>
      <c r="D136" s="521"/>
      <c r="H136" s="736" t="str">
        <f>IF(H30-H31&lt;&gt;H72,"WARNING","")</f>
        <v/>
      </c>
      <c r="I136" s="736" t="str">
        <f>IF(I30-I31&lt;&gt;I72,"WARNING","")</f>
        <v/>
      </c>
      <c r="K136" s="1330"/>
      <c r="L136" s="1806"/>
      <c r="M136" s="1806"/>
      <c r="N136" s="1330"/>
      <c r="O136" s="1330"/>
      <c r="P136" s="1330"/>
      <c r="Q136" s="1330"/>
      <c r="R136" s="1806"/>
      <c r="S136" s="1330"/>
      <c r="T136" s="1330"/>
      <c r="U136" s="714"/>
      <c r="V136" s="1330"/>
      <c r="W136" s="1330"/>
      <c r="X136" s="1330"/>
      <c r="Y136" s="1330"/>
      <c r="Z136" s="1330"/>
      <c r="AA136" s="1802"/>
      <c r="AB136" s="736"/>
      <c r="AC136" s="736"/>
      <c r="AD136" s="736"/>
      <c r="AE136" s="736"/>
      <c r="AF136" s="1811">
        <v>11</v>
      </c>
    </row>
    <row s="12668" customFormat="1" customHeight="1" ht="11.549999999999999">
      <c r="A137" s="1157"/>
      <c r="B137" s="1806"/>
      <c r="C137" s="1806"/>
      <c r="D137" s="521"/>
      <c r="K137" s="1330"/>
      <c r="L137" s="1806"/>
      <c r="M137" s="1806"/>
      <c r="N137" s="1330"/>
      <c r="O137" s="1330"/>
      <c r="P137" s="1330"/>
      <c r="Q137" s="1330"/>
      <c r="R137" s="1806"/>
      <c r="S137" s="1330"/>
      <c r="T137" s="1330"/>
      <c r="U137" s="714"/>
      <c r="V137" s="1330"/>
      <c r="W137" s="1330"/>
      <c r="X137" s="1330"/>
      <c r="Y137" s="1330"/>
      <c r="Z137" s="1330"/>
      <c r="AA137" s="1802"/>
      <c r="AB137" s="736"/>
      <c r="AC137" s="736"/>
      <c r="AD137" s="736"/>
      <c r="AE137" s="736"/>
      <c r="AF137" s="1811">
        <v>11</v>
      </c>
    </row>
    <row s="12668" customFormat="1" customHeight="1" ht="11.549999999999999">
      <c r="A138" s="1157"/>
      <c r="B138" s="1806"/>
      <c r="C138" s="1806"/>
      <c r="D138" s="521"/>
      <c r="K138" s="1330"/>
      <c r="L138" s="1806"/>
      <c r="M138" s="1806"/>
      <c r="N138" s="1330"/>
      <c r="O138" s="1330"/>
      <c r="P138" s="1330"/>
      <c r="Q138" s="1330"/>
      <c r="R138" s="1806"/>
      <c r="S138" s="1330"/>
      <c r="T138" s="1330"/>
      <c r="U138" s="714"/>
      <c r="V138" s="1330"/>
      <c r="W138" s="1330"/>
      <c r="X138" s="1330"/>
      <c r="Y138" s="1330"/>
      <c r="Z138" s="1330"/>
      <c r="AA138" s="1802"/>
      <c r="AB138" s="736"/>
      <c r="AC138" s="736"/>
      <c r="AD138" s="736"/>
      <c r="AE138" s="736"/>
      <c r="AF138" s="1811">
        <v>11</v>
      </c>
    </row>
    <row s="12668" customFormat="1" customHeight="1" ht="11.549999999999999">
      <c r="A139" s="1157"/>
      <c r="B139" s="1806"/>
      <c r="C139" s="1806"/>
      <c r="D139" s="521"/>
      <c r="K139" s="1330"/>
      <c r="L139" s="1806"/>
      <c r="M139" s="1806"/>
      <c r="N139" s="1330"/>
      <c r="O139" s="1330"/>
      <c r="P139" s="1330"/>
      <c r="Q139" s="1330"/>
      <c r="R139" s="1806"/>
      <c r="S139" s="1330"/>
      <c r="T139" s="1330"/>
      <c r="U139" s="714"/>
      <c r="V139" s="1330"/>
      <c r="W139" s="1330"/>
      <c r="X139" s="1330"/>
      <c r="Y139" s="1330"/>
      <c r="Z139" s="1330"/>
      <c r="AA139" s="1802"/>
      <c r="AB139" s="736"/>
      <c r="AC139" s="736"/>
      <c r="AD139" s="736"/>
      <c r="AE139" s="736"/>
      <c r="AF139" s="1811">
        <v>11</v>
      </c>
    </row>
    <row s="12668" customFormat="1" customHeight="1" ht="11.549999999999999">
      <c r="A140" s="1157"/>
      <c r="B140" s="1806"/>
      <c r="C140" s="1806"/>
      <c r="D140" s="521"/>
      <c r="K140" s="1330"/>
      <c r="L140" s="1806"/>
      <c r="M140" s="1806"/>
      <c r="N140" s="1330"/>
      <c r="O140" s="1330"/>
      <c r="P140" s="1330"/>
      <c r="Q140" s="1330"/>
      <c r="R140" s="1806"/>
      <c r="S140" s="1330"/>
      <c r="T140" s="1330"/>
      <c r="U140" s="714"/>
      <c r="V140" s="1330"/>
      <c r="W140" s="1330"/>
      <c r="X140" s="1330"/>
      <c r="Y140" s="1330"/>
      <c r="Z140" s="1330"/>
      <c r="AA140" s="1802"/>
      <c r="AB140" s="736"/>
      <c r="AC140" s="736"/>
      <c r="AD140" s="736"/>
      <c r="AE140" s="736"/>
      <c r="AF140" s="1811">
        <v>11</v>
      </c>
    </row>
    <row s="12668" customFormat="1" customHeight="1" ht="11.549999999999999">
      <c r="A141" s="1157"/>
      <c r="B141" s="1806"/>
      <c r="C141" s="1806"/>
      <c r="D141" s="521"/>
      <c r="K141" s="1330"/>
      <c r="L141" s="1806"/>
      <c r="M141" s="1806"/>
      <c r="N141" s="1330"/>
      <c r="O141" s="1330"/>
      <c r="P141" s="1330"/>
      <c r="Q141" s="1330"/>
      <c r="R141" s="1806"/>
      <c r="S141" s="1330"/>
      <c r="T141" s="1330"/>
      <c r="U141" s="714"/>
      <c r="V141" s="1330"/>
      <c r="W141" s="1330"/>
      <c r="X141" s="1330"/>
      <c r="Y141" s="1330"/>
      <c r="Z141" s="1330"/>
      <c r="AA141" s="1802"/>
      <c r="AB141" s="736"/>
      <c r="AC141" s="736"/>
      <c r="AD141" s="736"/>
      <c r="AE141" s="736"/>
      <c r="AF141" s="1811">
        <v>11</v>
      </c>
    </row>
    <row s="12668" customFormat="1" customHeight="1" ht="11.549999999999999">
      <c r="A142" s="1157"/>
      <c r="B142" s="1806"/>
      <c r="C142" s="1806"/>
      <c r="D142" s="521"/>
      <c r="K142" s="1330"/>
      <c r="L142" s="1806"/>
      <c r="M142" s="1806"/>
      <c r="N142" s="1330"/>
      <c r="O142" s="1330"/>
      <c r="P142" s="1330"/>
      <c r="Q142" s="1330"/>
      <c r="R142" s="1806"/>
      <c r="S142" s="1330"/>
      <c r="T142" s="1330"/>
      <c r="U142" s="714"/>
      <c r="V142" s="1330"/>
      <c r="W142" s="1330"/>
      <c r="X142" s="1330"/>
      <c r="Y142" s="1330"/>
      <c r="Z142" s="1330"/>
      <c r="AA142" s="1802"/>
      <c r="AB142" s="736"/>
      <c r="AC142" s="736"/>
      <c r="AD142" s="736"/>
      <c r="AE142" s="736"/>
      <c r="AF142" s="1811">
        <v>11</v>
      </c>
    </row>
    <row s="12668" customFormat="1" customHeight="1" ht="11.549999999999999">
      <c r="A143" s="1157"/>
      <c r="B143" s="1806"/>
      <c r="C143" s="1806"/>
      <c r="D143" s="521"/>
      <c r="K143" s="1330"/>
      <c r="L143" s="1806"/>
      <c r="M143" s="1806"/>
      <c r="N143" s="1330"/>
      <c r="O143" s="1330"/>
      <c r="P143" s="1330"/>
      <c r="Q143" s="1330"/>
      <c r="R143" s="1806"/>
      <c r="S143" s="1330"/>
      <c r="T143" s="1330"/>
      <c r="U143" s="714"/>
      <c r="V143" s="1330"/>
      <c r="W143" s="1330"/>
      <c r="X143" s="1330"/>
      <c r="Y143" s="1330"/>
      <c r="Z143" s="1330"/>
      <c r="AA143" s="1802"/>
      <c r="AB143" s="736"/>
      <c r="AC143" s="736"/>
      <c r="AD143" s="736"/>
      <c r="AE143" s="736"/>
      <c r="AF143" s="1811">
        <v>11</v>
      </c>
    </row>
    <row s="12668" customFormat="1" customHeight="1" ht="11.549999999999999">
      <c r="A144" s="1157"/>
      <c r="B144" s="1806"/>
      <c r="C144" s="1806"/>
      <c r="D144" s="521"/>
      <c r="K144" s="1330"/>
      <c r="L144" s="1806"/>
      <c r="M144" s="1806"/>
      <c r="N144" s="1330"/>
      <c r="O144" s="1330"/>
      <c r="P144" s="1330"/>
      <c r="Q144" s="1330"/>
      <c r="R144" s="1806"/>
      <c r="S144" s="1330"/>
      <c r="T144" s="1330"/>
      <c r="U144" s="714"/>
      <c r="V144" s="1330"/>
      <c r="W144" s="1330"/>
      <c r="X144" s="1330"/>
      <c r="Y144" s="1330"/>
      <c r="Z144" s="1330"/>
      <c r="AA144" s="1802"/>
      <c r="AB144" s="736"/>
      <c r="AC144" s="736"/>
      <c r="AD144" s="736"/>
      <c r="AE144" s="736"/>
      <c r="AF144" s="1811">
        <v>11</v>
      </c>
    </row>
    <row s="12668" customFormat="1" customHeight="1" ht="11.549999999999999">
      <c r="A145" s="1157"/>
      <c r="B145" s="1806"/>
      <c r="C145" s="1806"/>
      <c r="D145" s="521"/>
      <c r="K145" s="1330"/>
      <c r="L145" s="1806"/>
      <c r="M145" s="1806"/>
      <c r="N145" s="1330"/>
      <c r="O145" s="1330"/>
      <c r="P145" s="1330"/>
      <c r="Q145" s="1330"/>
      <c r="R145" s="1806"/>
      <c r="S145" s="1330"/>
      <c r="T145" s="1330"/>
      <c r="U145" s="714"/>
      <c r="V145" s="1330"/>
      <c r="W145" s="1330"/>
      <c r="X145" s="1330"/>
      <c r="Y145" s="1330"/>
      <c r="Z145" s="1330"/>
      <c r="AA145" s="1802"/>
      <c r="AB145" s="736"/>
      <c r="AC145" s="736"/>
      <c r="AD145" s="736"/>
      <c r="AE145" s="736"/>
      <c r="AF145" s="1811">
        <v>11</v>
      </c>
    </row>
    <row s="12668" customFormat="1" customHeight="1" ht="11.549999999999999">
      <c r="A146" s="1157"/>
      <c r="B146" s="1806"/>
      <c r="C146" s="1806"/>
      <c r="D146" s="521"/>
      <c r="K146" s="1330"/>
      <c r="L146" s="1806"/>
      <c r="M146" s="1806"/>
      <c r="N146" s="1330"/>
      <c r="O146" s="1330"/>
      <c r="P146" s="1330"/>
      <c r="Q146" s="1330"/>
      <c r="R146" s="1806"/>
      <c r="S146" s="1330"/>
      <c r="T146" s="1330"/>
      <c r="U146" s="714"/>
      <c r="V146" s="1330"/>
      <c r="W146" s="1330"/>
      <c r="X146" s="1330"/>
      <c r="Y146" s="1330"/>
      <c r="Z146" s="1330"/>
      <c r="AA146" s="1802"/>
      <c r="AB146" s="736"/>
      <c r="AC146" s="736"/>
      <c r="AD146" s="736"/>
      <c r="AE146" s="736"/>
      <c r="AF146" s="1811">
        <v>11</v>
      </c>
    </row>
    <row s="12668" customFormat="1" customHeight="1" ht="11.549999999999999">
      <c r="A147" s="1157"/>
      <c r="B147" s="1806"/>
      <c r="C147" s="1806"/>
      <c r="D147" s="521"/>
      <c r="K147" s="1330"/>
      <c r="L147" s="1806"/>
      <c r="M147" s="1806"/>
      <c r="N147" s="1330"/>
      <c r="O147" s="1330"/>
      <c r="P147" s="1330"/>
      <c r="Q147" s="1330"/>
      <c r="R147" s="1806"/>
      <c r="S147" s="1330"/>
      <c r="T147" s="1330"/>
      <c r="U147" s="714"/>
      <c r="V147" s="1330"/>
      <c r="W147" s="1330"/>
      <c r="X147" s="1330"/>
      <c r="Y147" s="1330"/>
      <c r="Z147" s="1330"/>
      <c r="AA147" s="1802"/>
      <c r="AB147" s="736"/>
      <c r="AC147" s="736"/>
      <c r="AD147" s="736"/>
      <c r="AE147" s="736"/>
      <c r="AF147" s="1811">
        <v>11</v>
      </c>
    </row>
    <row s="12668" customFormat="1" customHeight="1" ht="11.549999999999999">
      <c r="A148" s="1157"/>
      <c r="B148" s="1806"/>
      <c r="C148" s="1806"/>
      <c r="D148" s="521"/>
      <c r="K148" s="1330"/>
      <c r="L148" s="1806"/>
      <c r="M148" s="1806"/>
      <c r="N148" s="1330"/>
      <c r="O148" s="1330"/>
      <c r="P148" s="1330"/>
      <c r="Q148" s="1330"/>
      <c r="R148" s="1806"/>
      <c r="S148" s="1330"/>
      <c r="T148" s="1330"/>
      <c r="U148" s="714"/>
      <c r="V148" s="1330"/>
      <c r="W148" s="1330"/>
      <c r="X148" s="1330"/>
      <c r="Y148" s="1330"/>
      <c r="Z148" s="1330"/>
      <c r="AA148" s="1802"/>
      <c r="AB148" s="736"/>
      <c r="AC148" s="736"/>
      <c r="AD148" s="736"/>
      <c r="AE148" s="736"/>
      <c r="AF148" s="1811">
        <v>11</v>
      </c>
    </row>
    <row s="12668" customFormat="1" customHeight="1" ht="11.549999999999999">
      <c r="A149" s="1157"/>
      <c r="B149" s="1806"/>
      <c r="C149" s="1806"/>
      <c r="D149" s="521"/>
      <c r="K149" s="1330"/>
      <c r="L149" s="1806"/>
      <c r="M149" s="1806"/>
      <c r="N149" s="1330"/>
      <c r="O149" s="1330"/>
      <c r="P149" s="1330"/>
      <c r="Q149" s="1330"/>
      <c r="R149" s="1806"/>
      <c r="S149" s="1330"/>
      <c r="T149" s="1330"/>
      <c r="U149" s="714"/>
      <c r="V149" s="1330"/>
      <c r="W149" s="1330"/>
      <c r="X149" s="1330"/>
      <c r="Y149" s="1330"/>
      <c r="Z149" s="1330"/>
      <c r="AA149" s="1802"/>
      <c r="AB149" s="736"/>
      <c r="AC149" s="736"/>
      <c r="AD149" s="736"/>
      <c r="AE149" s="736"/>
      <c r="AF149" s="1811">
        <v>11</v>
      </c>
    </row>
    <row s="12668" customFormat="1" customHeight="1" ht="11.549999999999999">
      <c r="A150" s="1157"/>
      <c r="B150" s="1806"/>
      <c r="C150" s="1806"/>
      <c r="D150" s="521"/>
      <c r="K150" s="1330"/>
      <c r="L150" s="1806"/>
      <c r="M150" s="1806"/>
      <c r="N150" s="1330"/>
      <c r="O150" s="1330"/>
      <c r="P150" s="1330"/>
      <c r="Q150" s="1330"/>
      <c r="R150" s="1806"/>
      <c r="S150" s="1330"/>
      <c r="T150" s="1330"/>
      <c r="U150" s="714"/>
      <c r="V150" s="1330"/>
      <c r="W150" s="1330"/>
      <c r="X150" s="1330"/>
      <c r="Y150" s="1330"/>
      <c r="Z150" s="1330"/>
      <c r="AA150" s="1802"/>
      <c r="AB150" s="736"/>
      <c r="AC150" s="736"/>
      <c r="AD150" s="736"/>
      <c r="AE150" s="736"/>
      <c r="AF150" s="1811">
        <v>11</v>
      </c>
    </row>
    <row s="12668" customFormat="1" customHeight="1" ht="11.549999999999999">
      <c r="A151" s="1157"/>
      <c r="B151" s="1806"/>
      <c r="C151" s="1806"/>
      <c r="D151" s="521"/>
      <c r="K151" s="1330"/>
      <c r="L151" s="1806"/>
      <c r="M151" s="1806"/>
      <c r="N151" s="1330"/>
      <c r="O151" s="1330"/>
      <c r="P151" s="1330"/>
      <c r="Q151" s="1330"/>
      <c r="R151" s="1806"/>
      <c r="S151" s="1330"/>
      <c r="T151" s="1330"/>
      <c r="U151" s="714"/>
      <c r="V151" s="1330"/>
      <c r="W151" s="1330"/>
      <c r="X151" s="1330"/>
      <c r="Y151" s="1330"/>
      <c r="Z151" s="1330"/>
      <c r="AA151" s="1802"/>
      <c r="AB151" s="736"/>
      <c r="AC151" s="736"/>
      <c r="AD151" s="736"/>
      <c r="AE151" s="736"/>
      <c r="AF151" s="1811">
        <v>11</v>
      </c>
    </row>
    <row s="12668" customFormat="1" customHeight="1" ht="11.549999999999999">
      <c r="A152" s="1157"/>
      <c r="B152" s="1806"/>
      <c r="C152" s="1806"/>
      <c r="D152" s="521"/>
      <c r="K152" s="1330"/>
      <c r="L152" s="1806"/>
      <c r="M152" s="1806"/>
      <c r="N152" s="1330"/>
      <c r="O152" s="1330"/>
      <c r="P152" s="1330"/>
      <c r="Q152" s="1330"/>
      <c r="R152" s="1806"/>
      <c r="S152" s="1330"/>
      <c r="T152" s="1330"/>
      <c r="U152" s="714"/>
      <c r="V152" s="1330"/>
      <c r="W152" s="1330"/>
      <c r="X152" s="1330"/>
      <c r="Y152" s="1330"/>
      <c r="Z152" s="1330"/>
      <c r="AA152" s="1802"/>
      <c r="AB152" s="736"/>
      <c r="AC152" s="736"/>
      <c r="AD152" s="736"/>
      <c r="AE152" s="736"/>
      <c r="AF152" s="1811">
        <v>11</v>
      </c>
    </row>
    <row s="12668" customFormat="1" customHeight="1" ht="11.549999999999999">
      <c r="A153" s="1157"/>
      <c r="B153" s="1806"/>
      <c r="C153" s="1806"/>
      <c r="D153" s="521"/>
      <c r="K153" s="1330"/>
      <c r="L153" s="1806"/>
      <c r="M153" s="1806"/>
      <c r="N153" s="1330"/>
      <c r="O153" s="1330"/>
      <c r="P153" s="1330"/>
      <c r="Q153" s="1330"/>
      <c r="R153" s="1806"/>
      <c r="S153" s="1330"/>
      <c r="T153" s="1330"/>
      <c r="U153" s="714"/>
      <c r="V153" s="1330"/>
      <c r="W153" s="1330"/>
      <c r="X153" s="1330"/>
      <c r="Y153" s="1330"/>
      <c r="Z153" s="1330"/>
      <c r="AA153" s="1802"/>
      <c r="AB153" s="736"/>
      <c r="AC153" s="736"/>
      <c r="AD153" s="736"/>
      <c r="AE153" s="736"/>
      <c r="AF153" s="1811">
        <v>11</v>
      </c>
    </row>
    <row s="12668" customFormat="1" customHeight="1" ht="11.549999999999999">
      <c r="A154" s="1157"/>
      <c r="B154" s="1806"/>
      <c r="C154" s="1806"/>
      <c r="D154" s="521"/>
      <c r="K154" s="1330"/>
      <c r="L154" s="1806"/>
      <c r="M154" s="1806"/>
      <c r="N154" s="1330"/>
      <c r="O154" s="1330"/>
      <c r="P154" s="1330"/>
      <c r="Q154" s="1330"/>
      <c r="R154" s="1806"/>
      <c r="S154" s="1330"/>
      <c r="T154" s="1330"/>
      <c r="U154" s="714"/>
      <c r="V154" s="1330"/>
      <c r="W154" s="1330"/>
      <c r="X154" s="1330"/>
      <c r="Y154" s="1330"/>
      <c r="Z154" s="1330"/>
      <c r="AA154" s="1802"/>
      <c r="AB154" s="736"/>
      <c r="AC154" s="736"/>
      <c r="AD154" s="736"/>
      <c r="AE154" s="736"/>
      <c r="AF154" s="1811">
        <v>11</v>
      </c>
    </row>
    <row s="12668" customFormat="1" customHeight="1" ht="11.549999999999999">
      <c r="A155" s="1157"/>
      <c r="B155" s="1806"/>
      <c r="C155" s="1806"/>
      <c r="D155" s="521"/>
      <c r="K155" s="1330"/>
      <c r="L155" s="1806"/>
      <c r="M155" s="1806"/>
      <c r="N155" s="1330"/>
      <c r="O155" s="1330"/>
      <c r="P155" s="1330"/>
      <c r="Q155" s="1330"/>
      <c r="R155" s="1806"/>
      <c r="S155" s="1330"/>
      <c r="T155" s="1330"/>
      <c r="U155" s="714"/>
      <c r="V155" s="1330"/>
      <c r="W155" s="1330"/>
      <c r="X155" s="1330"/>
      <c r="Y155" s="1330"/>
      <c r="Z155" s="1330"/>
      <c r="AA155" s="1802"/>
      <c r="AB155" s="736"/>
      <c r="AC155" s="736"/>
      <c r="AD155" s="736"/>
      <c r="AE155" s="736"/>
      <c r="AF155" s="1811">
        <v>11</v>
      </c>
    </row>
    <row s="12668" customFormat="1" customHeight="1" ht="11.549999999999999">
      <c r="A156" s="1157"/>
      <c r="B156" s="1806"/>
      <c r="C156" s="1806"/>
      <c r="D156" s="521"/>
      <c r="K156" s="1330"/>
      <c r="L156" s="1806"/>
      <c r="M156" s="1806"/>
      <c r="N156" s="1330"/>
      <c r="O156" s="1330"/>
      <c r="P156" s="1330"/>
      <c r="Q156" s="1330"/>
      <c r="R156" s="1806"/>
      <c r="S156" s="1330"/>
      <c r="T156" s="1330"/>
      <c r="U156" s="714"/>
      <c r="V156" s="1330"/>
      <c r="W156" s="1330"/>
      <c r="X156" s="1330"/>
      <c r="Y156" s="1330"/>
      <c r="Z156" s="1330"/>
      <c r="AA156" s="1802"/>
      <c r="AB156" s="736"/>
      <c r="AC156" s="736"/>
      <c r="AD156" s="736"/>
      <c r="AE156" s="736"/>
      <c r="AF156" s="1811">
        <v>11</v>
      </c>
    </row>
    <row s="12668" customFormat="1" customHeight="1" ht="11.549999999999999">
      <c r="A157" s="1157"/>
      <c r="B157" s="1806"/>
      <c r="C157" s="1806"/>
      <c r="D157" s="521"/>
      <c r="K157" s="1330"/>
      <c r="L157" s="1806"/>
      <c r="M157" s="1806"/>
      <c r="N157" s="1330"/>
      <c r="O157" s="1330"/>
      <c r="P157" s="1330"/>
      <c r="Q157" s="1330"/>
      <c r="R157" s="1806"/>
      <c r="S157" s="1330"/>
      <c r="T157" s="1330"/>
      <c r="U157" s="714"/>
      <c r="V157" s="1330"/>
      <c r="W157" s="1330"/>
      <c r="X157" s="1330"/>
      <c r="Y157" s="1330"/>
      <c r="Z157" s="1330"/>
      <c r="AA157" s="1802"/>
      <c r="AB157" s="736"/>
      <c r="AC157" s="736"/>
      <c r="AD157" s="736"/>
      <c r="AE157" s="736"/>
      <c r="AF157" s="1811">
        <v>11</v>
      </c>
    </row>
    <row s="12668" customFormat="1" customHeight="1" ht="11.549999999999999">
      <c r="A158" s="1157"/>
      <c r="B158" s="1806"/>
      <c r="C158" s="1806"/>
      <c r="D158" s="521"/>
      <c r="K158" s="1330"/>
      <c r="L158" s="1806"/>
      <c r="M158" s="1806"/>
      <c r="N158" s="1330"/>
      <c r="O158" s="1330"/>
      <c r="P158" s="1330"/>
      <c r="Q158" s="1330"/>
      <c r="R158" s="1806"/>
      <c r="S158" s="1330"/>
      <c r="T158" s="1330"/>
      <c r="U158" s="714"/>
      <c r="V158" s="1330"/>
      <c r="W158" s="1330"/>
      <c r="X158" s="1330"/>
      <c r="Y158" s="1330"/>
      <c r="Z158" s="1330"/>
      <c r="AA158" s="1802"/>
      <c r="AB158" s="736"/>
      <c r="AC158" s="736"/>
      <c r="AD158" s="736"/>
      <c r="AE158" s="736"/>
      <c r="AF158" s="1811">
        <v>11</v>
      </c>
    </row>
    <row s="12668" customFormat="1" customHeight="1" ht="11.549999999999999">
      <c r="A159" s="1157"/>
      <c r="B159" s="1806"/>
      <c r="C159" s="1806"/>
      <c r="D159" s="521"/>
      <c r="K159" s="1330"/>
      <c r="L159" s="1806"/>
      <c r="M159" s="1806"/>
      <c r="N159" s="1330"/>
      <c r="O159" s="1330"/>
      <c r="P159" s="1330"/>
      <c r="Q159" s="1330"/>
      <c r="R159" s="1806"/>
      <c r="S159" s="1330"/>
      <c r="T159" s="1330"/>
      <c r="U159" s="714"/>
      <c r="V159" s="1330"/>
      <c r="W159" s="1330"/>
      <c r="X159" s="1330"/>
      <c r="Y159" s="1330"/>
      <c r="Z159" s="1330"/>
      <c r="AA159" s="1802"/>
      <c r="AB159" s="736"/>
      <c r="AC159" s="736"/>
      <c r="AD159" s="736"/>
      <c r="AE159" s="736"/>
      <c r="AF159" s="1811">
        <v>11</v>
      </c>
    </row>
    <row s="12668" customFormat="1" customHeight="1" ht="11.549999999999999">
      <c r="A160" s="1157"/>
      <c r="B160" s="1806"/>
      <c r="C160" s="1806"/>
      <c r="D160" s="521"/>
      <c r="K160" s="1330"/>
      <c r="L160" s="1806"/>
      <c r="M160" s="1806"/>
      <c r="N160" s="1330"/>
      <c r="O160" s="1330"/>
      <c r="P160" s="1330"/>
      <c r="Q160" s="1330"/>
      <c r="R160" s="1806"/>
      <c r="S160" s="1330"/>
      <c r="T160" s="1330"/>
      <c r="U160" s="714"/>
      <c r="V160" s="1330"/>
      <c r="W160" s="1330"/>
      <c r="X160" s="1330"/>
      <c r="Y160" s="1330"/>
      <c r="Z160" s="1330"/>
      <c r="AA160" s="1802"/>
      <c r="AB160" s="736"/>
      <c r="AC160" s="736"/>
      <c r="AD160" s="736"/>
      <c r="AE160" s="736"/>
      <c r="AF160" s="1811">
        <v>11</v>
      </c>
    </row>
    <row s="12668" customFormat="1" customHeight="1" ht="11.549999999999999">
      <c r="A161" s="1157"/>
      <c r="B161" s="1806"/>
      <c r="C161" s="1806"/>
      <c r="D161" s="521"/>
      <c r="K161" s="1330"/>
      <c r="L161" s="1806"/>
      <c r="M161" s="1806"/>
      <c r="N161" s="1330"/>
      <c r="O161" s="1330"/>
      <c r="P161" s="1330"/>
      <c r="Q161" s="1330"/>
      <c r="R161" s="1806"/>
      <c r="S161" s="1330"/>
      <c r="T161" s="1330"/>
      <c r="U161" s="714"/>
      <c r="V161" s="1330"/>
      <c r="W161" s="1330"/>
      <c r="X161" s="1330"/>
      <c r="Y161" s="1330"/>
      <c r="Z161" s="1330"/>
      <c r="AA161" s="1802"/>
      <c r="AB161" s="736"/>
      <c r="AC161" s="736"/>
      <c r="AD161" s="736"/>
      <c r="AE161" s="736"/>
      <c r="AF161" s="1811">
        <v>11</v>
      </c>
    </row>
    <row s="12668" customFormat="1" customHeight="1" ht="11.549999999999999">
      <c r="A162" s="1157"/>
      <c r="B162" s="1806"/>
      <c r="C162" s="1806"/>
      <c r="D162" s="521"/>
      <c r="K162" s="1330"/>
      <c r="L162" s="1806"/>
      <c r="M162" s="1806"/>
      <c r="N162" s="1330"/>
      <c r="O162" s="1330"/>
      <c r="P162" s="1330"/>
      <c r="Q162" s="1330"/>
      <c r="R162" s="1806"/>
      <c r="S162" s="1330"/>
      <c r="T162" s="1330"/>
      <c r="U162" s="714"/>
      <c r="V162" s="1330"/>
      <c r="W162" s="1330"/>
      <c r="X162" s="1330"/>
      <c r="Y162" s="1330"/>
      <c r="Z162" s="1330"/>
      <c r="AA162" s="1802"/>
      <c r="AB162" s="736"/>
      <c r="AC162" s="736"/>
      <c r="AD162" s="736"/>
      <c r="AE162" s="736"/>
      <c r="AF162" s="1811">
        <v>11</v>
      </c>
    </row>
    <row s="12668" customFormat="1" customHeight="1" ht="11.549999999999999">
      <c r="A163" s="1157"/>
      <c r="B163" s="1806"/>
      <c r="C163" s="1806"/>
      <c r="D163" s="521"/>
      <c r="K163" s="1330"/>
      <c r="L163" s="1806"/>
      <c r="M163" s="1806"/>
      <c r="N163" s="1330"/>
      <c r="O163" s="1330"/>
      <c r="P163" s="1330"/>
      <c r="Q163" s="1330"/>
      <c r="R163" s="1806"/>
      <c r="S163" s="1330"/>
      <c r="T163" s="1330"/>
      <c r="U163" s="714"/>
      <c r="V163" s="1330"/>
      <c r="W163" s="1330"/>
      <c r="X163" s="1330"/>
      <c r="Y163" s="1330"/>
      <c r="Z163" s="1330"/>
      <c r="AA163" s="1802"/>
      <c r="AB163" s="736"/>
      <c r="AC163" s="736"/>
      <c r="AD163" s="736"/>
      <c r="AE163" s="736"/>
      <c r="AF163" s="1811">
        <v>11</v>
      </c>
    </row>
    <row s="12668" customFormat="1" customHeight="1" ht="11.549999999999999">
      <c r="A164" s="1157"/>
      <c r="B164" s="1806"/>
      <c r="C164" s="1806"/>
      <c r="D164" s="521"/>
      <c r="K164" s="1330"/>
      <c r="L164" s="1806"/>
      <c r="M164" s="1806"/>
      <c r="N164" s="1330"/>
      <c r="O164" s="1330"/>
      <c r="P164" s="1330"/>
      <c r="Q164" s="1330"/>
      <c r="R164" s="1806"/>
      <c r="S164" s="1330"/>
      <c r="T164" s="1330"/>
      <c r="U164" s="714"/>
      <c r="V164" s="1330"/>
      <c r="W164" s="1330"/>
      <c r="X164" s="1330"/>
      <c r="Y164" s="1330"/>
      <c r="Z164" s="1330"/>
      <c r="AA164" s="1802"/>
      <c r="AB164" s="736"/>
      <c r="AC164" s="736"/>
      <c r="AD164" s="736"/>
      <c r="AE164" s="736"/>
      <c r="AF164" s="1811">
        <v>11</v>
      </c>
    </row>
    <row s="12668" customFormat="1" customHeight="1" ht="11.549999999999999">
      <c r="A165" s="1157"/>
      <c r="B165" s="1806"/>
      <c r="C165" s="1806"/>
      <c r="D165" s="521"/>
      <c r="K165" s="1330"/>
      <c r="L165" s="1806"/>
      <c r="M165" s="1806"/>
      <c r="N165" s="1330"/>
      <c r="O165" s="1330"/>
      <c r="P165" s="1330"/>
      <c r="Q165" s="1330"/>
      <c r="R165" s="1806"/>
      <c r="S165" s="1330"/>
      <c r="T165" s="1330"/>
      <c r="U165" s="714"/>
      <c r="V165" s="1330"/>
      <c r="W165" s="1330"/>
      <c r="X165" s="1330"/>
      <c r="Y165" s="1330"/>
      <c r="Z165" s="1330"/>
      <c r="AA165" s="1802"/>
      <c r="AB165" s="736"/>
      <c r="AC165" s="736"/>
      <c r="AD165" s="736"/>
      <c r="AE165" s="736"/>
      <c r="AF165" s="1811">
        <v>11</v>
      </c>
    </row>
    <row s="12668" customFormat="1" customHeight="1" ht="11.549999999999999">
      <c r="A166" s="1157"/>
      <c r="B166" s="1806"/>
      <c r="C166" s="1806"/>
      <c r="D166" s="521"/>
      <c r="K166" s="1330"/>
      <c r="L166" s="1806"/>
      <c r="M166" s="1806"/>
      <c r="N166" s="1330"/>
      <c r="O166" s="1330"/>
      <c r="P166" s="1330"/>
      <c r="Q166" s="1330"/>
      <c r="R166" s="1806"/>
      <c r="S166" s="1330"/>
      <c r="T166" s="1330"/>
      <c r="U166" s="714"/>
      <c r="V166" s="1330"/>
      <c r="W166" s="1330"/>
      <c r="X166" s="1330"/>
      <c r="Y166" s="1330"/>
      <c r="Z166" s="1330"/>
      <c r="AA166" s="1802"/>
      <c r="AB166" s="736"/>
      <c r="AC166" s="736"/>
      <c r="AD166" s="736"/>
      <c r="AE166" s="736"/>
      <c r="AF166" s="1811">
        <v>11</v>
      </c>
    </row>
    <row s="12668" customFormat="1" customHeight="1" ht="11.549999999999999">
      <c r="A167" s="1157"/>
      <c r="B167" s="1806"/>
      <c r="C167" s="1806"/>
      <c r="D167" s="521"/>
      <c r="K167" s="1330"/>
      <c r="L167" s="1806"/>
      <c r="M167" s="1806"/>
      <c r="N167" s="1330"/>
      <c r="O167" s="1330"/>
      <c r="P167" s="1330"/>
      <c r="Q167" s="1330"/>
      <c r="R167" s="1806"/>
      <c r="S167" s="1330"/>
      <c r="T167" s="1330"/>
      <c r="U167" s="714"/>
      <c r="V167" s="1330"/>
      <c r="W167" s="1330"/>
      <c r="X167" s="1330"/>
      <c r="Y167" s="1330"/>
      <c r="Z167" s="1330"/>
      <c r="AA167" s="1802"/>
      <c r="AB167" s="736"/>
      <c r="AC167" s="736"/>
      <c r="AD167" s="736"/>
      <c r="AE167" s="736"/>
      <c r="AF167" s="1811">
        <v>11</v>
      </c>
    </row>
    <row s="12668" customFormat="1" customHeight="1" ht="11.549999999999999">
      <c r="A168" s="1157"/>
      <c r="B168" s="1806"/>
      <c r="C168" s="1806"/>
      <c r="D168" s="521"/>
      <c r="K168" s="1330"/>
      <c r="L168" s="1806"/>
      <c r="M168" s="1806"/>
      <c r="N168" s="1330"/>
      <c r="O168" s="1330"/>
      <c r="P168" s="1330"/>
      <c r="Q168" s="1330"/>
      <c r="R168" s="1806"/>
      <c r="S168" s="1330"/>
      <c r="T168" s="1330"/>
      <c r="U168" s="714"/>
      <c r="V168" s="1330"/>
      <c r="W168" s="1330"/>
      <c r="X168" s="1330"/>
      <c r="Y168" s="1330"/>
      <c r="Z168" s="1330"/>
      <c r="AA168" s="1802"/>
      <c r="AB168" s="736"/>
      <c r="AC168" s="736"/>
      <c r="AD168" s="736"/>
      <c r="AE168" s="736"/>
      <c r="AF168" s="1811">
        <v>11</v>
      </c>
    </row>
    <row s="12668" customFormat="1" customHeight="1" ht="11.549999999999999">
      <c r="A169" s="1157"/>
      <c r="B169" s="1806"/>
      <c r="C169" s="1806"/>
      <c r="D169" s="521"/>
      <c r="K169" s="1330"/>
      <c r="L169" s="1806"/>
      <c r="M169" s="1806"/>
      <c r="N169" s="1330"/>
      <c r="O169" s="1330"/>
      <c r="P169" s="1330"/>
      <c r="Q169" s="1330"/>
      <c r="R169" s="1806"/>
      <c r="S169" s="1330"/>
      <c r="T169" s="1330"/>
      <c r="U169" s="714"/>
      <c r="V169" s="1330"/>
      <c r="W169" s="1330"/>
      <c r="X169" s="1330"/>
      <c r="Y169" s="1330"/>
      <c r="Z169" s="1330"/>
      <c r="AA169" s="1802"/>
      <c r="AB169" s="736"/>
      <c r="AC169" s="736"/>
      <c r="AD169" s="736"/>
      <c r="AE169" s="736"/>
      <c r="AF169" s="1811">
        <v>11</v>
      </c>
    </row>
    <row s="12668" customFormat="1" customHeight="1" ht="11.549999999999999">
      <c r="A170" s="1157"/>
      <c r="B170" s="1806"/>
      <c r="C170" s="1806"/>
      <c r="D170" s="521"/>
      <c r="K170" s="1330"/>
      <c r="L170" s="1806"/>
      <c r="M170" s="1806"/>
      <c r="N170" s="1330"/>
      <c r="O170" s="1330"/>
      <c r="P170" s="1330"/>
      <c r="Q170" s="1330"/>
      <c r="R170" s="1806"/>
      <c r="S170" s="1330"/>
      <c r="T170" s="1330"/>
      <c r="U170" s="714"/>
      <c r="V170" s="1330"/>
      <c r="W170" s="1330"/>
      <c r="X170" s="1330"/>
      <c r="Y170" s="1330"/>
      <c r="Z170" s="1330"/>
      <c r="AA170" s="1802"/>
      <c r="AB170" s="736"/>
      <c r="AC170" s="736"/>
      <c r="AD170" s="736"/>
      <c r="AE170" s="736"/>
      <c r="AF170" s="1811">
        <v>11</v>
      </c>
    </row>
    <row s="12668" customFormat="1" customHeight="1" ht="11.549999999999999">
      <c r="A171" s="1157"/>
      <c r="B171" s="1806"/>
      <c r="C171" s="1806"/>
      <c r="D171" s="521"/>
      <c r="K171" s="1330"/>
      <c r="L171" s="1806"/>
      <c r="M171" s="1806"/>
      <c r="N171" s="1330"/>
      <c r="O171" s="1330"/>
      <c r="P171" s="1330"/>
      <c r="Q171" s="1330"/>
      <c r="R171" s="1806"/>
      <c r="S171" s="1330"/>
      <c r="T171" s="1330"/>
      <c r="U171" s="714"/>
      <c r="V171" s="1330"/>
      <c r="W171" s="1330"/>
      <c r="X171" s="1330"/>
      <c r="Y171" s="1330"/>
      <c r="Z171" s="1330"/>
      <c r="AA171" s="1802"/>
      <c r="AB171" s="736"/>
      <c r="AC171" s="736"/>
      <c r="AD171" s="736"/>
      <c r="AE171" s="736"/>
      <c r="AF171" s="1811">
        <v>11</v>
      </c>
    </row>
    <row s="12668" customFormat="1" customHeight="1" ht="11.549999999999999">
      <c r="A172" s="1157"/>
      <c r="B172" s="1806"/>
      <c r="C172" s="1806"/>
      <c r="D172" s="521"/>
      <c r="K172" s="1330"/>
      <c r="L172" s="1806"/>
      <c r="M172" s="1806"/>
      <c r="N172" s="1330"/>
      <c r="O172" s="1330"/>
      <c r="P172" s="1330"/>
      <c r="Q172" s="1330"/>
      <c r="R172" s="1806"/>
      <c r="S172" s="1330"/>
      <c r="T172" s="1330"/>
      <c r="U172" s="714"/>
      <c r="V172" s="1330"/>
      <c r="W172" s="1330"/>
      <c r="X172" s="1330"/>
      <c r="Y172" s="1330"/>
      <c r="Z172" s="1330"/>
      <c r="AA172" s="1802"/>
      <c r="AB172" s="736"/>
      <c r="AC172" s="736"/>
      <c r="AD172" s="736"/>
      <c r="AE172" s="736"/>
      <c r="AF172" s="1811">
        <v>11</v>
      </c>
    </row>
    <row s="12668" customFormat="1" customHeight="1" ht="11.549999999999999">
      <c r="A173" s="1157"/>
      <c r="B173" s="1806"/>
      <c r="C173" s="1806"/>
      <c r="D173" s="521"/>
      <c r="K173" s="1330"/>
      <c r="L173" s="1806"/>
      <c r="M173" s="1806"/>
      <c r="N173" s="1330"/>
      <c r="O173" s="1330"/>
      <c r="P173" s="1330"/>
      <c r="Q173" s="1330"/>
      <c r="R173" s="1806"/>
      <c r="S173" s="1330"/>
      <c r="T173" s="1330"/>
      <c r="U173" s="714"/>
      <c r="V173" s="1330"/>
      <c r="W173" s="1330"/>
      <c r="X173" s="1330"/>
      <c r="Y173" s="1330"/>
      <c r="Z173" s="1330"/>
      <c r="AA173" s="1802"/>
      <c r="AB173" s="736"/>
      <c r="AC173" s="736"/>
      <c r="AD173" s="736"/>
      <c r="AE173" s="736"/>
      <c r="AF173" s="1811">
        <v>11</v>
      </c>
    </row>
    <row s="12668" customFormat="1" customHeight="1" ht="11.549999999999999">
      <c r="A174" s="1157"/>
      <c r="B174" s="1806"/>
      <c r="C174" s="1806"/>
      <c r="D174" s="521"/>
      <c r="K174" s="1330"/>
      <c r="L174" s="1806"/>
      <c r="M174" s="1806"/>
      <c r="N174" s="1330"/>
      <c r="O174" s="1330"/>
      <c r="P174" s="1330"/>
      <c r="Q174" s="1330"/>
      <c r="R174" s="1806"/>
      <c r="S174" s="1330"/>
      <c r="T174" s="1330"/>
      <c r="U174" s="714"/>
      <c r="V174" s="1330"/>
      <c r="W174" s="1330"/>
      <c r="X174" s="1330"/>
      <c r="Y174" s="1330"/>
      <c r="Z174" s="1330"/>
      <c r="AA174" s="1802"/>
      <c r="AB174" s="736"/>
      <c r="AC174" s="736"/>
      <c r="AD174" s="736"/>
      <c r="AE174" s="736"/>
      <c r="AF174" s="1811">
        <v>11</v>
      </c>
    </row>
    <row s="12668" customFormat="1" customHeight="1" ht="11.549999999999999">
      <c r="A175" s="1157"/>
      <c r="B175" s="1806"/>
      <c r="C175" s="1806"/>
      <c r="D175" s="521"/>
      <c r="K175" s="1330"/>
      <c r="L175" s="1806"/>
      <c r="M175" s="1806"/>
      <c r="N175" s="1330"/>
      <c r="O175" s="1330"/>
      <c r="P175" s="1330"/>
      <c r="Q175" s="1330"/>
      <c r="R175" s="1806"/>
      <c r="S175" s="1330"/>
      <c r="T175" s="1330"/>
      <c r="U175" s="714"/>
      <c r="V175" s="1330"/>
      <c r="W175" s="1330"/>
      <c r="X175" s="1330"/>
      <c r="Y175" s="1330"/>
      <c r="Z175" s="1330"/>
      <c r="AA175" s="1802"/>
      <c r="AB175" s="736"/>
      <c r="AC175" s="736"/>
      <c r="AD175" s="736"/>
      <c r="AE175" s="736"/>
      <c r="AF175" s="1811">
        <v>11</v>
      </c>
    </row>
    <row s="12668" customFormat="1" customHeight="1" ht="11.549999999999999">
      <c r="A176" s="1157"/>
      <c r="B176" s="1806"/>
      <c r="C176" s="1806"/>
      <c r="D176" s="521"/>
      <c r="K176" s="1330"/>
      <c r="L176" s="1806"/>
      <c r="M176" s="1806"/>
      <c r="N176" s="1330"/>
      <c r="O176" s="1330"/>
      <c r="P176" s="1330"/>
      <c r="Q176" s="1330"/>
      <c r="R176" s="1806"/>
      <c r="S176" s="1330"/>
      <c r="T176" s="1330"/>
      <c r="U176" s="714"/>
      <c r="V176" s="1330"/>
      <c r="W176" s="1330"/>
      <c r="X176" s="1330"/>
      <c r="Y176" s="1330"/>
      <c r="Z176" s="1330"/>
      <c r="AA176" s="1802"/>
      <c r="AB176" s="736"/>
      <c r="AC176" s="736"/>
      <c r="AD176" s="736"/>
      <c r="AE176" s="736"/>
      <c r="AF176" s="1811">
        <v>11</v>
      </c>
    </row>
    <row s="12668" customFormat="1" customHeight="1" ht="11.549999999999999">
      <c r="A177" s="1157"/>
      <c r="B177" s="1806"/>
      <c r="C177" s="1806"/>
      <c r="D177" s="521"/>
      <c r="K177" s="1330"/>
      <c r="L177" s="1806"/>
      <c r="M177" s="1806"/>
      <c r="N177" s="1330"/>
      <c r="O177" s="1330"/>
      <c r="P177" s="1330"/>
      <c r="Q177" s="1330"/>
      <c r="R177" s="1806"/>
      <c r="S177" s="1330"/>
      <c r="T177" s="1330"/>
      <c r="U177" s="714"/>
      <c r="V177" s="1330"/>
      <c r="W177" s="1330"/>
      <c r="X177" s="1330"/>
      <c r="Y177" s="1330"/>
      <c r="Z177" s="1330"/>
      <c r="AA177" s="1802"/>
      <c r="AB177" s="736"/>
      <c r="AC177" s="736"/>
      <c r="AD177" s="736"/>
      <c r="AE177" s="736"/>
      <c r="AF177" s="1811">
        <v>11</v>
      </c>
    </row>
    <row s="12668" customFormat="1" customHeight="1" ht="11.549999999999999">
      <c r="A178" s="1157"/>
      <c r="B178" s="1806"/>
      <c r="C178" s="1806"/>
      <c r="D178" s="521"/>
      <c r="K178" s="1330"/>
      <c r="L178" s="1806"/>
      <c r="M178" s="1806"/>
      <c r="N178" s="1330"/>
      <c r="O178" s="1330"/>
      <c r="P178" s="1330"/>
      <c r="Q178" s="1330"/>
      <c r="R178" s="1806"/>
      <c r="S178" s="1330"/>
      <c r="T178" s="1330"/>
      <c r="U178" s="714"/>
      <c r="V178" s="1330"/>
      <c r="W178" s="1330"/>
      <c r="X178" s="1330"/>
      <c r="Y178" s="1330"/>
      <c r="Z178" s="1330"/>
      <c r="AA178" s="1802"/>
      <c r="AB178" s="736"/>
      <c r="AC178" s="736"/>
      <c r="AD178" s="736"/>
      <c r="AE178" s="736"/>
      <c r="AF178" s="1811">
        <v>11</v>
      </c>
    </row>
    <row s="12668" customFormat="1" customHeight="1" ht="11.549999999999999">
      <c r="A179" s="1157"/>
      <c r="B179" s="1806"/>
      <c r="C179" s="1806"/>
      <c r="D179" s="521"/>
      <c r="K179" s="1330"/>
      <c r="L179" s="1806"/>
      <c r="M179" s="1806"/>
      <c r="N179" s="1330"/>
      <c r="O179" s="1330"/>
      <c r="P179" s="1330"/>
      <c r="Q179" s="1330"/>
      <c r="R179" s="1806"/>
      <c r="S179" s="1330"/>
      <c r="T179" s="1330"/>
      <c r="U179" s="714"/>
      <c r="V179" s="1330"/>
      <c r="W179" s="1330"/>
      <c r="X179" s="1330"/>
      <c r="Y179" s="1330"/>
      <c r="Z179" s="1330"/>
      <c r="AA179" s="1802"/>
      <c r="AB179" s="736"/>
      <c r="AC179" s="736"/>
      <c r="AD179" s="736"/>
      <c r="AE179" s="736"/>
      <c r="AF179" s="1811">
        <v>11</v>
      </c>
    </row>
    <row s="12668" customFormat="1" customHeight="1" ht="11.549999999999999">
      <c r="A180" s="1157"/>
      <c r="B180" s="1806"/>
      <c r="C180" s="1806"/>
      <c r="D180" s="521"/>
      <c r="K180" s="1330"/>
      <c r="L180" s="1806"/>
      <c r="M180" s="1806"/>
      <c r="N180" s="1330"/>
      <c r="O180" s="1330"/>
      <c r="P180" s="1330"/>
      <c r="Q180" s="1330"/>
      <c r="R180" s="1806"/>
      <c r="S180" s="1330"/>
      <c r="T180" s="1330"/>
      <c r="U180" s="714"/>
      <c r="V180" s="1330"/>
      <c r="W180" s="1330"/>
      <c r="X180" s="1330"/>
      <c r="Y180" s="1330"/>
      <c r="Z180" s="1330"/>
      <c r="AA180" s="1802"/>
      <c r="AB180" s="736"/>
      <c r="AC180" s="736"/>
      <c r="AD180" s="736"/>
      <c r="AE180" s="736"/>
      <c r="AF180" s="1811">
        <v>11</v>
      </c>
    </row>
    <row s="12668" customFormat="1" customHeight="1" ht="11.549999999999999">
      <c r="A181" s="1157"/>
      <c r="B181" s="1806"/>
      <c r="C181" s="1806"/>
      <c r="D181" s="521"/>
      <c r="K181" s="1330"/>
      <c r="L181" s="1806"/>
      <c r="M181" s="1806"/>
      <c r="N181" s="1330"/>
      <c r="O181" s="1330"/>
      <c r="P181" s="1330"/>
      <c r="Q181" s="1330"/>
      <c r="R181" s="1806"/>
      <c r="S181" s="1330"/>
      <c r="T181" s="1330"/>
      <c r="U181" s="714"/>
      <c r="V181" s="1330"/>
      <c r="W181" s="1330"/>
      <c r="X181" s="1330"/>
      <c r="Y181" s="1330"/>
      <c r="Z181" s="1330"/>
      <c r="AA181" s="1802"/>
      <c r="AB181" s="736"/>
      <c r="AC181" s="736"/>
      <c r="AD181" s="736"/>
      <c r="AE181" s="736"/>
      <c r="AF181" s="1811">
        <v>11</v>
      </c>
    </row>
    <row s="12668" customFormat="1" customHeight="1" ht="11.549999999999999">
      <c r="A182" s="1157"/>
      <c r="B182" s="1806"/>
      <c r="C182" s="1806"/>
      <c r="D182" s="521"/>
      <c r="K182" s="1330"/>
      <c r="L182" s="1806"/>
      <c r="M182" s="1806"/>
      <c r="N182" s="1330"/>
      <c r="O182" s="1330"/>
      <c r="P182" s="1330"/>
      <c r="Q182" s="1330"/>
      <c r="R182" s="1806"/>
      <c r="S182" s="1330"/>
      <c r="T182" s="1330"/>
      <c r="U182" s="714"/>
      <c r="V182" s="1330"/>
      <c r="W182" s="1330"/>
      <c r="X182" s="1330"/>
      <c r="Y182" s="1330"/>
      <c r="Z182" s="1330"/>
      <c r="AA182" s="1802"/>
      <c r="AB182" s="736"/>
      <c r="AC182" s="736"/>
      <c r="AD182" s="736"/>
      <c r="AE182" s="736"/>
      <c r="AF182" s="1811">
        <v>11</v>
      </c>
    </row>
    <row s="12668" customFormat="1" customHeight="1" ht="11.549999999999999">
      <c r="A183" s="1157"/>
      <c r="B183" s="1806"/>
      <c r="C183" s="1806"/>
      <c r="D183" s="521"/>
      <c r="K183" s="1330"/>
      <c r="L183" s="1806"/>
      <c r="M183" s="1806"/>
      <c r="N183" s="1330"/>
      <c r="O183" s="1330"/>
      <c r="P183" s="1330"/>
      <c r="Q183" s="1330"/>
      <c r="R183" s="1806"/>
      <c r="S183" s="1330"/>
      <c r="T183" s="1330"/>
      <c r="U183" s="714"/>
      <c r="V183" s="1330"/>
      <c r="W183" s="1330"/>
      <c r="X183" s="1330"/>
      <c r="Y183" s="1330"/>
      <c r="Z183" s="1330"/>
      <c r="AA183" s="1802"/>
      <c r="AB183" s="736"/>
      <c r="AC183" s="736"/>
      <c r="AD183" s="736"/>
      <c r="AE183" s="736"/>
      <c r="AF183" s="1811">
        <v>11</v>
      </c>
    </row>
    <row s="12668" customFormat="1" customHeight="1" ht="11.549999999999999">
      <c r="A184" s="1157"/>
      <c r="B184" s="1806"/>
      <c r="C184" s="1806"/>
      <c r="D184" s="521"/>
      <c r="K184" s="1330"/>
      <c r="L184" s="1806"/>
      <c r="M184" s="1806"/>
      <c r="N184" s="1330"/>
      <c r="O184" s="1330"/>
      <c r="P184" s="1330"/>
      <c r="Q184" s="1330"/>
      <c r="R184" s="1806"/>
      <c r="S184" s="1330"/>
      <c r="T184" s="1330"/>
      <c r="U184" s="714"/>
      <c r="V184" s="1330"/>
      <c r="W184" s="1330"/>
      <c r="X184" s="1330"/>
      <c r="Y184" s="1330"/>
      <c r="Z184" s="1330"/>
      <c r="AA184" s="1802"/>
      <c r="AB184" s="736"/>
      <c r="AC184" s="736"/>
      <c r="AD184" s="736"/>
      <c r="AE184" s="736"/>
      <c r="AF184" s="1811">
        <v>11</v>
      </c>
    </row>
    <row s="12668" customFormat="1" customHeight="1" ht="11.549999999999999">
      <c r="A185" s="1157"/>
      <c r="B185" s="1806"/>
      <c r="C185" s="1806"/>
      <c r="D185" s="521"/>
      <c r="K185" s="1330"/>
      <c r="L185" s="1806"/>
      <c r="M185" s="1806"/>
      <c r="N185" s="1330"/>
      <c r="O185" s="1330"/>
      <c r="P185" s="1330"/>
      <c r="Q185" s="1330"/>
      <c r="R185" s="1806"/>
      <c r="S185" s="1330"/>
      <c r="T185" s="1330"/>
      <c r="U185" s="714"/>
      <c r="V185" s="1330"/>
      <c r="W185" s="1330"/>
      <c r="X185" s="1330"/>
      <c r="Y185" s="1330"/>
      <c r="Z185" s="1330"/>
      <c r="AA185" s="1802"/>
      <c r="AB185" s="736"/>
      <c r="AC185" s="736"/>
      <c r="AD185" s="736"/>
      <c r="AE185" s="736"/>
      <c r="AF185" s="1811">
        <v>11</v>
      </c>
    </row>
    <row s="12668" customFormat="1" customHeight="1" ht="11.549999999999999">
      <c r="A186" s="1157"/>
      <c r="B186" s="1806"/>
      <c r="C186" s="1806"/>
      <c r="D186" s="521"/>
      <c r="K186" s="1330"/>
      <c r="L186" s="1806"/>
      <c r="M186" s="1806"/>
      <c r="N186" s="1330"/>
      <c r="O186" s="1330"/>
      <c r="P186" s="1330"/>
      <c r="Q186" s="1330"/>
      <c r="R186" s="1806"/>
      <c r="S186" s="1330"/>
      <c r="T186" s="1330"/>
      <c r="U186" s="714"/>
      <c r="V186" s="1330"/>
      <c r="W186" s="1330"/>
      <c r="X186" s="1330"/>
      <c r="Y186" s="1330"/>
      <c r="Z186" s="1330"/>
      <c r="AA186" s="1802"/>
      <c r="AB186" s="736"/>
      <c r="AC186" s="736"/>
      <c r="AD186" s="736"/>
      <c r="AE186" s="736"/>
      <c r="AF186" s="1811">
        <v>11</v>
      </c>
    </row>
    <row s="12668" customFormat="1" customHeight="1" ht="11.549999999999999">
      <c r="A187" s="1157"/>
      <c r="B187" s="1806"/>
      <c r="C187" s="1806"/>
      <c r="D187" s="521"/>
      <c r="K187" s="1330"/>
      <c r="L187" s="1806"/>
      <c r="M187" s="1806"/>
      <c r="N187" s="1330"/>
      <c r="O187" s="1330"/>
      <c r="P187" s="1330"/>
      <c r="Q187" s="1330"/>
      <c r="R187" s="1806"/>
      <c r="S187" s="1330"/>
      <c r="T187" s="1330"/>
      <c r="U187" s="714"/>
      <c r="V187" s="1330"/>
      <c r="W187" s="1330"/>
      <c r="X187" s="1330"/>
      <c r="Y187" s="1330"/>
      <c r="Z187" s="1330"/>
      <c r="AA187" s="1802"/>
      <c r="AB187" s="736"/>
      <c r="AC187" s="736"/>
      <c r="AD187" s="736"/>
      <c r="AE187" s="736"/>
      <c r="AF187" s="1811">
        <v>11</v>
      </c>
    </row>
    <row s="12668" customFormat="1" customHeight="1" ht="11.549999999999999">
      <c r="A188" s="1157"/>
      <c r="B188" s="1806"/>
      <c r="C188" s="1806"/>
      <c r="D188" s="521"/>
      <c r="K188" s="1330"/>
      <c r="L188" s="1806"/>
      <c r="M188" s="1806"/>
      <c r="N188" s="1330"/>
      <c r="O188" s="1330"/>
      <c r="P188" s="1330"/>
      <c r="Q188" s="1330"/>
      <c r="R188" s="1806"/>
      <c r="S188" s="1330"/>
      <c r="T188" s="1330"/>
      <c r="U188" s="714"/>
      <c r="V188" s="1330"/>
      <c r="W188" s="1330"/>
      <c r="X188" s="1330"/>
      <c r="Y188" s="1330"/>
      <c r="Z188" s="1330"/>
      <c r="AA188" s="1802"/>
      <c r="AB188" s="736"/>
      <c r="AC188" s="736"/>
      <c r="AD188" s="736"/>
      <c r="AE188" s="736"/>
      <c r="AF188" s="1811">
        <v>11</v>
      </c>
    </row>
    <row s="12668" customFormat="1" customHeight="1" ht="11.549999999999999">
      <c r="A189" s="1157"/>
      <c r="B189" s="1806"/>
      <c r="C189" s="1806"/>
      <c r="D189" s="521"/>
      <c r="K189" s="1330"/>
      <c r="L189" s="1806"/>
      <c r="M189" s="1806"/>
      <c r="N189" s="1330"/>
      <c r="O189" s="1330"/>
      <c r="P189" s="1330"/>
      <c r="Q189" s="1330"/>
      <c r="R189" s="1806"/>
      <c r="S189" s="1330"/>
      <c r="T189" s="1330"/>
      <c r="U189" s="714"/>
      <c r="V189" s="1330"/>
      <c r="W189" s="1330"/>
      <c r="X189" s="1330"/>
      <c r="Y189" s="1330"/>
      <c r="Z189" s="1330"/>
      <c r="AA189" s="1802"/>
      <c r="AB189" s="736"/>
      <c r="AC189" s="736"/>
      <c r="AD189" s="736"/>
      <c r="AE189" s="736"/>
      <c r="AF189" s="1811">
        <v>11</v>
      </c>
    </row>
    <row s="12668" customFormat="1" customHeight="1" ht="11.549999999999999">
      <c r="A190" s="1157"/>
      <c r="B190" s="1806"/>
      <c r="C190" s="1806"/>
      <c r="D190" s="521"/>
      <c r="K190" s="1330"/>
      <c r="L190" s="1806"/>
      <c r="M190" s="1806"/>
      <c r="N190" s="1330"/>
      <c r="O190" s="1330"/>
      <c r="P190" s="1330"/>
      <c r="Q190" s="1330"/>
      <c r="R190" s="1806"/>
      <c r="S190" s="1330"/>
      <c r="T190" s="1330"/>
      <c r="U190" s="714"/>
      <c r="V190" s="1330"/>
      <c r="W190" s="1330"/>
      <c r="X190" s="1330"/>
      <c r="Y190" s="1330"/>
      <c r="Z190" s="1330"/>
      <c r="AA190" s="1802"/>
      <c r="AB190" s="736"/>
      <c r="AC190" s="736"/>
      <c r="AD190" s="736"/>
      <c r="AE190" s="736"/>
      <c r="AF190" s="1811">
        <v>11</v>
      </c>
    </row>
    <row s="12668" customFormat="1" customHeight="1" ht="11.549999999999999">
      <c r="A191" s="1157"/>
      <c r="B191" s="1806"/>
      <c r="C191" s="1806"/>
      <c r="D191" s="521"/>
      <c r="K191" s="1330"/>
      <c r="L191" s="1806"/>
      <c r="M191" s="1806"/>
      <c r="N191" s="1330"/>
      <c r="O191" s="1330"/>
      <c r="P191" s="1330"/>
      <c r="Q191" s="1330"/>
      <c r="R191" s="1806"/>
      <c r="S191" s="1330"/>
      <c r="T191" s="1330"/>
      <c r="U191" s="714"/>
      <c r="V191" s="1330"/>
      <c r="W191" s="1330"/>
      <c r="X191" s="1330"/>
      <c r="Y191" s="1330"/>
      <c r="Z191" s="1330"/>
      <c r="AA191" s="1802"/>
      <c r="AB191" s="736"/>
      <c r="AC191" s="736"/>
      <c r="AD191" s="736"/>
      <c r="AE191" s="736"/>
      <c r="AF191" s="1811">
        <v>11</v>
      </c>
    </row>
    <row s="12668" customFormat="1" customHeight="1" ht="11.549999999999999">
      <c r="A192" s="1157"/>
      <c r="B192" s="1806"/>
      <c r="C192" s="1806"/>
      <c r="D192" s="521"/>
      <c r="K192" s="1330"/>
      <c r="L192" s="1806"/>
      <c r="M192" s="1806"/>
      <c r="N192" s="1330"/>
      <c r="O192" s="1330"/>
      <c r="P192" s="1330"/>
      <c r="Q192" s="1330"/>
      <c r="R192" s="1806"/>
      <c r="S192" s="1330"/>
      <c r="T192" s="1330"/>
      <c r="U192" s="714"/>
      <c r="V192" s="1330"/>
      <c r="W192" s="1330"/>
      <c r="X192" s="1330"/>
      <c r="Y192" s="1330"/>
      <c r="Z192" s="1330"/>
      <c r="AA192" s="1802"/>
      <c r="AB192" s="736"/>
      <c r="AC192" s="736"/>
      <c r="AD192" s="736"/>
      <c r="AE192" s="736"/>
      <c r="AF192" s="1811">
        <v>11</v>
      </c>
    </row>
    <row s="12668" customFormat="1" customHeight="1" ht="11.549999999999999">
      <c r="A193" s="1157"/>
      <c r="B193" s="1806"/>
      <c r="C193" s="1806"/>
      <c r="D193" s="521"/>
      <c r="K193" s="1330"/>
      <c r="L193" s="1806"/>
      <c r="M193" s="1806"/>
      <c r="N193" s="1330"/>
      <c r="O193" s="1330"/>
      <c r="P193" s="1330"/>
      <c r="Q193" s="1330"/>
      <c r="R193" s="1806"/>
      <c r="S193" s="1330"/>
      <c r="T193" s="1330"/>
      <c r="U193" s="714"/>
      <c r="V193" s="1330"/>
      <c r="W193" s="1330"/>
      <c r="X193" s="1330"/>
      <c r="Y193" s="1330"/>
      <c r="Z193" s="1330"/>
      <c r="AA193" s="1802"/>
      <c r="AB193" s="736"/>
      <c r="AC193" s="736"/>
      <c r="AD193" s="736"/>
      <c r="AE193" s="736"/>
      <c r="AF193" s="1811">
        <v>11</v>
      </c>
    </row>
    <row s="12668" customFormat="1" customHeight="1" ht="11.549999999999999">
      <c r="A194" s="1157"/>
      <c r="B194" s="1806"/>
      <c r="C194" s="1806"/>
      <c r="D194" s="521"/>
      <c r="K194" s="1330"/>
      <c r="L194" s="1806"/>
      <c r="M194" s="1806"/>
      <c r="N194" s="1330"/>
      <c r="O194" s="1330"/>
      <c r="P194" s="1330"/>
      <c r="Q194" s="1330"/>
      <c r="R194" s="1806"/>
      <c r="S194" s="1330"/>
      <c r="T194" s="1330"/>
      <c r="U194" s="714"/>
      <c r="V194" s="1330"/>
      <c r="W194" s="1330"/>
      <c r="X194" s="1330"/>
      <c r="Y194" s="1330"/>
      <c r="Z194" s="1330"/>
      <c r="AA194" s="1802"/>
      <c r="AB194" s="736"/>
      <c r="AC194" s="736"/>
      <c r="AD194" s="736"/>
      <c r="AE194" s="736"/>
      <c r="AF194" s="1811">
        <v>11</v>
      </c>
    </row>
    <row s="12668" customFormat="1" customHeight="1" ht="11.549999999999999">
      <c r="A195" s="1157"/>
      <c r="B195" s="1806"/>
      <c r="C195" s="1806"/>
      <c r="D195" s="521"/>
      <c r="K195" s="1330"/>
      <c r="L195" s="1806"/>
      <c r="M195" s="1806"/>
      <c r="N195" s="1330"/>
      <c r="O195" s="1330"/>
      <c r="P195" s="1330"/>
      <c r="Q195" s="1330"/>
      <c r="R195" s="1806"/>
      <c r="S195" s="1330"/>
      <c r="T195" s="1330"/>
      <c r="U195" s="714"/>
      <c r="V195" s="1330"/>
      <c r="W195" s="1330"/>
      <c r="X195" s="1330"/>
      <c r="Y195" s="1330"/>
      <c r="Z195" s="1330"/>
      <c r="AA195" s="1802"/>
      <c r="AB195" s="736"/>
      <c r="AC195" s="736"/>
      <c r="AD195" s="736"/>
      <c r="AE195" s="736"/>
      <c r="AF195" s="1811">
        <v>11</v>
      </c>
    </row>
    <row s="12668" customFormat="1" customHeight="1" ht="11.549999999999999">
      <c r="A196" s="1157"/>
      <c r="B196" s="1806"/>
      <c r="C196" s="1806"/>
      <c r="D196" s="521"/>
      <c r="K196" s="1330"/>
      <c r="L196" s="1806"/>
      <c r="M196" s="1806"/>
      <c r="N196" s="1330"/>
      <c r="O196" s="1330"/>
      <c r="P196" s="1330"/>
      <c r="Q196" s="1330"/>
      <c r="R196" s="1806"/>
      <c r="S196" s="1330"/>
      <c r="T196" s="1330"/>
      <c r="U196" s="714"/>
      <c r="V196" s="1330"/>
      <c r="W196" s="1330"/>
      <c r="X196" s="1330"/>
      <c r="Y196" s="1330"/>
      <c r="Z196" s="1330"/>
      <c r="AA196" s="1802"/>
      <c r="AB196" s="736"/>
      <c r="AC196" s="736"/>
      <c r="AD196" s="736"/>
      <c r="AE196" s="736"/>
      <c r="AF196" s="1811">
        <v>11</v>
      </c>
    </row>
    <row s="12668" customFormat="1" customHeight="1" ht="11.549999999999999">
      <c r="A197" s="1157"/>
      <c r="B197" s="1806"/>
      <c r="C197" s="1806"/>
      <c r="D197" s="521"/>
      <c r="K197" s="1330"/>
      <c r="L197" s="1806"/>
      <c r="M197" s="1806"/>
      <c r="N197" s="1330"/>
      <c r="O197" s="1330"/>
      <c r="P197" s="1330"/>
      <c r="Q197" s="1330"/>
      <c r="R197" s="1806"/>
      <c r="S197" s="1330"/>
      <c r="T197" s="1330"/>
      <c r="U197" s="714"/>
      <c r="V197" s="1330"/>
      <c r="W197" s="1330"/>
      <c r="X197" s="1330"/>
      <c r="Y197" s="1330"/>
      <c r="Z197" s="1330"/>
      <c r="AA197" s="1802"/>
      <c r="AB197" s="736"/>
      <c r="AC197" s="736"/>
      <c r="AD197" s="736"/>
      <c r="AE197" s="736"/>
      <c r="AF197" s="1811">
        <v>11</v>
      </c>
    </row>
    <row s="12668" customFormat="1" customHeight="1" ht="11.549999999999999">
      <c r="A198" s="1157"/>
      <c r="B198" s="1806"/>
      <c r="C198" s="1806"/>
      <c r="D198" s="521"/>
      <c r="K198" s="1330"/>
      <c r="L198" s="1806"/>
      <c r="M198" s="1806"/>
      <c r="N198" s="1330"/>
      <c r="O198" s="1330"/>
      <c r="P198" s="1330"/>
      <c r="Q198" s="1330"/>
      <c r="R198" s="1806"/>
      <c r="S198" s="1330"/>
      <c r="T198" s="1330"/>
      <c r="U198" s="714"/>
      <c r="V198" s="1330"/>
      <c r="W198" s="1330"/>
      <c r="X198" s="1330"/>
      <c r="Y198" s="1330"/>
      <c r="Z198" s="1330"/>
      <c r="AA198" s="1802"/>
      <c r="AB198" s="736"/>
      <c r="AC198" s="736"/>
      <c r="AD198" s="736"/>
      <c r="AE198" s="736"/>
      <c r="AF198" s="1811">
        <v>11</v>
      </c>
    </row>
    <row s="12668" customFormat="1" customHeight="1" ht="11.549999999999999">
      <c r="A199" s="1157"/>
      <c r="B199" s="1806"/>
      <c r="C199" s="1806"/>
      <c r="D199" s="521"/>
      <c r="K199" s="1330"/>
      <c r="L199" s="1806"/>
      <c r="M199" s="1806"/>
      <c r="N199" s="1330"/>
      <c r="O199" s="1330"/>
      <c r="P199" s="1330"/>
      <c r="Q199" s="1330"/>
      <c r="R199" s="1806"/>
      <c r="S199" s="1330"/>
      <c r="T199" s="1330"/>
      <c r="U199" s="714"/>
      <c r="V199" s="1330"/>
      <c r="W199" s="1330"/>
      <c r="X199" s="1330"/>
      <c r="Y199" s="1330"/>
      <c r="Z199" s="1330"/>
      <c r="AA199" s="1802"/>
      <c r="AB199" s="736"/>
      <c r="AC199" s="736"/>
      <c r="AD199" s="736"/>
      <c r="AE199" s="736"/>
      <c r="AF199" s="1811">
        <v>11</v>
      </c>
    </row>
    <row s="12668" customFormat="1" customHeight="1" ht="11.549999999999999">
      <c r="A200" s="1157"/>
      <c r="B200" s="1806"/>
      <c r="C200" s="1806"/>
      <c r="D200" s="521"/>
      <c r="K200" s="1330"/>
      <c r="L200" s="1806"/>
      <c r="M200" s="1806"/>
      <c r="N200" s="1330"/>
      <c r="O200" s="1330"/>
      <c r="P200" s="1330"/>
      <c r="Q200" s="1330"/>
      <c r="R200" s="1806"/>
      <c r="S200" s="1330"/>
      <c r="T200" s="1330"/>
      <c r="U200" s="714"/>
      <c r="V200" s="1330"/>
      <c r="W200" s="1330"/>
      <c r="X200" s="1330"/>
      <c r="Y200" s="1330"/>
      <c r="Z200" s="1330"/>
      <c r="AA200" s="1802"/>
      <c r="AB200" s="736"/>
      <c r="AC200" s="736"/>
      <c r="AD200" s="736"/>
      <c r="AE200" s="736"/>
      <c r="AF200" s="1811">
        <v>11</v>
      </c>
    </row>
    <row s="12668" customFormat="1" customHeight="1" ht="11.549999999999999">
      <c r="A201" s="1157"/>
      <c r="B201" s="1806"/>
      <c r="C201" s="1806"/>
      <c r="D201" s="521"/>
      <c r="K201" s="1330"/>
      <c r="L201" s="1806"/>
      <c r="M201" s="1806"/>
      <c r="N201" s="1330"/>
      <c r="O201" s="1330"/>
      <c r="P201" s="1330"/>
      <c r="Q201" s="1330"/>
      <c r="R201" s="1806"/>
      <c r="S201" s="1330"/>
      <c r="T201" s="1330"/>
      <c r="U201" s="714"/>
      <c r="V201" s="1330"/>
      <c r="W201" s="1330"/>
      <c r="X201" s="1330"/>
      <c r="Y201" s="1330"/>
      <c r="Z201" s="1330"/>
      <c r="AA201" s="1802"/>
      <c r="AB201" s="736"/>
      <c r="AC201" s="736"/>
      <c r="AD201" s="736"/>
      <c r="AE201" s="736"/>
      <c r="AF201" s="1811">
        <v>11</v>
      </c>
    </row>
    <row s="12668" customFormat="1" customHeight="1" ht="11.549999999999999">
      <c r="A202" s="1157"/>
      <c r="B202" s="1806"/>
      <c r="C202" s="1806"/>
      <c r="D202" s="521"/>
      <c r="K202" s="1330"/>
      <c r="L202" s="1806"/>
      <c r="M202" s="1806"/>
      <c r="N202" s="1330"/>
      <c r="O202" s="1330"/>
      <c r="P202" s="1330"/>
      <c r="Q202" s="1330"/>
      <c r="R202" s="1806"/>
      <c r="S202" s="1330"/>
      <c r="T202" s="1330"/>
      <c r="U202" s="714"/>
      <c r="V202" s="1330"/>
      <c r="W202" s="1330"/>
      <c r="X202" s="1330"/>
      <c r="Y202" s="1330"/>
      <c r="Z202" s="1330"/>
      <c r="AA202" s="1802"/>
      <c r="AB202" s="736"/>
      <c r="AC202" s="736"/>
      <c r="AD202" s="736"/>
      <c r="AE202" s="736"/>
      <c r="AF202" s="1811">
        <v>11</v>
      </c>
    </row>
    <row s="12668" customFormat="1" customHeight="1" ht="11.549999999999999">
      <c r="A203" s="1157"/>
      <c r="B203" s="1806"/>
      <c r="C203" s="1806"/>
      <c r="D203" s="521"/>
      <c r="K203" s="1330"/>
      <c r="L203" s="1806"/>
      <c r="M203" s="1806"/>
      <c r="N203" s="1330"/>
      <c r="O203" s="1330"/>
      <c r="P203" s="1330"/>
      <c r="Q203" s="1330"/>
      <c r="R203" s="1806"/>
      <c r="S203" s="1330"/>
      <c r="T203" s="1330"/>
      <c r="U203" s="714"/>
      <c r="V203" s="1330"/>
      <c r="W203" s="1330"/>
      <c r="X203" s="1330"/>
      <c r="Y203" s="1330"/>
      <c r="Z203" s="1330"/>
      <c r="AA203" s="1802"/>
      <c r="AB203" s="736"/>
      <c r="AC203" s="736"/>
      <c r="AD203" s="736"/>
      <c r="AE203" s="736"/>
      <c r="AF203" s="1811">
        <v>11</v>
      </c>
    </row>
    <row s="12668" customFormat="1" customHeight="1" ht="11.549999999999999">
      <c r="A204" s="1157"/>
      <c r="B204" s="1806"/>
      <c r="C204" s="1806"/>
      <c r="D204" s="521"/>
      <c r="K204" s="1330"/>
      <c r="L204" s="1806"/>
      <c r="M204" s="1806"/>
      <c r="N204" s="1330"/>
      <c r="O204" s="1330"/>
      <c r="P204" s="1330"/>
      <c r="Q204" s="1330"/>
      <c r="R204" s="1806"/>
      <c r="S204" s="1330"/>
      <c r="T204" s="1330"/>
      <c r="U204" s="714"/>
      <c r="V204" s="1330"/>
      <c r="W204" s="1330"/>
      <c r="X204" s="1330"/>
      <c r="Y204" s="1330"/>
      <c r="Z204" s="1330"/>
      <c r="AA204" s="1802"/>
      <c r="AB204" s="736"/>
      <c r="AC204" s="736"/>
      <c r="AD204" s="736"/>
      <c r="AE204" s="736"/>
      <c r="AF204" s="1811">
        <v>11</v>
      </c>
    </row>
    <row s="12668" customFormat="1" customHeight="1" ht="11.549999999999999">
      <c r="A205" s="1157"/>
      <c r="B205" s="1806"/>
      <c r="C205" s="1806"/>
      <c r="D205" s="521"/>
      <c r="K205" s="1330"/>
      <c r="L205" s="1806"/>
      <c r="M205" s="1806"/>
      <c r="N205" s="1330"/>
      <c r="O205" s="1330"/>
      <c r="P205" s="1330"/>
      <c r="Q205" s="1330"/>
      <c r="R205" s="1806"/>
      <c r="S205" s="1330"/>
      <c r="T205" s="1330"/>
      <c r="U205" s="714"/>
      <c r="V205" s="1330"/>
      <c r="W205" s="1330"/>
      <c r="X205" s="1330"/>
      <c r="Y205" s="1330"/>
      <c r="Z205" s="1330"/>
      <c r="AA205" s="1802"/>
      <c r="AB205" s="736"/>
      <c r="AC205" s="736"/>
      <c r="AD205" s="736"/>
      <c r="AE205" s="736"/>
      <c r="AF205" s="1811">
        <v>11</v>
      </c>
    </row>
    <row s="12668" customFormat="1" customHeight="1" ht="11.549999999999999">
      <c r="A206" s="1157"/>
      <c r="B206" s="1806"/>
      <c r="C206" s="1806"/>
      <c r="D206" s="521"/>
      <c r="K206" s="1330"/>
      <c r="L206" s="1806"/>
      <c r="M206" s="1806"/>
      <c r="N206" s="1330"/>
      <c r="O206" s="1330"/>
      <c r="P206" s="1330"/>
      <c r="Q206" s="1330"/>
      <c r="R206" s="1806"/>
      <c r="S206" s="1330"/>
      <c r="T206" s="1330"/>
      <c r="U206" s="714"/>
      <c r="V206" s="1330"/>
      <c r="W206" s="1330"/>
      <c r="X206" s="1330"/>
      <c r="Y206" s="1330"/>
      <c r="Z206" s="1330"/>
      <c r="AA206" s="1802"/>
      <c r="AB206" s="736"/>
      <c r="AC206" s="736"/>
      <c r="AD206" s="736"/>
      <c r="AE206" s="736"/>
      <c r="AF206" s="1811">
        <v>11</v>
      </c>
    </row>
    <row s="12668" customFormat="1" customHeight="1" ht="11.549999999999999">
      <c r="A207" s="1157"/>
      <c r="B207" s="1806"/>
      <c r="C207" s="1806"/>
      <c r="D207" s="521"/>
      <c r="K207" s="1330"/>
      <c r="L207" s="1806"/>
      <c r="M207" s="1806"/>
      <c r="N207" s="1330"/>
      <c r="O207" s="1330"/>
      <c r="P207" s="1330"/>
      <c r="Q207" s="1330"/>
      <c r="R207" s="1806"/>
      <c r="S207" s="1330"/>
      <c r="T207" s="1330"/>
      <c r="U207" s="714"/>
      <c r="V207" s="1330"/>
      <c r="W207" s="1330"/>
      <c r="X207" s="1330"/>
      <c r="Y207" s="1330"/>
      <c r="Z207" s="1330"/>
      <c r="AA207" s="1802"/>
      <c r="AB207" s="736"/>
      <c r="AC207" s="736"/>
      <c r="AD207" s="736"/>
      <c r="AE207" s="736"/>
      <c r="AF207" s="1811">
        <v>11</v>
      </c>
    </row>
    <row s="12668" customFormat="1" customHeight="1" ht="11.549999999999999">
      <c r="A208" s="1157"/>
      <c r="B208" s="1806"/>
      <c r="C208" s="1806"/>
      <c r="D208" s="521"/>
      <c r="K208" s="1330"/>
      <c r="L208" s="1806"/>
      <c r="M208" s="1806"/>
      <c r="N208" s="1330"/>
      <c r="O208" s="1330"/>
      <c r="P208" s="1330"/>
      <c r="Q208" s="1330"/>
      <c r="R208" s="1806"/>
      <c r="S208" s="1330"/>
      <c r="T208" s="1330"/>
      <c r="U208" s="714"/>
      <c r="V208" s="1330"/>
      <c r="W208" s="1330"/>
      <c r="X208" s="1330"/>
      <c r="Y208" s="1330"/>
      <c r="Z208" s="1330"/>
      <c r="AA208" s="1802"/>
      <c r="AB208" s="736"/>
      <c r="AC208" s="736"/>
      <c r="AD208" s="736"/>
      <c r="AE208" s="736"/>
      <c r="AF208" s="1811">
        <v>11</v>
      </c>
    </row>
    <row s="12668" customFormat="1" customHeight="1" ht="11.549999999999999">
      <c r="A209" s="1157"/>
      <c r="B209" s="1806"/>
      <c r="C209" s="1806"/>
      <c r="D209" s="521"/>
      <c r="K209" s="1330"/>
      <c r="L209" s="1806"/>
      <c r="M209" s="1806"/>
      <c r="N209" s="1330"/>
      <c r="O209" s="1330"/>
      <c r="P209" s="1330"/>
      <c r="Q209" s="1330"/>
      <c r="R209" s="1806"/>
      <c r="S209" s="1330"/>
      <c r="T209" s="1330"/>
      <c r="U209" s="714"/>
      <c r="V209" s="1330"/>
      <c r="W209" s="1330"/>
      <c r="X209" s="1330"/>
      <c r="Y209" s="1330"/>
      <c r="Z209" s="1330"/>
      <c r="AA209" s="1802"/>
      <c r="AB209" s="736"/>
      <c r="AC209" s="736"/>
      <c r="AD209" s="736"/>
      <c r="AE209" s="736"/>
      <c r="AF209" s="1811">
        <v>11</v>
      </c>
    </row>
    <row s="12668" customFormat="1" customHeight="1" ht="11.549999999999999">
      <c r="A210" s="1157"/>
      <c r="B210" s="1806"/>
      <c r="C210" s="1806"/>
      <c r="D210" s="521"/>
      <c r="K210" s="1330"/>
      <c r="L210" s="1806"/>
      <c r="M210" s="1806"/>
      <c r="N210" s="1330"/>
      <c r="O210" s="1330"/>
      <c r="P210" s="1330"/>
      <c r="Q210" s="1330"/>
      <c r="R210" s="1806"/>
      <c r="S210" s="1330"/>
      <c r="T210" s="1330"/>
      <c r="U210" s="714"/>
      <c r="V210" s="1330"/>
      <c r="W210" s="1330"/>
      <c r="X210" s="1330"/>
      <c r="Y210" s="1330"/>
      <c r="Z210" s="1330"/>
      <c r="AA210" s="1802"/>
      <c r="AB210" s="736"/>
      <c r="AC210" s="736"/>
      <c r="AD210" s="736"/>
      <c r="AE210" s="736"/>
      <c r="AF210" s="1811">
        <v>11</v>
      </c>
    </row>
    <row s="12668" customFormat="1" customHeight="1" ht="11.549999999999999">
      <c r="A211" s="1157"/>
      <c r="B211" s="1806"/>
      <c r="C211" s="1806"/>
      <c r="D211" s="521"/>
      <c r="K211" s="1330"/>
      <c r="L211" s="1806"/>
      <c r="M211" s="1806"/>
      <c r="N211" s="1330"/>
      <c r="O211" s="1330"/>
      <c r="P211" s="1330"/>
      <c r="Q211" s="1330"/>
      <c r="R211" s="1806"/>
      <c r="S211" s="1330"/>
      <c r="T211" s="1330"/>
      <c r="U211" s="714"/>
      <c r="V211" s="1330"/>
      <c r="W211" s="1330"/>
      <c r="X211" s="1330"/>
      <c r="Y211" s="1330"/>
      <c r="Z211" s="1330"/>
      <c r="AA211" s="1802"/>
      <c r="AB211" s="736"/>
      <c r="AC211" s="736"/>
      <c r="AD211" s="736"/>
      <c r="AE211" s="736"/>
      <c r="AF211" s="1811">
        <v>11</v>
      </c>
    </row>
    <row s="12668" customFormat="1" customHeight="1" ht="11.549999999999999">
      <c r="A212" s="1157"/>
      <c r="B212" s="1806"/>
      <c r="C212" s="1806"/>
      <c r="D212" s="521"/>
      <c r="K212" s="1330"/>
      <c r="L212" s="1806"/>
      <c r="M212" s="1806"/>
      <c r="N212" s="1330"/>
      <c r="O212" s="1330"/>
      <c r="P212" s="1330"/>
      <c r="Q212" s="1330"/>
      <c r="R212" s="1806"/>
      <c r="S212" s="1330"/>
      <c r="T212" s="1330"/>
      <c r="U212" s="714"/>
      <c r="V212" s="1330"/>
      <c r="W212" s="1330"/>
      <c r="X212" s="1330"/>
      <c r="Y212" s="1330"/>
      <c r="Z212" s="1330"/>
      <c r="AA212" s="1802"/>
      <c r="AB212" s="736"/>
      <c r="AC212" s="736"/>
      <c r="AD212" s="736"/>
      <c r="AE212" s="736"/>
      <c r="AF212" s="1811">
        <v>11</v>
      </c>
    </row>
    <row s="12668" customFormat="1" customHeight="1" ht="11.549999999999999">
      <c r="A213" s="1157"/>
      <c r="B213" s="1806"/>
      <c r="C213" s="1806"/>
      <c r="D213" s="521"/>
      <c r="K213" s="1330"/>
      <c r="L213" s="1806"/>
      <c r="M213" s="1806"/>
      <c r="N213" s="1330"/>
      <c r="O213" s="1330"/>
      <c r="P213" s="1330"/>
      <c r="Q213" s="1330"/>
      <c r="R213" s="1806"/>
      <c r="S213" s="1330"/>
      <c r="T213" s="1330"/>
      <c r="U213" s="714"/>
      <c r="V213" s="1330"/>
      <c r="W213" s="1330"/>
      <c r="X213" s="1330"/>
      <c r="Y213" s="1330"/>
      <c r="Z213" s="1330"/>
      <c r="AA213" s="1802"/>
      <c r="AB213" s="736"/>
      <c r="AC213" s="736"/>
      <c r="AD213" s="736"/>
      <c r="AE213" s="736"/>
      <c r="AF213" s="1811">
        <v>11</v>
      </c>
    </row>
    <row s="12668" customFormat="1" customHeight="1" ht="11.549999999999999">
      <c r="A214" s="1157"/>
      <c r="B214" s="1806"/>
      <c r="C214" s="1806"/>
      <c r="D214" s="521"/>
      <c r="K214" s="1330"/>
      <c r="L214" s="1806"/>
      <c r="M214" s="1806"/>
      <c r="N214" s="1330"/>
      <c r="O214" s="1330"/>
      <c r="P214" s="1330"/>
      <c r="Q214" s="1330"/>
      <c r="R214" s="1806"/>
      <c r="S214" s="1330"/>
      <c r="T214" s="1330"/>
      <c r="U214" s="714"/>
      <c r="V214" s="1330"/>
      <c r="W214" s="1330"/>
      <c r="X214" s="1330"/>
      <c r="Y214" s="1330"/>
      <c r="Z214" s="1330"/>
      <c r="AA214" s="1802"/>
      <c r="AB214" s="736"/>
      <c r="AC214" s="736"/>
      <c r="AD214" s="736"/>
      <c r="AE214" s="736"/>
      <c r="AF214" s="1811">
        <v>11</v>
      </c>
    </row>
    <row s="12668" customFormat="1" customHeight="1" ht="11.549999999999999">
      <c r="A215" s="1157"/>
      <c r="B215" s="1806"/>
      <c r="C215" s="1806"/>
      <c r="D215" s="521"/>
      <c r="K215" s="1330"/>
      <c r="L215" s="1806"/>
      <c r="M215" s="1806"/>
      <c r="N215" s="1330"/>
      <c r="O215" s="1330"/>
      <c r="P215" s="1330"/>
      <c r="Q215" s="1330"/>
      <c r="R215" s="1806"/>
      <c r="S215" s="1330"/>
      <c r="T215" s="1330"/>
      <c r="U215" s="714"/>
      <c r="V215" s="1330"/>
      <c r="W215" s="1330"/>
      <c r="X215" s="1330"/>
      <c r="Y215" s="1330"/>
      <c r="Z215" s="1330"/>
      <c r="AA215" s="1802"/>
      <c r="AB215" s="736"/>
      <c r="AC215" s="736"/>
      <c r="AD215" s="736"/>
      <c r="AE215" s="736"/>
      <c r="AF215" s="1811">
        <v>11</v>
      </c>
    </row>
    <row s="12668" customFormat="1" customHeight="1" ht="11.549999999999999">
      <c r="A216" s="1157"/>
      <c r="B216" s="1806"/>
      <c r="C216" s="1806"/>
      <c r="D216" s="521"/>
      <c r="K216" s="1330"/>
      <c r="L216" s="1806"/>
      <c r="M216" s="1806"/>
      <c r="N216" s="1330"/>
      <c r="O216" s="1330"/>
      <c r="P216" s="1330"/>
      <c r="Q216" s="1330"/>
      <c r="R216" s="1806"/>
      <c r="S216" s="1330"/>
      <c r="T216" s="1330"/>
      <c r="U216" s="714"/>
      <c r="V216" s="1330"/>
      <c r="W216" s="1330"/>
      <c r="X216" s="1330"/>
      <c r="Y216" s="1330"/>
      <c r="Z216" s="1330"/>
      <c r="AA216" s="1802"/>
      <c r="AB216" s="736"/>
      <c r="AC216" s="736"/>
      <c r="AD216" s="736"/>
      <c r="AE216" s="736"/>
      <c r="AF216" s="1811">
        <v>11</v>
      </c>
    </row>
    <row s="12668" customFormat="1" customHeight="1" ht="11.549999999999999">
      <c r="A217" s="1157"/>
      <c r="B217" s="1806"/>
      <c r="C217" s="1806"/>
      <c r="D217" s="521"/>
      <c r="K217" s="1330"/>
      <c r="L217" s="1806"/>
      <c r="M217" s="1806"/>
      <c r="N217" s="1330"/>
      <c r="O217" s="1330"/>
      <c r="P217" s="1330"/>
      <c r="Q217" s="1330"/>
      <c r="R217" s="1806"/>
      <c r="S217" s="1330"/>
      <c r="T217" s="1330"/>
      <c r="U217" s="714"/>
      <c r="V217" s="1330"/>
      <c r="W217" s="1330"/>
      <c r="X217" s="1330"/>
      <c r="Y217" s="1330"/>
      <c r="Z217" s="1330"/>
      <c r="AA217" s="1802"/>
      <c r="AB217" s="736"/>
      <c r="AC217" s="736"/>
      <c r="AD217" s="736"/>
      <c r="AE217" s="736"/>
      <c r="AF217" s="1811">
        <v>11</v>
      </c>
    </row>
    <row s="12668" customFormat="1" customHeight="1" ht="11.549999999999999">
      <c r="A218" s="1157"/>
      <c r="B218" s="1806"/>
      <c r="C218" s="1806"/>
      <c r="D218" s="521"/>
      <c r="K218" s="1330"/>
      <c r="L218" s="1806"/>
      <c r="M218" s="1806"/>
      <c r="N218" s="1330"/>
      <c r="O218" s="1330"/>
      <c r="P218" s="1330"/>
      <c r="Q218" s="1330"/>
      <c r="R218" s="1806"/>
      <c r="S218" s="1330"/>
      <c r="T218" s="1330"/>
      <c r="U218" s="714"/>
      <c r="V218" s="1330"/>
      <c r="W218" s="1330"/>
      <c r="X218" s="1330"/>
      <c r="Y218" s="1330"/>
      <c r="Z218" s="1330"/>
      <c r="AA218" s="1802"/>
      <c r="AB218" s="736"/>
      <c r="AC218" s="736"/>
      <c r="AD218" s="736"/>
      <c r="AE218" s="736"/>
      <c r="AF218" s="1811">
        <v>11</v>
      </c>
    </row>
    <row s="12668" customFormat="1" customHeight="1" ht="11.549999999999999">
      <c r="A219" s="1157"/>
      <c r="B219" s="1806"/>
      <c r="C219" s="1806"/>
      <c r="D219" s="521"/>
      <c r="K219" s="1330"/>
      <c r="L219" s="1806"/>
      <c r="M219" s="1806"/>
      <c r="N219" s="1330"/>
      <c r="O219" s="1330"/>
      <c r="P219" s="1330"/>
      <c r="Q219" s="1330"/>
      <c r="R219" s="1806"/>
      <c r="S219" s="1330"/>
      <c r="T219" s="1330"/>
      <c r="U219" s="714"/>
      <c r="V219" s="1330"/>
      <c r="W219" s="1330"/>
      <c r="X219" s="1330"/>
      <c r="Y219" s="1330"/>
      <c r="Z219" s="1330"/>
      <c r="AA219" s="1802"/>
      <c r="AB219" s="736"/>
      <c r="AC219" s="736"/>
      <c r="AD219" s="736"/>
      <c r="AE219" s="736"/>
      <c r="AF219" s="1811">
        <v>11</v>
      </c>
    </row>
    <row s="12668" customFormat="1" customHeight="1" ht="11.549999999999999">
      <c r="A220" s="1157"/>
      <c r="B220" s="1806"/>
      <c r="C220" s="1806"/>
      <c r="D220" s="521"/>
      <c r="K220" s="1330"/>
      <c r="L220" s="1806"/>
      <c r="M220" s="1806"/>
      <c r="N220" s="1330"/>
      <c r="O220" s="1330"/>
      <c r="P220" s="1330"/>
      <c r="Q220" s="1330"/>
      <c r="R220" s="1806"/>
      <c r="S220" s="1330"/>
      <c r="T220" s="1330"/>
      <c r="U220" s="714"/>
      <c r="V220" s="1330"/>
      <c r="W220" s="1330"/>
      <c r="X220" s="1330"/>
      <c r="Y220" s="1330"/>
      <c r="Z220" s="1330"/>
      <c r="AA220" s="1802"/>
      <c r="AB220" s="736"/>
      <c r="AC220" s="736"/>
      <c r="AD220" s="736"/>
      <c r="AE220" s="736"/>
      <c r="AF220" s="1811">
        <v>11</v>
      </c>
    </row>
    <row s="12668" customFormat="1" customHeight="1" ht="11.549999999999999">
      <c r="A221" s="1157"/>
      <c r="B221" s="1806"/>
      <c r="C221" s="1806"/>
      <c r="D221" s="521"/>
      <c r="K221" s="1330"/>
      <c r="L221" s="1806"/>
      <c r="M221" s="1806"/>
      <c r="N221" s="1330"/>
      <c r="O221" s="1330"/>
      <c r="P221" s="1330"/>
      <c r="Q221" s="1330"/>
      <c r="R221" s="1806"/>
      <c r="S221" s="1330"/>
      <c r="T221" s="1330"/>
      <c r="U221" s="714"/>
      <c r="V221" s="1330"/>
      <c r="W221" s="1330"/>
      <c r="X221" s="1330"/>
      <c r="Y221" s="1330"/>
      <c r="Z221" s="1330"/>
      <c r="AA221" s="1802"/>
      <c r="AB221" s="736"/>
      <c r="AC221" s="736"/>
      <c r="AD221" s="736"/>
      <c r="AE221" s="736"/>
      <c r="AF221" s="1811">
        <v>11</v>
      </c>
    </row>
    <row s="12668" customFormat="1" customHeight="1" ht="11.549999999999999">
      <c r="A222" s="1157"/>
      <c r="B222" s="1806"/>
      <c r="C222" s="1806"/>
      <c r="D222" s="521"/>
      <c r="K222" s="1330"/>
      <c r="L222" s="1806"/>
      <c r="M222" s="1806"/>
      <c r="N222" s="1330"/>
      <c r="O222" s="1330"/>
      <c r="P222" s="1330"/>
      <c r="Q222" s="1330"/>
      <c r="R222" s="1806"/>
      <c r="S222" s="1330"/>
      <c r="T222" s="1330"/>
      <c r="U222" s="714"/>
      <c r="V222" s="1330"/>
      <c r="W222" s="1330"/>
      <c r="X222" s="1330"/>
      <c r="Y222" s="1330"/>
      <c r="Z222" s="1330"/>
      <c r="AA222" s="1802"/>
      <c r="AB222" s="736"/>
      <c r="AC222" s="736"/>
      <c r="AD222" s="736"/>
      <c r="AE222" s="736"/>
      <c r="AF222" s="1811">
        <v>11</v>
      </c>
    </row>
    <row s="12668" customFormat="1" customHeight="1" ht="11.549999999999999">
      <c r="A223" s="1157"/>
      <c r="B223" s="1806"/>
      <c r="C223" s="1806"/>
      <c r="D223" s="521"/>
      <c r="K223" s="1330"/>
      <c r="L223" s="1806"/>
      <c r="M223" s="1806"/>
      <c r="N223" s="1330"/>
      <c r="O223" s="1330"/>
      <c r="P223" s="1330"/>
      <c r="Q223" s="1330"/>
      <c r="R223" s="1806"/>
      <c r="S223" s="1330"/>
      <c r="T223" s="1330"/>
      <c r="U223" s="714"/>
      <c r="V223" s="1330"/>
      <c r="W223" s="1330"/>
      <c r="X223" s="1330"/>
      <c r="Y223" s="1330"/>
      <c r="Z223" s="1330"/>
      <c r="AA223" s="1802"/>
      <c r="AB223" s="736"/>
      <c r="AC223" s="736"/>
      <c r="AD223" s="736"/>
      <c r="AE223" s="736"/>
      <c r="AF223" s="1811">
        <v>11</v>
      </c>
    </row>
    <row s="12668" customFormat="1" customHeight="1" ht="11.549999999999999">
      <c r="A224" s="1157"/>
      <c r="B224" s="1806"/>
      <c r="C224" s="1806"/>
      <c r="D224" s="521"/>
      <c r="K224" s="1330"/>
      <c r="L224" s="1806"/>
      <c r="M224" s="1806"/>
      <c r="N224" s="1330"/>
      <c r="O224" s="1330"/>
      <c r="P224" s="1330"/>
      <c r="Q224" s="1330"/>
      <c r="R224" s="1806"/>
      <c r="S224" s="1330"/>
      <c r="T224" s="1330"/>
      <c r="U224" s="714"/>
      <c r="V224" s="1330"/>
      <c r="W224" s="1330"/>
      <c r="X224" s="1330"/>
      <c r="Y224" s="1330"/>
      <c r="Z224" s="1330"/>
      <c r="AA224" s="1802"/>
      <c r="AB224" s="736"/>
      <c r="AC224" s="736"/>
      <c r="AD224" s="736"/>
      <c r="AE224" s="736"/>
      <c r="AF224" s="1811">
        <v>11</v>
      </c>
    </row>
    <row s="12668" customFormat="1" customHeight="1" ht="11.549999999999999">
      <c r="A225" s="1157"/>
      <c r="B225" s="1806"/>
      <c r="C225" s="1806"/>
      <c r="D225" s="521"/>
      <c r="K225" s="1330"/>
      <c r="L225" s="1806"/>
      <c r="M225" s="1806"/>
      <c r="N225" s="1330"/>
      <c r="O225" s="1330"/>
      <c r="P225" s="1330"/>
      <c r="Q225" s="1330"/>
      <c r="R225" s="1806"/>
      <c r="S225" s="1330"/>
      <c r="T225" s="1330"/>
      <c r="U225" s="714"/>
      <c r="V225" s="1330"/>
      <c r="W225" s="1330"/>
      <c r="X225" s="1330"/>
      <c r="Y225" s="1330"/>
      <c r="Z225" s="1330"/>
      <c r="AA225" s="1802"/>
      <c r="AB225" s="736"/>
      <c r="AC225" s="736"/>
      <c r="AD225" s="736"/>
      <c r="AE225" s="736"/>
      <c r="AF225" s="1811">
        <v>11</v>
      </c>
    </row>
    <row s="12668" customFormat="1" customHeight="1" ht="11.549999999999999">
      <c r="A226" s="1157"/>
      <c r="B226" s="1806"/>
      <c r="C226" s="1806"/>
      <c r="D226" s="521"/>
      <c r="K226" s="1330"/>
      <c r="L226" s="1806"/>
      <c r="M226" s="1806"/>
      <c r="N226" s="1330"/>
      <c r="O226" s="1330"/>
      <c r="P226" s="1330"/>
      <c r="Q226" s="1330"/>
      <c r="R226" s="1806"/>
      <c r="S226" s="1330"/>
      <c r="T226" s="1330"/>
      <c r="U226" s="714"/>
      <c r="V226" s="1330"/>
      <c r="W226" s="1330"/>
      <c r="X226" s="1330"/>
      <c r="Y226" s="1330"/>
      <c r="Z226" s="1330"/>
      <c r="AA226" s="1802"/>
      <c r="AB226" s="736"/>
      <c r="AC226" s="736"/>
      <c r="AD226" s="736"/>
      <c r="AE226" s="736"/>
      <c r="AF226" s="1811">
        <v>11</v>
      </c>
    </row>
    <row s="12668" customFormat="1" customHeight="1" ht="11.549999999999999">
      <c r="A227" s="1157"/>
      <c r="B227" s="1806"/>
      <c r="C227" s="1806"/>
      <c r="D227" s="521"/>
      <c r="K227" s="1330"/>
      <c r="L227" s="1806"/>
      <c r="M227" s="1806"/>
      <c r="N227" s="1330"/>
      <c r="O227" s="1330"/>
      <c r="P227" s="1330"/>
      <c r="Q227" s="1330"/>
      <c r="R227" s="1806"/>
      <c r="S227" s="1330"/>
      <c r="T227" s="1330"/>
      <c r="U227" s="714"/>
      <c r="V227" s="1330"/>
      <c r="W227" s="1330"/>
      <c r="X227" s="1330"/>
      <c r="Y227" s="1330"/>
      <c r="Z227" s="1330"/>
      <c r="AA227" s="1802"/>
      <c r="AB227" s="736"/>
      <c r="AC227" s="736"/>
      <c r="AD227" s="736"/>
      <c r="AE227" s="736"/>
      <c r="AF227" s="1811">
        <v>11</v>
      </c>
    </row>
    <row s="12668" customFormat="1" customHeight="1" ht="11.549999999999999">
      <c r="A228" s="1157"/>
      <c r="B228" s="1806"/>
      <c r="C228" s="1806"/>
      <c r="D228" s="521"/>
      <c r="K228" s="1330"/>
      <c r="L228" s="1806"/>
      <c r="M228" s="1806"/>
      <c r="N228" s="1330"/>
      <c r="O228" s="1330"/>
      <c r="P228" s="1330"/>
      <c r="Q228" s="1330"/>
      <c r="R228" s="1806"/>
      <c r="S228" s="1330"/>
      <c r="T228" s="1330"/>
      <c r="U228" s="714"/>
      <c r="V228" s="1330"/>
      <c r="W228" s="1330"/>
      <c r="X228" s="1330"/>
      <c r="Y228" s="1330"/>
      <c r="Z228" s="1330"/>
      <c r="AA228" s="1802"/>
      <c r="AB228" s="736"/>
      <c r="AC228" s="736"/>
      <c r="AD228" s="736"/>
      <c r="AE228" s="736"/>
      <c r="AF228" s="1811">
        <v>11</v>
      </c>
    </row>
    <row s="12668" customFormat="1" customHeight="1" ht="11.549999999999999">
      <c r="A229" s="1157"/>
      <c r="B229" s="1806"/>
      <c r="C229" s="1806"/>
      <c r="D229" s="521"/>
      <c r="K229" s="1330"/>
      <c r="L229" s="1806"/>
      <c r="M229" s="1806"/>
      <c r="N229" s="1330"/>
      <c r="O229" s="1330"/>
      <c r="P229" s="1330"/>
      <c r="Q229" s="1330"/>
      <c r="R229" s="1806"/>
      <c r="S229" s="1330"/>
      <c r="T229" s="1330"/>
      <c r="U229" s="714"/>
      <c r="V229" s="1330"/>
      <c r="W229" s="1330"/>
      <c r="X229" s="1330"/>
      <c r="Y229" s="1330"/>
      <c r="Z229" s="1330"/>
      <c r="AA229" s="1802"/>
      <c r="AB229" s="736"/>
      <c r="AC229" s="736"/>
      <c r="AD229" s="736"/>
      <c r="AE229" s="736"/>
      <c r="AF229" s="1811">
        <v>11</v>
      </c>
    </row>
    <row s="12668" customFormat="1" customHeight="1" ht="11.549999999999999">
      <c r="A230" s="1157"/>
      <c r="B230" s="1806"/>
      <c r="C230" s="1806"/>
      <c r="D230" s="521"/>
      <c r="K230" s="1330"/>
      <c r="L230" s="1806"/>
      <c r="M230" s="1806"/>
      <c r="N230" s="1330"/>
      <c r="O230" s="1330"/>
      <c r="P230" s="1330"/>
      <c r="Q230" s="1330"/>
      <c r="R230" s="1806"/>
      <c r="S230" s="1330"/>
      <c r="T230" s="1330"/>
      <c r="U230" s="714"/>
      <c r="V230" s="1330"/>
      <c r="W230" s="1330"/>
      <c r="X230" s="1330"/>
      <c r="Y230" s="1330"/>
      <c r="Z230" s="1330"/>
      <c r="AA230" s="1802"/>
      <c r="AB230" s="736"/>
      <c r="AC230" s="736"/>
      <c r="AD230" s="736"/>
      <c r="AE230" s="736"/>
      <c r="AF230" s="1811">
        <v>11</v>
      </c>
    </row>
    <row s="12668" customFormat="1" customHeight="1" ht="11.549999999999999">
      <c r="A231" s="1157"/>
      <c r="B231" s="1806"/>
      <c r="C231" s="1806"/>
      <c r="D231" s="521"/>
      <c r="K231" s="1330"/>
      <c r="L231" s="1806"/>
      <c r="M231" s="1806"/>
      <c r="N231" s="1330"/>
      <c r="O231" s="1330"/>
      <c r="P231" s="1330"/>
      <c r="Q231" s="1330"/>
      <c r="R231" s="1806"/>
      <c r="S231" s="1330"/>
      <c r="T231" s="1330"/>
      <c r="U231" s="714"/>
      <c r="V231" s="1330"/>
      <c r="W231" s="1330"/>
      <c r="X231" s="1330"/>
      <c r="Y231" s="1330"/>
      <c r="Z231" s="1330"/>
      <c r="AA231" s="1802"/>
      <c r="AB231" s="736"/>
      <c r="AC231" s="736"/>
      <c r="AD231" s="736"/>
      <c r="AE231" s="736"/>
      <c r="AF231" s="1811">
        <v>11</v>
      </c>
    </row>
    <row s="12668" customFormat="1" customHeight="1" ht="11.549999999999999">
      <c r="A232" s="1157"/>
      <c r="B232" s="1806"/>
      <c r="C232" s="1806"/>
      <c r="D232" s="521"/>
      <c r="K232" s="1330"/>
      <c r="L232" s="1806"/>
      <c r="M232" s="1806"/>
      <c r="N232" s="1330"/>
      <c r="O232" s="1330"/>
      <c r="P232" s="1330"/>
      <c r="Q232" s="1330"/>
      <c r="R232" s="1806"/>
      <c r="S232" s="1330"/>
      <c r="T232" s="1330"/>
      <c r="U232" s="714"/>
      <c r="V232" s="1330"/>
      <c r="W232" s="1330"/>
      <c r="X232" s="1330"/>
      <c r="Y232" s="1330"/>
      <c r="Z232" s="1330"/>
      <c r="AA232" s="1802"/>
      <c r="AB232" s="736"/>
      <c r="AC232" s="736"/>
      <c r="AD232" s="736"/>
      <c r="AE232" s="736"/>
      <c r="AF232" s="1811">
        <v>11</v>
      </c>
    </row>
    <row s="12668" customFormat="1" customHeight="1" ht="11.549999999999999">
      <c r="A233" s="1157"/>
      <c r="B233" s="1806"/>
      <c r="C233" s="1806"/>
      <c r="D233" s="521"/>
      <c r="K233" s="1330"/>
      <c r="L233" s="1806"/>
      <c r="M233" s="1806"/>
      <c r="N233" s="1330"/>
      <c r="O233" s="1330"/>
      <c r="P233" s="1330"/>
      <c r="Q233" s="1330"/>
      <c r="R233" s="1806"/>
      <c r="S233" s="1330"/>
      <c r="T233" s="1330"/>
      <c r="U233" s="714"/>
      <c r="V233" s="1330"/>
      <c r="W233" s="1330"/>
      <c r="X233" s="1330"/>
      <c r="Y233" s="1330"/>
      <c r="Z233" s="1330"/>
      <c r="AA233" s="1802"/>
      <c r="AB233" s="736"/>
      <c r="AC233" s="736"/>
      <c r="AD233" s="736"/>
      <c r="AE233" s="736"/>
      <c r="AF233" s="1811">
        <v>11</v>
      </c>
    </row>
    <row s="12668" customFormat="1" customHeight="1" ht="11.549999999999999">
      <c r="A234" s="1157"/>
      <c r="B234" s="1806"/>
      <c r="C234" s="1806"/>
      <c r="D234" s="521"/>
      <c r="K234" s="1330"/>
      <c r="L234" s="1806"/>
      <c r="M234" s="1806"/>
      <c r="N234" s="1330"/>
      <c r="O234" s="1330"/>
      <c r="P234" s="1330"/>
      <c r="Q234" s="1330"/>
      <c r="R234" s="1806"/>
      <c r="S234" s="1330"/>
      <c r="T234" s="1330"/>
      <c r="U234" s="714"/>
      <c r="V234" s="1330"/>
      <c r="W234" s="1330"/>
      <c r="X234" s="1330"/>
      <c r="Y234" s="1330"/>
      <c r="Z234" s="1330"/>
      <c r="AA234" s="1802"/>
      <c r="AB234" s="736"/>
      <c r="AC234" s="736"/>
      <c r="AD234" s="736"/>
      <c r="AE234" s="736"/>
      <c r="AF234" s="1811">
        <v>11</v>
      </c>
    </row>
    <row s="12668" customFormat="1" customHeight="1" ht="11.549999999999999">
      <c r="A235" s="1157"/>
      <c r="B235" s="1806"/>
      <c r="C235" s="1806"/>
      <c r="D235" s="521"/>
      <c r="K235" s="1330"/>
      <c r="L235" s="1806"/>
      <c r="M235" s="1806"/>
      <c r="N235" s="1330"/>
      <c r="O235" s="1330"/>
      <c r="P235" s="1330"/>
      <c r="Q235" s="1330"/>
      <c r="R235" s="1806"/>
      <c r="S235" s="1330"/>
      <c r="T235" s="1330"/>
      <c r="U235" s="714"/>
      <c r="V235" s="1330"/>
      <c r="W235" s="1330"/>
      <c r="X235" s="1330"/>
      <c r="Y235" s="1330"/>
      <c r="Z235" s="1330"/>
      <c r="AA235" s="1802"/>
      <c r="AB235" s="736"/>
      <c r="AC235" s="736"/>
      <c r="AD235" s="736"/>
      <c r="AE235" s="736"/>
      <c r="AF235" s="1811">
        <v>11</v>
      </c>
    </row>
    <row s="12668" customFormat="1" customHeight="1" ht="11.549999999999999">
      <c r="A236" s="1157"/>
      <c r="B236" s="1806"/>
      <c r="C236" s="1806"/>
      <c r="D236" s="521"/>
      <c r="K236" s="1330"/>
      <c r="L236" s="1806"/>
      <c r="M236" s="1806"/>
      <c r="N236" s="1330"/>
      <c r="O236" s="1330"/>
      <c r="P236" s="1330"/>
      <c r="Q236" s="1330"/>
      <c r="R236" s="1806"/>
      <c r="S236" s="1330"/>
      <c r="T236" s="1330"/>
      <c r="U236" s="714"/>
      <c r="V236" s="1330"/>
      <c r="W236" s="1330"/>
      <c r="X236" s="1330"/>
      <c r="Y236" s="1330"/>
      <c r="Z236" s="1330"/>
      <c r="AA236" s="1802"/>
      <c r="AB236" s="736"/>
      <c r="AC236" s="736"/>
      <c r="AD236" s="736"/>
      <c r="AE236" s="736"/>
      <c r="AF236" s="1811">
        <v>11</v>
      </c>
    </row>
    <row s="12668" customFormat="1" customHeight="1" ht="11.549999999999999">
      <c r="A237" s="1157"/>
      <c r="B237" s="1806"/>
      <c r="C237" s="1806"/>
      <c r="D237" s="521"/>
      <c r="K237" s="1330"/>
      <c r="L237" s="1806"/>
      <c r="M237" s="1806"/>
      <c r="N237" s="1330"/>
      <c r="O237" s="1330"/>
      <c r="P237" s="1330"/>
      <c r="Q237" s="1330"/>
      <c r="R237" s="1806"/>
      <c r="S237" s="1330"/>
      <c r="T237" s="1330"/>
      <c r="U237" s="714"/>
      <c r="V237" s="1330"/>
      <c r="W237" s="1330"/>
      <c r="X237" s="1330"/>
      <c r="Y237" s="1330"/>
      <c r="Z237" s="1330"/>
      <c r="AA237" s="1802"/>
      <c r="AB237" s="736"/>
      <c r="AC237" s="736"/>
      <c r="AD237" s="736"/>
      <c r="AE237" s="736"/>
      <c r="AF237" s="1811">
        <v>11</v>
      </c>
    </row>
    <row s="12668" customFormat="1" customHeight="1" ht="11.549999999999999">
      <c r="A238" s="1157"/>
      <c r="B238" s="1806"/>
      <c r="C238" s="1806"/>
      <c r="D238" s="521"/>
      <c r="K238" s="1330"/>
      <c r="L238" s="1806"/>
      <c r="M238" s="1806"/>
      <c r="N238" s="1330"/>
      <c r="O238" s="1330"/>
      <c r="P238" s="1330"/>
      <c r="Q238" s="1330"/>
      <c r="R238" s="1806"/>
      <c r="S238" s="1330"/>
      <c r="T238" s="1330"/>
      <c r="U238" s="714"/>
      <c r="V238" s="1330"/>
      <c r="W238" s="1330"/>
      <c r="X238" s="1330"/>
      <c r="Y238" s="1330"/>
      <c r="Z238" s="1330"/>
      <c r="AA238" s="1802"/>
      <c r="AB238" s="736"/>
      <c r="AC238" s="736"/>
      <c r="AD238" s="736"/>
      <c r="AE238" s="736"/>
      <c r="AF238" s="1811">
        <v>11</v>
      </c>
    </row>
    <row s="12668" customFormat="1" customHeight="1" ht="11.549999999999999">
      <c r="A239" s="1157"/>
      <c r="B239" s="1806"/>
      <c r="C239" s="1806"/>
      <c r="D239" s="521"/>
      <c r="K239" s="1330"/>
      <c r="L239" s="1806"/>
      <c r="M239" s="1806"/>
      <c r="N239" s="1330"/>
      <c r="O239" s="1330"/>
      <c r="P239" s="1330"/>
      <c r="Q239" s="1330"/>
      <c r="R239" s="1806"/>
      <c r="S239" s="1330"/>
      <c r="T239" s="1330"/>
      <c r="U239" s="714"/>
      <c r="V239" s="1330"/>
      <c r="W239" s="1330"/>
      <c r="X239" s="1330"/>
      <c r="Y239" s="1330"/>
      <c r="Z239" s="1330"/>
      <c r="AA239" s="1802"/>
      <c r="AB239" s="736"/>
      <c r="AC239" s="736"/>
      <c r="AD239" s="736"/>
      <c r="AE239" s="736"/>
      <c r="AF239" s="1811">
        <v>11</v>
      </c>
    </row>
    <row s="12668" customFormat="1" customHeight="1" ht="11.549999999999999">
      <c r="A240" s="1157"/>
      <c r="B240" s="1806"/>
      <c r="C240" s="1806"/>
      <c r="D240" s="521"/>
      <c r="K240" s="1330"/>
      <c r="L240" s="1806"/>
      <c r="M240" s="1806"/>
      <c r="N240" s="1330"/>
      <c r="O240" s="1330"/>
      <c r="P240" s="1330"/>
      <c r="Q240" s="1330"/>
      <c r="R240" s="1806"/>
      <c r="S240" s="1330"/>
      <c r="T240" s="1330"/>
      <c r="U240" s="714"/>
      <c r="V240" s="1330"/>
      <c r="W240" s="1330"/>
      <c r="X240" s="1330"/>
      <c r="Y240" s="1330"/>
      <c r="Z240" s="1330"/>
      <c r="AA240" s="1802"/>
      <c r="AB240" s="736"/>
      <c r="AC240" s="736"/>
      <c r="AD240" s="736"/>
      <c r="AE240" s="736"/>
      <c r="AF240" s="1811">
        <v>11</v>
      </c>
    </row>
    <row s="12668" customFormat="1" customHeight="1" ht="11.549999999999999">
      <c r="A241" s="1157"/>
      <c r="B241" s="1806"/>
      <c r="C241" s="1806"/>
      <c r="D241" s="521"/>
      <c r="K241" s="1330"/>
      <c r="L241" s="1806"/>
      <c r="M241" s="1806"/>
      <c r="N241" s="1330"/>
      <c r="O241" s="1330"/>
      <c r="P241" s="1330"/>
      <c r="Q241" s="1330"/>
      <c r="R241" s="1806"/>
      <c r="S241" s="1330"/>
      <c r="T241" s="1330"/>
      <c r="U241" s="714"/>
      <c r="V241" s="1330"/>
      <c r="W241" s="1330"/>
      <c r="X241" s="1330"/>
      <c r="Y241" s="1330"/>
      <c r="Z241" s="1330"/>
      <c r="AA241" s="1802"/>
      <c r="AB241" s="736"/>
      <c r="AC241" s="736"/>
      <c r="AD241" s="736"/>
      <c r="AE241" s="736"/>
      <c r="AF241" s="1811">
        <v>11</v>
      </c>
    </row>
    <row s="12668" customFormat="1" customHeight="1" ht="11.549999999999999">
      <c r="A242" s="1157"/>
      <c r="B242" s="1806"/>
      <c r="C242" s="1806"/>
      <c r="D242" s="521"/>
      <c r="K242" s="1330"/>
      <c r="L242" s="1806"/>
      <c r="M242" s="1806"/>
      <c r="N242" s="1330"/>
      <c r="O242" s="1330"/>
      <c r="P242" s="1330"/>
      <c r="Q242" s="1330"/>
      <c r="R242" s="1806"/>
      <c r="S242" s="1330"/>
      <c r="T242" s="1330"/>
      <c r="U242" s="714"/>
      <c r="V242" s="1330"/>
      <c r="W242" s="1330"/>
      <c r="X242" s="1330"/>
      <c r="Y242" s="1330"/>
      <c r="Z242" s="1330"/>
      <c r="AA242" s="1802"/>
      <c r="AB242" s="736"/>
      <c r="AC242" s="736"/>
      <c r="AD242" s="736"/>
      <c r="AE242" s="736"/>
      <c r="AF242" s="1811">
        <v>11</v>
      </c>
    </row>
    <row s="12668" customFormat="1" customHeight="1" ht="11.549999999999999">
      <c r="A243" s="1157"/>
      <c r="B243" s="1806"/>
      <c r="C243" s="1806"/>
      <c r="D243" s="521"/>
      <c r="K243" s="1330"/>
      <c r="L243" s="1806"/>
      <c r="M243" s="1806"/>
      <c r="N243" s="1330"/>
      <c r="O243" s="1330"/>
      <c r="P243" s="1330"/>
      <c r="Q243" s="1330"/>
      <c r="R243" s="1806"/>
      <c r="S243" s="1330"/>
      <c r="T243" s="1330"/>
      <c r="U243" s="714"/>
      <c r="V243" s="1330"/>
      <c r="W243" s="1330"/>
      <c r="X243" s="1330"/>
      <c r="Y243" s="1330"/>
      <c r="Z243" s="1330"/>
      <c r="AA243" s="1802"/>
      <c r="AB243" s="736"/>
      <c r="AC243" s="736"/>
      <c r="AD243" s="736"/>
      <c r="AE243" s="736"/>
      <c r="AF243" s="1811">
        <v>11</v>
      </c>
    </row>
    <row s="12668" customFormat="1" customHeight="1" ht="11.549999999999999">
      <c r="A244" s="1157"/>
      <c r="B244" s="1806"/>
      <c r="C244" s="1806"/>
      <c r="D244" s="521"/>
      <c r="K244" s="1330"/>
      <c r="L244" s="1806"/>
      <c r="M244" s="1806"/>
      <c r="N244" s="1330"/>
      <c r="O244" s="1330"/>
      <c r="P244" s="1330"/>
      <c r="Q244" s="1330"/>
      <c r="R244" s="1806"/>
      <c r="S244" s="1330"/>
      <c r="T244" s="1330"/>
      <c r="U244" s="714"/>
      <c r="V244" s="1330"/>
      <c r="W244" s="1330"/>
      <c r="X244" s="1330"/>
      <c r="Y244" s="1330"/>
      <c r="Z244" s="1330"/>
      <c r="AA244" s="1802"/>
      <c r="AB244" s="736"/>
      <c r="AC244" s="736"/>
      <c r="AD244" s="736"/>
      <c r="AE244" s="736"/>
      <c r="AF244" s="1811">
        <v>11</v>
      </c>
    </row>
    <row s="12668" customFormat="1" customHeight="1" ht="11.549999999999999">
      <c r="A245" s="1157"/>
      <c r="B245" s="1806"/>
      <c r="C245" s="1806"/>
      <c r="D245" s="521"/>
      <c r="K245" s="1330"/>
      <c r="L245" s="1806"/>
      <c r="M245" s="1806"/>
      <c r="N245" s="1330"/>
      <c r="O245" s="1330"/>
      <c r="P245" s="1330"/>
      <c r="Q245" s="1330"/>
      <c r="R245" s="1806"/>
      <c r="S245" s="1330"/>
      <c r="T245" s="1330"/>
      <c r="U245" s="714"/>
      <c r="V245" s="1330"/>
      <c r="W245" s="1330"/>
      <c r="X245" s="1330"/>
      <c r="Y245" s="1330"/>
      <c r="Z245" s="1330"/>
      <c r="AA245" s="1802"/>
      <c r="AB245" s="736"/>
      <c r="AC245" s="736"/>
      <c r="AD245" s="736"/>
      <c r="AE245" s="736"/>
      <c r="AF245" s="1811">
        <v>11</v>
      </c>
    </row>
    <row s="12668" customFormat="1" customHeight="1" ht="11.549999999999999">
      <c r="A246" s="1157"/>
      <c r="B246" s="1806"/>
      <c r="C246" s="1806"/>
      <c r="D246" s="521"/>
      <c r="K246" s="1330"/>
      <c r="L246" s="1806"/>
      <c r="M246" s="1806"/>
      <c r="N246" s="1330"/>
      <c r="O246" s="1330"/>
      <c r="P246" s="1330"/>
      <c r="Q246" s="1330"/>
      <c r="R246" s="1806"/>
      <c r="S246" s="1330"/>
      <c r="T246" s="1330"/>
      <c r="U246" s="714"/>
      <c r="V246" s="1330"/>
      <c r="W246" s="1330"/>
      <c r="X246" s="1330"/>
      <c r="Y246" s="1330"/>
      <c r="Z246" s="1330"/>
      <c r="AA246" s="1802"/>
      <c r="AB246" s="736"/>
      <c r="AC246" s="736"/>
      <c r="AD246" s="736"/>
      <c r="AE246" s="736"/>
      <c r="AF246" s="1811">
        <v>11</v>
      </c>
    </row>
    <row s="12668" customFormat="1" customHeight="1" ht="11.549999999999999">
      <c r="A247" s="1157"/>
      <c r="B247" s="1806"/>
      <c r="C247" s="1806"/>
      <c r="D247" s="521"/>
      <c r="K247" s="1330"/>
      <c r="L247" s="1806"/>
      <c r="M247" s="1806"/>
      <c r="N247" s="1330"/>
      <c r="O247" s="1330"/>
      <c r="P247" s="1330"/>
      <c r="Q247" s="1330"/>
      <c r="R247" s="1806"/>
      <c r="S247" s="1330"/>
      <c r="T247" s="1330"/>
      <c r="U247" s="714"/>
      <c r="V247" s="1330"/>
      <c r="W247" s="1330"/>
      <c r="X247" s="1330"/>
      <c r="Y247" s="1330"/>
      <c r="Z247" s="1330"/>
      <c r="AA247" s="1802"/>
      <c r="AB247" s="736"/>
      <c r="AC247" s="736"/>
      <c r="AD247" s="736"/>
      <c r="AE247" s="736"/>
      <c r="AF247" s="1811">
        <v>11</v>
      </c>
    </row>
    <row s="12668" customFormat="1" customHeight="1" ht="11.549999999999999">
      <c r="A248" s="1157"/>
      <c r="B248" s="1806"/>
      <c r="C248" s="1806"/>
      <c r="D248" s="521"/>
      <c r="K248" s="1330"/>
      <c r="L248" s="1806"/>
      <c r="M248" s="1806"/>
      <c r="N248" s="1330"/>
      <c r="O248" s="1330"/>
      <c r="P248" s="1330"/>
      <c r="Q248" s="1330"/>
      <c r="R248" s="1806"/>
      <c r="S248" s="1330"/>
      <c r="T248" s="1330"/>
      <c r="U248" s="714"/>
      <c r="V248" s="1330"/>
      <c r="W248" s="1330"/>
      <c r="X248" s="1330"/>
      <c r="Y248" s="1330"/>
      <c r="Z248" s="1330"/>
      <c r="AA248" s="1802"/>
      <c r="AB248" s="736"/>
      <c r="AC248" s="736"/>
      <c r="AD248" s="736"/>
      <c r="AE248" s="736"/>
      <c r="AF248" s="1811">
        <v>11</v>
      </c>
    </row>
    <row s="12668" customFormat="1" customHeight="1" ht="11.549999999999999">
      <c r="A249" s="1157"/>
      <c r="B249" s="1806"/>
      <c r="C249" s="1806"/>
      <c r="D249" s="521"/>
      <c r="K249" s="1330"/>
      <c r="L249" s="1806"/>
      <c r="M249" s="1806"/>
      <c r="N249" s="1330"/>
      <c r="O249" s="1330"/>
      <c r="P249" s="1330"/>
      <c r="Q249" s="1330"/>
      <c r="R249" s="1806"/>
      <c r="S249" s="1330"/>
      <c r="T249" s="1330"/>
      <c r="U249" s="714"/>
      <c r="V249" s="1330"/>
      <c r="W249" s="1330"/>
      <c r="X249" s="1330"/>
      <c r="Y249" s="1330"/>
      <c r="Z249" s="1330"/>
      <c r="AA249" s="1802"/>
      <c r="AB249" s="736"/>
      <c r="AC249" s="736"/>
      <c r="AD249" s="736"/>
      <c r="AE249" s="736"/>
      <c r="AF249" s="1811">
        <v>11</v>
      </c>
    </row>
    <row s="12668" customFormat="1" customHeight="1" ht="11.549999999999999">
      <c r="A250" s="1157"/>
      <c r="B250" s="1806"/>
      <c r="C250" s="1806"/>
      <c r="D250" s="521"/>
      <c r="K250" s="1330"/>
      <c r="L250" s="1806"/>
      <c r="M250" s="1806"/>
      <c r="N250" s="1330"/>
      <c r="O250" s="1330"/>
      <c r="P250" s="1330"/>
      <c r="Q250" s="1330"/>
      <c r="R250" s="1806"/>
      <c r="S250" s="1330"/>
      <c r="T250" s="1330"/>
      <c r="U250" s="714"/>
      <c r="V250" s="1330"/>
      <c r="W250" s="1330"/>
      <c r="X250" s="1330"/>
      <c r="Y250" s="1330"/>
      <c r="Z250" s="1330"/>
      <c r="AA250" s="1802"/>
      <c r="AB250" s="736"/>
      <c r="AC250" s="736"/>
      <c r="AD250" s="736"/>
      <c r="AE250" s="736"/>
      <c r="AF250" s="1811">
        <v>11</v>
      </c>
    </row>
    <row s="12668" customFormat="1" customHeight="1" ht="11.549999999999999">
      <c r="A251" s="1157"/>
      <c r="B251" s="1806"/>
      <c r="C251" s="1806"/>
      <c r="D251" s="521"/>
      <c r="K251" s="1330"/>
      <c r="L251" s="1806"/>
      <c r="M251" s="1806"/>
      <c r="N251" s="1330"/>
      <c r="O251" s="1330"/>
      <c r="P251" s="1330"/>
      <c r="Q251" s="1330"/>
      <c r="R251" s="1806"/>
      <c r="S251" s="1330"/>
      <c r="T251" s="1330"/>
      <c r="U251" s="714"/>
      <c r="V251" s="1330"/>
      <c r="W251" s="1330"/>
      <c r="X251" s="1330"/>
      <c r="Y251" s="1330"/>
      <c r="Z251" s="1330"/>
      <c r="AA251" s="1802"/>
      <c r="AB251" s="736"/>
      <c r="AC251" s="736"/>
      <c r="AD251" s="736"/>
      <c r="AE251" s="736"/>
      <c r="AF251" s="1811">
        <v>11</v>
      </c>
    </row>
    <row s="12668" customFormat="1" customHeight="1" ht="11.549999999999999">
      <c r="A252" s="1157"/>
      <c r="B252" s="1806"/>
      <c r="C252" s="1806"/>
      <c r="D252" s="521"/>
      <c r="K252" s="1330"/>
      <c r="L252" s="1806"/>
      <c r="M252" s="1806"/>
      <c r="N252" s="1330"/>
      <c r="O252" s="1330"/>
      <c r="P252" s="1330"/>
      <c r="Q252" s="1330"/>
      <c r="R252" s="1806"/>
      <c r="S252" s="1330"/>
      <c r="T252" s="1330"/>
      <c r="U252" s="714"/>
      <c r="V252" s="1330"/>
      <c r="W252" s="1330"/>
      <c r="X252" s="1330"/>
      <c r="Y252" s="1330"/>
      <c r="Z252" s="1330"/>
      <c r="AA252" s="1802"/>
      <c r="AB252" s="736"/>
      <c r="AC252" s="736"/>
      <c r="AD252" s="736"/>
      <c r="AE252" s="736"/>
      <c r="AF252" s="1811">
        <v>11</v>
      </c>
    </row>
    <row s="12668" customFormat="1" customHeight="1" ht="11.549999999999999">
      <c r="A253" s="1157"/>
      <c r="B253" s="1806"/>
      <c r="C253" s="1806"/>
      <c r="D253" s="521"/>
      <c r="K253" s="1330"/>
      <c r="L253" s="1806"/>
      <c r="M253" s="1806"/>
      <c r="N253" s="1330"/>
      <c r="O253" s="1330"/>
      <c r="P253" s="1330"/>
      <c r="Q253" s="1330"/>
      <c r="R253" s="1806"/>
      <c r="S253" s="1330"/>
      <c r="T253" s="1330"/>
      <c r="U253" s="714"/>
      <c r="V253" s="1330"/>
      <c r="W253" s="1330"/>
      <c r="X253" s="1330"/>
      <c r="Y253" s="1330"/>
      <c r="Z253" s="1330"/>
      <c r="AA253" s="1802"/>
      <c r="AB253" s="736"/>
      <c r="AC253" s="736"/>
      <c r="AD253" s="736"/>
      <c r="AE253" s="736"/>
      <c r="AF253" s="1811">
        <v>11</v>
      </c>
    </row>
    <row s="12668" customFormat="1" customHeight="1" ht="11.549999999999999">
      <c r="A254" s="1157"/>
      <c r="B254" s="1806"/>
      <c r="C254" s="1806"/>
      <c r="D254" s="521"/>
      <c r="K254" s="1330"/>
      <c r="L254" s="1806"/>
      <c r="M254" s="1806"/>
      <c r="N254" s="1330"/>
      <c r="O254" s="1330"/>
      <c r="P254" s="1330"/>
      <c r="Q254" s="1330"/>
      <c r="R254" s="1806"/>
      <c r="S254" s="1330"/>
      <c r="T254" s="1330"/>
      <c r="U254" s="714"/>
      <c r="V254" s="1330"/>
      <c r="W254" s="1330"/>
      <c r="X254" s="1330"/>
      <c r="Y254" s="1330"/>
      <c r="Z254" s="1330"/>
      <c r="AA254" s="1802"/>
      <c r="AB254" s="736"/>
      <c r="AC254" s="736"/>
      <c r="AD254" s="736"/>
      <c r="AE254" s="736"/>
      <c r="AF254" s="1811">
        <v>11</v>
      </c>
    </row>
    <row s="12668" customFormat="1" customHeight="1" ht="11.549999999999999">
      <c r="A255" s="1157"/>
      <c r="B255" s="1806"/>
      <c r="C255" s="1806"/>
      <c r="D255" s="521"/>
      <c r="K255" s="1330"/>
      <c r="L255" s="1806"/>
      <c r="M255" s="1806"/>
      <c r="N255" s="1330"/>
      <c r="O255" s="1330"/>
      <c r="P255" s="1330"/>
      <c r="Q255" s="1330"/>
      <c r="R255" s="1806"/>
      <c r="S255" s="1330"/>
      <c r="T255" s="1330"/>
      <c r="U255" s="714"/>
      <c r="V255" s="1330"/>
      <c r="W255" s="1330"/>
      <c r="X255" s="1330"/>
      <c r="Y255" s="1330"/>
      <c r="Z255" s="1330"/>
      <c r="AA255" s="1802"/>
      <c r="AB255" s="736"/>
      <c r="AC255" s="736"/>
      <c r="AD255" s="736"/>
      <c r="AE255" s="736"/>
      <c r="AF255" s="1811">
        <v>11</v>
      </c>
    </row>
    <row s="12668" customFormat="1" customHeight="1" ht="11.549999999999999">
      <c r="A256" s="1157"/>
      <c r="B256" s="1806"/>
      <c r="C256" s="1806"/>
      <c r="D256" s="521"/>
      <c r="K256" s="1330"/>
      <c r="L256" s="1806"/>
      <c r="M256" s="1806"/>
      <c r="N256" s="1330"/>
      <c r="O256" s="1330"/>
      <c r="P256" s="1330"/>
      <c r="Q256" s="1330"/>
      <c r="R256" s="1806"/>
      <c r="S256" s="1330"/>
      <c r="T256" s="1330"/>
      <c r="U256" s="714"/>
      <c r="V256" s="1330"/>
      <c r="W256" s="1330"/>
      <c r="X256" s="1330"/>
      <c r="Y256" s="1330"/>
      <c r="Z256" s="1330"/>
      <c r="AA256" s="1802"/>
      <c r="AB256" s="736"/>
      <c r="AC256" s="736"/>
      <c r="AD256" s="736"/>
      <c r="AE256" s="736"/>
      <c r="AF256" s="1811">
        <v>11</v>
      </c>
    </row>
    <row s="12668" customFormat="1" customHeight="1" ht="11.549999999999999">
      <c r="A257" s="1157"/>
      <c r="B257" s="1806"/>
      <c r="C257" s="1806"/>
      <c r="D257" s="521"/>
      <c r="K257" s="1330"/>
      <c r="L257" s="1806"/>
      <c r="M257" s="1806"/>
      <c r="N257" s="1330"/>
      <c r="O257" s="1330"/>
      <c r="P257" s="1330"/>
      <c r="Q257" s="1330"/>
      <c r="R257" s="1806"/>
      <c r="S257" s="1330"/>
      <c r="T257" s="1330"/>
      <c r="U257" s="714"/>
      <c r="V257" s="1330"/>
      <c r="W257" s="1330"/>
      <c r="X257" s="1330"/>
      <c r="Y257" s="1330"/>
      <c r="Z257" s="1330"/>
      <c r="AA257" s="1802"/>
      <c r="AB257" s="736"/>
      <c r="AC257" s="736"/>
      <c r="AD257" s="736"/>
      <c r="AE257" s="736"/>
      <c r="AF257" s="1811">
        <v>11</v>
      </c>
    </row>
    <row s="12668" customFormat="1" customHeight="1" ht="11.549999999999999">
      <c r="A258" s="1157"/>
      <c r="B258" s="1806"/>
      <c r="C258" s="1806"/>
      <c r="D258" s="521"/>
      <c r="K258" s="1330"/>
      <c r="L258" s="1806"/>
      <c r="M258" s="1806"/>
      <c r="N258" s="1330"/>
      <c r="O258" s="1330"/>
      <c r="P258" s="1330"/>
      <c r="Q258" s="1330"/>
      <c r="R258" s="1806"/>
      <c r="S258" s="1330"/>
      <c r="T258" s="1330"/>
      <c r="U258" s="714"/>
      <c r="V258" s="1330"/>
      <c r="W258" s="1330"/>
      <c r="X258" s="1330"/>
      <c r="Y258" s="1330"/>
      <c r="Z258" s="1330"/>
      <c r="AA258" s="1802"/>
      <c r="AB258" s="736"/>
      <c r="AC258" s="736"/>
      <c r="AD258" s="736"/>
      <c r="AE258" s="736"/>
      <c r="AF258" s="1811">
        <v>11</v>
      </c>
    </row>
    <row s="12668" customFormat="1" customHeight="1" ht="11.549999999999999">
      <c r="A259" s="1157"/>
      <c r="B259" s="1806"/>
      <c r="C259" s="1806"/>
      <c r="D259" s="521"/>
      <c r="K259" s="1330"/>
      <c r="L259" s="1806"/>
      <c r="M259" s="1806"/>
      <c r="N259" s="1330"/>
      <c r="O259" s="1330"/>
      <c r="P259" s="1330"/>
      <c r="Q259" s="1330"/>
      <c r="R259" s="1806"/>
      <c r="S259" s="1330"/>
      <c r="T259" s="1330"/>
      <c r="U259" s="714"/>
      <c r="V259" s="1330"/>
      <c r="W259" s="1330"/>
      <c r="X259" s="1330"/>
      <c r="Y259" s="1330"/>
      <c r="Z259" s="1330"/>
      <c r="AA259" s="1802"/>
      <c r="AB259" s="736"/>
      <c r="AC259" s="736"/>
      <c r="AD259" s="736"/>
      <c r="AE259" s="736"/>
      <c r="AF259" s="1811">
        <v>11</v>
      </c>
    </row>
    <row s="12668" customFormat="1" customHeight="1" ht="11.549999999999999">
      <c r="A260" s="1157"/>
      <c r="B260" s="1806"/>
      <c r="C260" s="1806"/>
      <c r="D260" s="521"/>
      <c r="K260" s="1330"/>
      <c r="L260" s="1806"/>
      <c r="M260" s="1806"/>
      <c r="N260" s="1330"/>
      <c r="O260" s="1330"/>
      <c r="P260" s="1330"/>
      <c r="Q260" s="1330"/>
      <c r="R260" s="1806"/>
      <c r="S260" s="1330"/>
      <c r="T260" s="1330"/>
      <c r="U260" s="714"/>
      <c r="V260" s="1330"/>
      <c r="W260" s="1330"/>
      <c r="X260" s="1330"/>
      <c r="Y260" s="1330"/>
      <c r="Z260" s="1330"/>
      <c r="AA260" s="1802"/>
      <c r="AB260" s="736"/>
      <c r="AC260" s="736"/>
      <c r="AD260" s="736"/>
      <c r="AE260" s="736"/>
      <c r="AF260" s="1811">
        <v>11</v>
      </c>
    </row>
    <row s="12668" customFormat="1" customHeight="1" ht="11.549999999999999">
      <c r="A261" s="1157"/>
      <c r="B261" s="1806"/>
      <c r="C261" s="1806"/>
      <c r="D261" s="521"/>
      <c r="K261" s="1330"/>
      <c r="L261" s="1806"/>
      <c r="M261" s="1806"/>
      <c r="N261" s="1330"/>
      <c r="O261" s="1330"/>
      <c r="P261" s="1330"/>
      <c r="Q261" s="1330"/>
      <c r="R261" s="1806"/>
      <c r="S261" s="1330"/>
      <c r="T261" s="1330"/>
      <c r="U261" s="714"/>
      <c r="V261" s="1330"/>
      <c r="W261" s="1330"/>
      <c r="X261" s="1330"/>
      <c r="Y261" s="1330"/>
      <c r="Z261" s="1330"/>
      <c r="AA261" s="1802"/>
      <c r="AB261" s="736"/>
      <c r="AC261" s="736"/>
      <c r="AD261" s="736"/>
      <c r="AE261" s="736"/>
      <c r="AF261" s="1811">
        <v>11</v>
      </c>
    </row>
    <row s="12668" customFormat="1" customHeight="1" ht="11.549999999999999">
      <c r="A262" s="1157"/>
      <c r="B262" s="1806"/>
      <c r="C262" s="1806"/>
      <c r="D262" s="521"/>
      <c r="K262" s="1330"/>
      <c r="L262" s="1806"/>
      <c r="M262" s="1806"/>
      <c r="N262" s="1330"/>
      <c r="O262" s="1330"/>
      <c r="P262" s="1330"/>
      <c r="Q262" s="1330"/>
      <c r="R262" s="1806"/>
      <c r="S262" s="1330"/>
      <c r="T262" s="1330"/>
      <c r="U262" s="714"/>
      <c r="V262" s="1330"/>
      <c r="W262" s="1330"/>
      <c r="X262" s="1330"/>
      <c r="Y262" s="1330"/>
      <c r="Z262" s="1330"/>
      <c r="AA262" s="1802"/>
      <c r="AB262" s="736"/>
      <c r="AC262" s="736"/>
      <c r="AD262" s="736"/>
      <c r="AE262" s="736"/>
      <c r="AF262" s="1811">
        <v>11</v>
      </c>
    </row>
    <row s="12668" customFormat="1" customHeight="1" ht="11.549999999999999">
      <c r="A263" s="1157"/>
      <c r="B263" s="1806"/>
      <c r="C263" s="1806"/>
      <c r="D263" s="521"/>
      <c r="K263" s="1330"/>
      <c r="L263" s="1806"/>
      <c r="M263" s="1806"/>
      <c r="N263" s="1330"/>
      <c r="O263" s="1330"/>
      <c r="P263" s="1330"/>
      <c r="Q263" s="1330"/>
      <c r="R263" s="1806"/>
      <c r="S263" s="1330"/>
      <c r="T263" s="1330"/>
      <c r="U263" s="714"/>
      <c r="V263" s="1330"/>
      <c r="W263" s="1330"/>
      <c r="X263" s="1330"/>
      <c r="Y263" s="1330"/>
      <c r="Z263" s="1330"/>
      <c r="AA263" s="1802"/>
      <c r="AB263" s="736"/>
      <c r="AC263" s="736"/>
      <c r="AD263" s="736"/>
      <c r="AE263" s="736"/>
      <c r="AF263" s="1811">
        <v>11</v>
      </c>
    </row>
    <row s="12668" customFormat="1" customHeight="1" ht="11.549999999999999">
      <c r="A264" s="1157"/>
      <c r="B264" s="1806"/>
      <c r="C264" s="1806"/>
      <c r="D264" s="521"/>
      <c r="K264" s="1330"/>
      <c r="L264" s="1806"/>
      <c r="M264" s="1806"/>
      <c r="N264" s="1330"/>
      <c r="O264" s="1330"/>
      <c r="P264" s="1330"/>
      <c r="Q264" s="1330"/>
      <c r="R264" s="1806"/>
      <c r="S264" s="1330"/>
      <c r="T264" s="1330"/>
      <c r="U264" s="714"/>
      <c r="V264" s="1330"/>
      <c r="W264" s="1330"/>
      <c r="X264" s="1330"/>
      <c r="Y264" s="1330"/>
      <c r="Z264" s="1330"/>
      <c r="AA264" s="1802"/>
      <c r="AB264" s="736"/>
      <c r="AC264" s="736"/>
      <c r="AD264" s="736"/>
      <c r="AE264" s="736"/>
      <c r="AF264" s="1811">
        <v>11</v>
      </c>
    </row>
    <row s="12668" customFormat="1" customHeight="1" ht="11.549999999999999">
      <c r="A265" s="1157"/>
      <c r="B265" s="1806"/>
      <c r="C265" s="1806"/>
      <c r="D265" s="521"/>
      <c r="K265" s="1330"/>
      <c r="L265" s="1806"/>
      <c r="M265" s="1806"/>
      <c r="N265" s="1330"/>
      <c r="O265" s="1330"/>
      <c r="P265" s="1330"/>
      <c r="Q265" s="1330"/>
      <c r="R265" s="1806"/>
      <c r="S265" s="1330"/>
      <c r="T265" s="1330"/>
      <c r="U265" s="714"/>
      <c r="V265" s="1330"/>
      <c r="W265" s="1330"/>
      <c r="X265" s="1330"/>
      <c r="Y265" s="1330"/>
      <c r="Z265" s="1330"/>
      <c r="AA265" s="1802"/>
      <c r="AB265" s="736"/>
      <c r="AC265" s="736"/>
      <c r="AD265" s="736"/>
      <c r="AE265" s="736"/>
      <c r="AF265" s="1811">
        <v>11</v>
      </c>
    </row>
    <row s="12668" customFormat="1" customHeight="1" ht="11.549999999999999">
      <c r="A266" s="1157"/>
      <c r="B266" s="1806"/>
      <c r="C266" s="1806"/>
      <c r="D266" s="521"/>
      <c r="K266" s="1330"/>
      <c r="L266" s="1806"/>
      <c r="M266" s="1806"/>
      <c r="N266" s="1330"/>
      <c r="O266" s="1330"/>
      <c r="P266" s="1330"/>
      <c r="Q266" s="1330"/>
      <c r="R266" s="1806"/>
      <c r="S266" s="1330"/>
      <c r="T266" s="1330"/>
      <c r="U266" s="714"/>
      <c r="V266" s="1330"/>
      <c r="W266" s="1330"/>
      <c r="X266" s="1330"/>
      <c r="Y266" s="1330"/>
      <c r="Z266" s="1330"/>
      <c r="AA266" s="1802"/>
      <c r="AB266" s="736"/>
      <c r="AC266" s="736"/>
      <c r="AD266" s="736"/>
      <c r="AE266" s="736"/>
      <c r="AF266" s="1811">
        <v>11</v>
      </c>
    </row>
    <row s="12668" customFormat="1" customHeight="1" ht="11.549999999999999">
      <c r="A267" s="1157"/>
      <c r="B267" s="1806"/>
      <c r="C267" s="1806"/>
      <c r="D267" s="521"/>
      <c r="K267" s="1330"/>
      <c r="L267" s="1806"/>
      <c r="M267" s="1806"/>
      <c r="N267" s="1330"/>
      <c r="O267" s="1330"/>
      <c r="P267" s="1330"/>
      <c r="Q267" s="1330"/>
      <c r="R267" s="1806"/>
      <c r="S267" s="1330"/>
      <c r="T267" s="1330"/>
      <c r="U267" s="714"/>
      <c r="V267" s="1330"/>
      <c r="W267" s="1330"/>
      <c r="X267" s="1330"/>
      <c r="Y267" s="1330"/>
      <c r="Z267" s="1330"/>
      <c r="AA267" s="1802"/>
      <c r="AB267" s="736"/>
      <c r="AC267" s="736"/>
      <c r="AD267" s="736"/>
      <c r="AE267" s="736"/>
      <c r="AF267" s="1811">
        <v>11</v>
      </c>
    </row>
    <row s="12668" customFormat="1" customHeight="1" ht="11.549999999999999">
      <c r="A268" s="1157"/>
      <c r="B268" s="1806"/>
      <c r="C268" s="1806"/>
      <c r="D268" s="521"/>
      <c r="K268" s="1330"/>
      <c r="L268" s="1806"/>
      <c r="M268" s="1806"/>
      <c r="N268" s="1330"/>
      <c r="O268" s="1330"/>
      <c r="P268" s="1330"/>
      <c r="Q268" s="1330"/>
      <c r="R268" s="1806"/>
      <c r="S268" s="1330"/>
      <c r="T268" s="1330"/>
      <c r="U268" s="714"/>
      <c r="V268" s="1330"/>
      <c r="W268" s="1330"/>
      <c r="X268" s="1330"/>
      <c r="Y268" s="1330"/>
      <c r="Z268" s="1330"/>
      <c r="AA268" s="1802"/>
      <c r="AB268" s="736"/>
      <c r="AC268" s="736"/>
      <c r="AD268" s="736"/>
      <c r="AE268" s="736"/>
      <c r="AF268" s="1811">
        <v>11</v>
      </c>
    </row>
    <row s="12668" customFormat="1" customHeight="1" ht="11.549999999999999">
      <c r="A269" s="1157"/>
      <c r="B269" s="1806"/>
      <c r="C269" s="1806"/>
      <c r="D269" s="521"/>
      <c r="K269" s="1330"/>
      <c r="L269" s="1806"/>
      <c r="M269" s="1806"/>
      <c r="N269" s="1330"/>
      <c r="O269" s="1330"/>
      <c r="P269" s="1330"/>
      <c r="Q269" s="1330"/>
      <c r="R269" s="1806"/>
      <c r="S269" s="1330"/>
      <c r="T269" s="1330"/>
      <c r="U269" s="714"/>
      <c r="V269" s="1330"/>
      <c r="W269" s="1330"/>
      <c r="X269" s="1330"/>
      <c r="Y269" s="1330"/>
      <c r="Z269" s="1330"/>
      <c r="AA269" s="1802"/>
      <c r="AB269" s="736"/>
      <c r="AC269" s="736"/>
      <c r="AD269" s="736"/>
      <c r="AE269" s="736"/>
      <c r="AF269" s="1811">
        <v>11</v>
      </c>
    </row>
    <row s="12668" customFormat="1" customHeight="1" ht="11.549999999999999">
      <c r="A270" s="1157"/>
      <c r="B270" s="1806"/>
      <c r="C270" s="1806"/>
      <c r="D270" s="521"/>
      <c r="K270" s="1330"/>
      <c r="L270" s="1806"/>
      <c r="M270" s="1806"/>
      <c r="N270" s="1330"/>
      <c r="O270" s="1330"/>
      <c r="P270" s="1330"/>
      <c r="Q270" s="1330"/>
      <c r="R270" s="1806"/>
      <c r="S270" s="1330"/>
      <c r="T270" s="1330"/>
      <c r="U270" s="714"/>
      <c r="V270" s="1330"/>
      <c r="W270" s="1330"/>
      <c r="X270" s="1330"/>
      <c r="Y270" s="1330"/>
      <c r="Z270" s="1330"/>
      <c r="AA270" s="1802"/>
      <c r="AB270" s="736"/>
      <c r="AC270" s="736"/>
      <c r="AD270" s="736"/>
      <c r="AE270" s="736"/>
      <c r="AF270" s="1811">
        <v>11</v>
      </c>
    </row>
    <row s="12668" customFormat="1" customHeight="1" ht="11.549999999999999">
      <c r="A271" s="1157"/>
      <c r="B271" s="1806"/>
      <c r="C271" s="1806"/>
      <c r="D271" s="521"/>
      <c r="K271" s="1330"/>
      <c r="L271" s="1806"/>
      <c r="M271" s="1806"/>
      <c r="N271" s="1330"/>
      <c r="O271" s="1330"/>
      <c r="P271" s="1330"/>
      <c r="Q271" s="1330"/>
      <c r="R271" s="1806"/>
      <c r="S271" s="1330"/>
      <c r="T271" s="1330"/>
      <c r="U271" s="714"/>
      <c r="V271" s="1330"/>
      <c r="W271" s="1330"/>
      <c r="X271" s="1330"/>
      <c r="Y271" s="1330"/>
      <c r="Z271" s="1330"/>
      <c r="AA271" s="1802"/>
      <c r="AB271" s="736"/>
      <c r="AC271" s="736"/>
      <c r="AD271" s="736"/>
      <c r="AE271" s="736"/>
      <c r="AF271" s="1811">
        <v>11</v>
      </c>
    </row>
    <row s="12668" customFormat="1" customHeight="1" ht="11.549999999999999">
      <c r="A272" s="1157"/>
      <c r="B272" s="1806"/>
      <c r="C272" s="1806"/>
      <c r="D272" s="521"/>
      <c r="K272" s="1330"/>
      <c r="L272" s="1806"/>
      <c r="M272" s="1806"/>
      <c r="N272" s="1330"/>
      <c r="O272" s="1330"/>
      <c r="P272" s="1330"/>
      <c r="Q272" s="1330"/>
      <c r="R272" s="1806"/>
      <c r="S272" s="1330"/>
      <c r="T272" s="1330"/>
      <c r="U272" s="714"/>
      <c r="V272" s="1330"/>
      <c r="W272" s="1330"/>
      <c r="X272" s="1330"/>
      <c r="Y272" s="1330"/>
      <c r="Z272" s="1330"/>
      <c r="AA272" s="1802"/>
      <c r="AB272" s="736"/>
      <c r="AC272" s="736"/>
      <c r="AD272" s="736"/>
      <c r="AE272" s="736"/>
      <c r="AF272" s="1811">
        <v>11</v>
      </c>
    </row>
    <row s="12668" customFormat="1" customHeight="1" ht="11.549999999999999">
      <c r="A273" s="1157"/>
      <c r="B273" s="1806"/>
      <c r="C273" s="1806"/>
      <c r="D273" s="521"/>
      <c r="K273" s="1330"/>
      <c r="L273" s="1806"/>
      <c r="M273" s="1806"/>
      <c r="N273" s="1330"/>
      <c r="O273" s="1330"/>
      <c r="P273" s="1330"/>
      <c r="Q273" s="1330"/>
      <c r="R273" s="1806"/>
      <c r="S273" s="1330"/>
      <c r="T273" s="1330"/>
      <c r="U273" s="714"/>
      <c r="V273" s="1330"/>
      <c r="W273" s="1330"/>
      <c r="X273" s="1330"/>
      <c r="Y273" s="1330"/>
      <c r="Z273" s="1330"/>
      <c r="AA273" s="1802"/>
      <c r="AB273" s="736"/>
      <c r="AC273" s="736"/>
      <c r="AD273" s="736"/>
      <c r="AE273" s="736"/>
      <c r="AF273" s="1811">
        <v>11</v>
      </c>
    </row>
    <row s="12668" customFormat="1" customHeight="1" ht="11.549999999999999">
      <c r="A274" s="1157"/>
      <c r="B274" s="1806"/>
      <c r="C274" s="1806"/>
      <c r="D274" s="521"/>
      <c r="K274" s="1330"/>
      <c r="L274" s="1806"/>
      <c r="M274" s="1806"/>
      <c r="N274" s="1330"/>
      <c r="O274" s="1330"/>
      <c r="P274" s="1330"/>
      <c r="Q274" s="1330"/>
      <c r="R274" s="1806"/>
      <c r="S274" s="1330"/>
      <c r="T274" s="1330"/>
      <c r="U274" s="714"/>
      <c r="V274" s="1330"/>
      <c r="W274" s="1330"/>
      <c r="X274" s="1330"/>
      <c r="Y274" s="1330"/>
      <c r="Z274" s="1330"/>
      <c r="AA274" s="1802"/>
      <c r="AB274" s="736"/>
      <c r="AC274" s="736"/>
      <c r="AD274" s="736"/>
      <c r="AE274" s="736"/>
      <c r="AF274" s="1811">
        <v>11</v>
      </c>
    </row>
    <row s="12668" customFormat="1" customHeight="1" ht="11.549999999999999">
      <c r="A275" s="1157"/>
      <c r="B275" s="1806"/>
      <c r="C275" s="1806"/>
      <c r="D275" s="521"/>
      <c r="K275" s="1330"/>
      <c r="L275" s="1806"/>
      <c r="M275" s="1806"/>
      <c r="N275" s="1330"/>
      <c r="O275" s="1330"/>
      <c r="P275" s="1330"/>
      <c r="Q275" s="1330"/>
      <c r="R275" s="1806"/>
      <c r="S275" s="1330"/>
      <c r="T275" s="1330"/>
      <c r="U275" s="714"/>
      <c r="V275" s="1330"/>
      <c r="W275" s="1330"/>
      <c r="X275" s="1330"/>
      <c r="Y275" s="1330"/>
      <c r="Z275" s="1330"/>
      <c r="AA275" s="1802"/>
      <c r="AB275" s="736"/>
      <c r="AC275" s="736"/>
      <c r="AD275" s="736"/>
      <c r="AE275" s="736"/>
      <c r="AF275" s="1811">
        <v>11</v>
      </c>
    </row>
    <row s="12668" customFormat="1" customHeight="1" ht="11.549999999999999">
      <c r="A276" s="1157"/>
      <c r="B276" s="1806"/>
      <c r="C276" s="1806"/>
      <c r="D276" s="521"/>
      <c r="K276" s="1330"/>
      <c r="L276" s="1806"/>
      <c r="M276" s="1806"/>
      <c r="N276" s="1330"/>
      <c r="O276" s="1330"/>
      <c r="P276" s="1330"/>
      <c r="Q276" s="1330"/>
      <c r="R276" s="1806"/>
      <c r="S276" s="1330"/>
      <c r="T276" s="1330"/>
      <c r="U276" s="714"/>
      <c r="V276" s="1330"/>
      <c r="W276" s="1330"/>
      <c r="X276" s="1330"/>
      <c r="Y276" s="1330"/>
      <c r="Z276" s="1330"/>
      <c r="AA276" s="1802"/>
      <c r="AB276" s="736"/>
      <c r="AC276" s="736"/>
      <c r="AD276" s="736"/>
      <c r="AE276" s="736"/>
      <c r="AF276" s="1811">
        <v>11</v>
      </c>
    </row>
    <row s="12668" customFormat="1" customHeight="1" ht="11.549999999999999">
      <c r="A277" s="1157"/>
      <c r="B277" s="1806"/>
      <c r="C277" s="1806"/>
      <c r="D277" s="521"/>
      <c r="K277" s="1330"/>
      <c r="L277" s="1806"/>
      <c r="M277" s="1806"/>
      <c r="N277" s="1330"/>
      <c r="O277" s="1330"/>
      <c r="P277" s="1330"/>
      <c r="Q277" s="1330"/>
      <c r="R277" s="1806"/>
      <c r="S277" s="1330"/>
      <c r="T277" s="1330"/>
      <c r="U277" s="714"/>
      <c r="V277" s="1330"/>
      <c r="W277" s="1330"/>
      <c r="X277" s="1330"/>
      <c r="Y277" s="1330"/>
      <c r="Z277" s="1330"/>
      <c r="AA277" s="1802"/>
      <c r="AB277" s="736"/>
      <c r="AC277" s="736"/>
      <c r="AD277" s="736"/>
      <c r="AE277" s="736"/>
      <c r="AF277" s="1811">
        <v>11</v>
      </c>
    </row>
    <row s="12668" customFormat="1" customHeight="1" ht="11.549999999999999">
      <c r="A278" s="1157"/>
      <c r="B278" s="1806"/>
      <c r="C278" s="1806"/>
      <c r="D278" s="521"/>
      <c r="K278" s="1330"/>
      <c r="L278" s="1806"/>
      <c r="M278" s="1806"/>
      <c r="N278" s="1330"/>
      <c r="O278" s="1330"/>
      <c r="P278" s="1330"/>
      <c r="Q278" s="1330"/>
      <c r="R278" s="1806"/>
      <c r="S278" s="1330"/>
      <c r="T278" s="1330"/>
      <c r="U278" s="714"/>
      <c r="V278" s="1330"/>
      <c r="W278" s="1330"/>
      <c r="X278" s="1330"/>
      <c r="Y278" s="1330"/>
      <c r="Z278" s="1330"/>
      <c r="AA278" s="1802"/>
      <c r="AB278" s="736"/>
      <c r="AC278" s="736"/>
      <c r="AD278" s="736"/>
      <c r="AE278" s="736"/>
      <c r="AF278" s="1811">
        <v>11</v>
      </c>
    </row>
    <row s="12668" customFormat="1" customHeight="1" ht="11.549999999999999">
      <c r="A279" s="1157"/>
      <c r="B279" s="1806"/>
      <c r="C279" s="1806"/>
      <c r="D279" s="521"/>
      <c r="K279" s="1330"/>
      <c r="L279" s="1806"/>
      <c r="M279" s="1806"/>
      <c r="N279" s="1330"/>
      <c r="O279" s="1330"/>
      <c r="P279" s="1330"/>
      <c r="Q279" s="1330"/>
      <c r="R279" s="1806"/>
      <c r="S279" s="1330"/>
      <c r="T279" s="1330"/>
      <c r="U279" s="714"/>
      <c r="V279" s="1330"/>
      <c r="W279" s="1330"/>
      <c r="X279" s="1330"/>
      <c r="Y279" s="1330"/>
      <c r="Z279" s="1330"/>
      <c r="AA279" s="1802"/>
      <c r="AB279" s="736"/>
      <c r="AC279" s="736"/>
      <c r="AD279" s="736"/>
      <c r="AE279" s="736"/>
      <c r="AF279" s="1811">
        <v>11</v>
      </c>
    </row>
    <row s="12668" customFormat="1" customHeight="1" ht="11.549999999999999">
      <c r="A280" s="1157"/>
      <c r="B280" s="1806"/>
      <c r="C280" s="1806"/>
      <c r="D280" s="521"/>
      <c r="K280" s="1330"/>
      <c r="L280" s="1806"/>
      <c r="M280" s="1806"/>
      <c r="N280" s="1330"/>
      <c r="O280" s="1330"/>
      <c r="P280" s="1330"/>
      <c r="Q280" s="1330"/>
      <c r="R280" s="1806"/>
      <c r="S280" s="1330"/>
      <c r="T280" s="1330"/>
      <c r="U280" s="714"/>
      <c r="V280" s="1330"/>
      <c r="W280" s="1330"/>
      <c r="X280" s="1330"/>
      <c r="Y280" s="1330"/>
      <c r="Z280" s="1330"/>
      <c r="AA280" s="1802"/>
      <c r="AB280" s="736"/>
      <c r="AC280" s="736"/>
      <c r="AD280" s="736"/>
      <c r="AE280" s="736"/>
      <c r="AF280" s="1811">
        <v>11</v>
      </c>
    </row>
    <row s="12668" customFormat="1" customHeight="1" ht="11.549999999999999">
      <c r="A281" s="1157"/>
      <c r="B281" s="1806"/>
      <c r="C281" s="1806"/>
      <c r="D281" s="521"/>
      <c r="K281" s="1330"/>
      <c r="L281" s="1806"/>
      <c r="M281" s="1806"/>
      <c r="N281" s="1330"/>
      <c r="O281" s="1330"/>
      <c r="P281" s="1330"/>
      <c r="Q281" s="1330"/>
      <c r="R281" s="1806"/>
      <c r="S281" s="1330"/>
      <c r="T281" s="1330"/>
      <c r="U281" s="714"/>
      <c r="V281" s="1330"/>
      <c r="W281" s="1330"/>
      <c r="X281" s="1330"/>
      <c r="Y281" s="1330"/>
      <c r="Z281" s="1330"/>
      <c r="AA281" s="1802"/>
      <c r="AB281" s="736"/>
      <c r="AC281" s="736"/>
      <c r="AD281" s="736"/>
      <c r="AE281" s="736"/>
      <c r="AF281" s="1811">
        <v>11</v>
      </c>
    </row>
    <row s="12668" customFormat="1" customHeight="1" ht="11.549999999999999">
      <c r="A282" s="1157"/>
      <c r="B282" s="1806"/>
      <c r="C282" s="1806"/>
      <c r="D282" s="521"/>
      <c r="K282" s="1330"/>
      <c r="L282" s="1806"/>
      <c r="M282" s="1806"/>
      <c r="N282" s="1330"/>
      <c r="O282" s="1330"/>
      <c r="P282" s="1330"/>
      <c r="Q282" s="1330"/>
      <c r="R282" s="1806"/>
      <c r="S282" s="1330"/>
      <c r="T282" s="1330"/>
      <c r="U282" s="714"/>
      <c r="V282" s="1330"/>
      <c r="W282" s="1330"/>
      <c r="X282" s="1330"/>
      <c r="Y282" s="1330"/>
      <c r="Z282" s="1330"/>
      <c r="AA282" s="1802"/>
      <c r="AB282" s="736"/>
      <c r="AC282" s="736"/>
      <c r="AD282" s="736"/>
      <c r="AE282" s="736"/>
      <c r="AF282" s="1811">
        <v>11</v>
      </c>
    </row>
    <row s="12668" customFormat="1" customHeight="1" ht="11.549999999999999">
      <c r="A283" s="1157"/>
      <c r="B283" s="1806"/>
      <c r="C283" s="1806"/>
      <c r="D283" s="521"/>
      <c r="K283" s="1330"/>
      <c r="L283" s="1806"/>
      <c r="M283" s="1806"/>
      <c r="N283" s="1330"/>
      <c r="O283" s="1330"/>
      <c r="P283" s="1330"/>
      <c r="Q283" s="1330"/>
      <c r="R283" s="1806"/>
      <c r="S283" s="1330"/>
      <c r="T283" s="1330"/>
      <c r="U283" s="714"/>
      <c r="V283" s="1330"/>
      <c r="W283" s="1330"/>
      <c r="X283" s="1330"/>
      <c r="Y283" s="1330"/>
      <c r="Z283" s="1330"/>
      <c r="AA283" s="1802"/>
      <c r="AB283" s="736"/>
      <c r="AC283" s="736"/>
      <c r="AD283" s="736"/>
      <c r="AE283" s="736"/>
      <c r="AF283" s="1811">
        <v>11</v>
      </c>
    </row>
    <row s="12668" customFormat="1" customHeight="1" ht="11.549999999999999">
      <c r="A284" s="1157"/>
      <c r="B284" s="1806"/>
      <c r="C284" s="1806"/>
      <c r="D284" s="521"/>
      <c r="K284" s="1330"/>
      <c r="L284" s="1806"/>
      <c r="M284" s="1806"/>
      <c r="N284" s="1330"/>
      <c r="O284" s="1330"/>
      <c r="P284" s="1330"/>
      <c r="Q284" s="1330"/>
      <c r="R284" s="1806"/>
      <c r="S284" s="1330"/>
      <c r="T284" s="1330"/>
      <c r="U284" s="714"/>
      <c r="V284" s="1330"/>
      <c r="W284" s="1330"/>
      <c r="X284" s="1330"/>
      <c r="Y284" s="1330"/>
      <c r="Z284" s="1330"/>
      <c r="AA284" s="1802"/>
      <c r="AB284" s="736"/>
      <c r="AC284" s="736"/>
      <c r="AD284" s="736"/>
      <c r="AE284" s="736"/>
      <c r="AF284" s="1811">
        <v>11</v>
      </c>
    </row>
    <row s="12668" customFormat="1" customHeight="1" ht="11.549999999999999">
      <c r="A285" s="1157"/>
      <c r="B285" s="1806"/>
      <c r="C285" s="1806"/>
      <c r="D285" s="521"/>
      <c r="K285" s="1330"/>
      <c r="L285" s="1806"/>
      <c r="M285" s="1806"/>
      <c r="N285" s="1330"/>
      <c r="O285" s="1330"/>
      <c r="P285" s="1330"/>
      <c r="Q285" s="1330"/>
      <c r="R285" s="1806"/>
      <c r="S285" s="1330"/>
      <c r="T285" s="1330"/>
      <c r="U285" s="714"/>
      <c r="V285" s="1330"/>
      <c r="W285" s="1330"/>
      <c r="X285" s="1330"/>
      <c r="Y285" s="1330"/>
      <c r="Z285" s="1330"/>
      <c r="AA285" s="1802"/>
      <c r="AB285" s="736"/>
      <c r="AC285" s="736"/>
      <c r="AD285" s="736"/>
      <c r="AE285" s="736"/>
      <c r="AF285" s="1811">
        <v>11</v>
      </c>
    </row>
    <row s="12668" customFormat="1" customHeight="1" ht="11.549999999999999">
      <c r="A286" s="1157"/>
      <c r="B286" s="1806"/>
      <c r="C286" s="1806"/>
      <c r="D286" s="521"/>
      <c r="K286" s="1330"/>
      <c r="L286" s="1806"/>
      <c r="M286" s="1806"/>
      <c r="N286" s="1330"/>
      <c r="O286" s="1330"/>
      <c r="P286" s="1330"/>
      <c r="Q286" s="1330"/>
      <c r="R286" s="1806"/>
      <c r="S286" s="1330"/>
      <c r="T286" s="1330"/>
      <c r="U286" s="714"/>
      <c r="V286" s="1330"/>
      <c r="W286" s="1330"/>
      <c r="X286" s="1330"/>
      <c r="Y286" s="1330"/>
      <c r="Z286" s="1330"/>
      <c r="AA286" s="1802"/>
      <c r="AB286" s="736"/>
      <c r="AC286" s="736"/>
      <c r="AD286" s="736"/>
      <c r="AE286" s="736"/>
      <c r="AF286" s="1811">
        <v>11</v>
      </c>
    </row>
    <row s="12668" customFormat="1" customHeight="1" ht="11.549999999999999">
      <c r="A287" s="1157"/>
      <c r="B287" s="1806"/>
      <c r="C287" s="1806"/>
      <c r="D287" s="521"/>
      <c r="K287" s="1330"/>
      <c r="L287" s="1806"/>
      <c r="M287" s="1806"/>
      <c r="N287" s="1330"/>
      <c r="O287" s="1330"/>
      <c r="P287" s="1330"/>
      <c r="Q287" s="1330"/>
      <c r="R287" s="1806"/>
      <c r="S287" s="1330"/>
      <c r="T287" s="1330"/>
      <c r="U287" s="714"/>
      <c r="V287" s="1330"/>
      <c r="W287" s="1330"/>
      <c r="X287" s="1330"/>
      <c r="Y287" s="1330"/>
      <c r="Z287" s="1330"/>
      <c r="AA287" s="1802"/>
      <c r="AB287" s="736"/>
      <c r="AC287" s="736"/>
      <c r="AD287" s="736"/>
      <c r="AE287" s="736"/>
      <c r="AF287" s="1811">
        <v>11</v>
      </c>
    </row>
    <row s="12668" customFormat="1" customHeight="1" ht="11.549999999999999">
      <c r="A288" s="1157"/>
      <c r="B288" s="1806"/>
      <c r="C288" s="1806"/>
      <c r="D288" s="521"/>
      <c r="K288" s="1330"/>
      <c r="L288" s="1806"/>
      <c r="M288" s="1806"/>
      <c r="N288" s="1330"/>
      <c r="O288" s="1330"/>
      <c r="P288" s="1330"/>
      <c r="Q288" s="1330"/>
      <c r="R288" s="1806"/>
      <c r="S288" s="1330"/>
      <c r="T288" s="1330"/>
      <c r="U288" s="714"/>
      <c r="V288" s="1330"/>
      <c r="W288" s="1330"/>
      <c r="X288" s="1330"/>
      <c r="Y288" s="1330"/>
      <c r="Z288" s="1330"/>
      <c r="AA288" s="1802"/>
      <c r="AB288" s="736"/>
      <c r="AC288" s="736"/>
      <c r="AD288" s="736"/>
      <c r="AE288" s="736"/>
      <c r="AF288" s="1811">
        <v>11</v>
      </c>
    </row>
    <row customHeight="1" ht="11.549999999999999">
      <c r="AF289" s="1801">
        <v>11</v>
      </c>
    </row>
    <row customHeight="1" ht="11.549999999999999">
      <c r="AF290" s="1801">
        <v>11</v>
      </c>
    </row>
    <row customHeight="1" ht="11.549999999999999">
      <c r="AF291" s="1801">
        <v>11</v>
      </c>
    </row>
    <row customHeight="1" ht="11.549999999999999">
      <c r="A292" s="1160"/>
      <c r="B292" s="1801"/>
      <c r="D292" s="1801"/>
      <c r="K292" s="1801"/>
      <c r="N292" s="1801"/>
      <c r="O292" s="1801"/>
      <c r="P292" s="1801"/>
      <c r="Q292" s="1801"/>
      <c r="S292" s="1801"/>
      <c r="T292" s="1801"/>
      <c r="U292" s="1801"/>
      <c r="V292" s="1801"/>
      <c r="W292" s="1801"/>
      <c r="X292" s="1801"/>
      <c r="Y292" s="1801"/>
      <c r="Z292" s="1801"/>
      <c r="AA292" s="1801"/>
      <c r="AB292" s="1801"/>
      <c r="AC292" s="1801"/>
      <c r="AD292" s="1801"/>
      <c r="AE292" s="1801"/>
      <c r="AF292" s="1801">
        <v>11</v>
      </c>
    </row>
    <row customHeight="1" ht="11.549999999999999">
      <c r="A293" s="1160"/>
      <c r="B293" s="1801"/>
      <c r="D293" s="1801"/>
      <c r="K293" s="1801"/>
      <c r="N293" s="1801"/>
      <c r="O293" s="1801"/>
      <c r="P293" s="1801"/>
      <c r="Q293" s="1801"/>
      <c r="S293" s="1801"/>
      <c r="T293" s="1801"/>
      <c r="U293" s="1801"/>
      <c r="V293" s="1801"/>
      <c r="W293" s="1801"/>
      <c r="X293" s="1801"/>
      <c r="Y293" s="1801"/>
      <c r="Z293" s="1801"/>
      <c r="AA293" s="1801"/>
      <c r="AB293" s="1801"/>
      <c r="AC293" s="1801"/>
      <c r="AD293" s="1801"/>
      <c r="AE293" s="1801"/>
      <c r="AF293" s="1801">
        <v>11</v>
      </c>
    </row>
    <row customHeight="1" ht="11.549999999999999">
      <c r="A294" s="1160"/>
      <c r="B294" s="1801"/>
      <c r="D294" s="1801"/>
      <c r="K294" s="1801"/>
      <c r="N294" s="1801"/>
      <c r="O294" s="1801"/>
      <c r="P294" s="1801"/>
      <c r="Q294" s="1801"/>
      <c r="S294" s="1801"/>
      <c r="T294" s="1801"/>
      <c r="U294" s="1801"/>
      <c r="V294" s="1801"/>
      <c r="W294" s="1801"/>
      <c r="X294" s="1801"/>
      <c r="Y294" s="1801"/>
      <c r="Z294" s="1801"/>
      <c r="AA294" s="1801"/>
      <c r="AB294" s="1801"/>
      <c r="AC294" s="1801"/>
      <c r="AD294" s="1801"/>
      <c r="AE294" s="1801"/>
      <c r="AF294" s="1801">
        <v>11</v>
      </c>
    </row>
    <row customHeight="1" ht="11.549999999999999">
      <c r="A295" s="1160"/>
      <c r="B295" s="1801"/>
      <c r="D295" s="1801"/>
      <c r="K295" s="1801"/>
      <c r="N295" s="1801"/>
      <c r="O295" s="1801"/>
      <c r="P295" s="1801"/>
      <c r="Q295" s="1801"/>
      <c r="S295" s="1801"/>
      <c r="T295" s="1801"/>
      <c r="U295" s="1801"/>
      <c r="V295" s="1801"/>
      <c r="W295" s="1801"/>
      <c r="X295" s="1801"/>
      <c r="Y295" s="1801"/>
      <c r="Z295" s="1801"/>
      <c r="AA295" s="1801"/>
      <c r="AB295" s="1801"/>
      <c r="AC295" s="1801"/>
      <c r="AD295" s="1801"/>
      <c r="AE295" s="1801"/>
      <c r="AF295" s="1801">
        <v>11</v>
      </c>
    </row>
    <row customHeight="1" ht="11.549999999999999">
      <c r="A296" s="1160"/>
      <c r="B296" s="1801"/>
      <c r="D296" s="1801"/>
      <c r="K296" s="1801"/>
      <c r="N296" s="1801"/>
      <c r="O296" s="1801"/>
      <c r="P296" s="1801"/>
      <c r="Q296" s="1801"/>
      <c r="S296" s="1801"/>
      <c r="T296" s="1801"/>
      <c r="U296" s="1801"/>
      <c r="V296" s="1801"/>
      <c r="W296" s="1801"/>
      <c r="X296" s="1801"/>
      <c r="Y296" s="1801"/>
      <c r="Z296" s="1801"/>
      <c r="AA296" s="1801"/>
      <c r="AB296" s="1801"/>
      <c r="AC296" s="1801"/>
      <c r="AD296" s="1801"/>
      <c r="AE296" s="1801"/>
      <c r="AF296" s="1801">
        <v>11</v>
      </c>
    </row>
    <row customHeight="1" ht="11.549999999999999">
      <c r="A297" s="1160"/>
      <c r="B297" s="1801"/>
      <c r="D297" s="1801"/>
      <c r="K297" s="1801"/>
      <c r="N297" s="1801"/>
      <c r="O297" s="1801"/>
      <c r="P297" s="1801"/>
      <c r="Q297" s="1801"/>
      <c r="S297" s="1801"/>
      <c r="T297" s="1801"/>
      <c r="U297" s="1801"/>
      <c r="V297" s="1801"/>
      <c r="W297" s="1801"/>
      <c r="X297" s="1801"/>
      <c r="Y297" s="1801"/>
      <c r="Z297" s="1801"/>
      <c r="AA297" s="1801"/>
      <c r="AB297" s="1801"/>
      <c r="AC297" s="1801"/>
      <c r="AD297" s="1801"/>
      <c r="AE297" s="1801"/>
      <c r="AF297" s="1801">
        <v>11</v>
      </c>
    </row>
    <row customHeight="1" ht="11.549999999999999">
      <c r="A298" s="1160"/>
      <c r="B298" s="1801"/>
      <c r="D298" s="1801"/>
      <c r="K298" s="1801"/>
      <c r="N298" s="1801"/>
      <c r="O298" s="1801"/>
      <c r="P298" s="1801"/>
      <c r="Q298" s="1801"/>
      <c r="S298" s="1801"/>
      <c r="T298" s="1801"/>
      <c r="U298" s="1801"/>
      <c r="V298" s="1801"/>
      <c r="W298" s="1801"/>
      <c r="X298" s="1801"/>
      <c r="Y298" s="1801"/>
      <c r="Z298" s="1801"/>
      <c r="AA298" s="1801"/>
      <c r="AB298" s="1801"/>
      <c r="AC298" s="1801"/>
      <c r="AD298" s="1801"/>
      <c r="AE298" s="1801"/>
      <c r="AF298" s="1801">
        <v>11</v>
      </c>
    </row>
    <row customHeight="1" ht="11.549999999999999">
      <c r="A299" s="1160"/>
      <c r="B299" s="1801"/>
      <c r="D299" s="1801"/>
      <c r="K299" s="1801"/>
      <c r="N299" s="1801"/>
      <c r="O299" s="1801"/>
      <c r="P299" s="1801"/>
      <c r="Q299" s="1801"/>
      <c r="S299" s="1801"/>
      <c r="T299" s="1801"/>
      <c r="U299" s="1801"/>
      <c r="V299" s="1801"/>
      <c r="W299" s="1801"/>
      <c r="X299" s="1801"/>
      <c r="Y299" s="1801"/>
      <c r="Z299" s="1801"/>
      <c r="AA299" s="1801"/>
      <c r="AB299" s="1801"/>
      <c r="AC299" s="1801"/>
      <c r="AD299" s="1801"/>
      <c r="AE299" s="1801"/>
      <c r="AF299" s="1801">
        <v>11</v>
      </c>
    </row>
    <row customHeight="1" ht="11.549999999999999">
      <c r="A300" s="1160"/>
      <c r="B300" s="1801"/>
      <c r="D300" s="1801"/>
      <c r="K300" s="1801"/>
      <c r="N300" s="1801"/>
      <c r="O300" s="1801"/>
      <c r="P300" s="1801"/>
      <c r="Q300" s="1801"/>
      <c r="S300" s="1801"/>
      <c r="T300" s="1801"/>
      <c r="U300" s="1801"/>
      <c r="V300" s="1801"/>
      <c r="W300" s="1801"/>
      <c r="X300" s="1801"/>
      <c r="Y300" s="1801"/>
      <c r="Z300" s="1801"/>
      <c r="AA300" s="1801"/>
      <c r="AB300" s="1801"/>
      <c r="AC300" s="1801"/>
      <c r="AD300" s="1801"/>
      <c r="AE300" s="1801"/>
      <c r="AF300" s="1801">
        <v>11</v>
      </c>
    </row>
    <row customHeight="1" ht="11.549999999999999">
      <c r="A301" s="1160"/>
      <c r="B301" s="1801"/>
      <c r="D301" s="1801"/>
      <c r="K301" s="1801"/>
      <c r="N301" s="1801"/>
      <c r="O301" s="1801"/>
      <c r="P301" s="1801"/>
      <c r="Q301" s="1801"/>
      <c r="S301" s="1801"/>
      <c r="T301" s="1801"/>
      <c r="U301" s="1801"/>
      <c r="V301" s="1801"/>
      <c r="W301" s="1801"/>
      <c r="X301" s="1801"/>
      <c r="Y301" s="1801"/>
      <c r="Z301" s="1801"/>
      <c r="AA301" s="1801"/>
      <c r="AB301" s="1801"/>
      <c r="AC301" s="1801"/>
      <c r="AD301" s="1801"/>
      <c r="AE301" s="1801"/>
      <c r="AF301" s="1801">
        <v>11</v>
      </c>
    </row>
    <row customHeight="1" ht="11.549999999999999">
      <c r="A302" s="1160"/>
      <c r="B302" s="1801"/>
      <c r="D302" s="1801"/>
      <c r="K302" s="1801"/>
      <c r="N302" s="1801"/>
      <c r="O302" s="1801"/>
      <c r="P302" s="1801"/>
      <c r="Q302" s="1801"/>
      <c r="S302" s="1801"/>
      <c r="T302" s="1801"/>
      <c r="U302" s="1801"/>
      <c r="V302" s="1801"/>
      <c r="W302" s="1801"/>
      <c r="X302" s="1801"/>
      <c r="Y302" s="1801"/>
      <c r="Z302" s="1801"/>
      <c r="AA302" s="1801"/>
      <c r="AB302" s="1801"/>
      <c r="AC302" s="1801"/>
      <c r="AD302" s="1801"/>
      <c r="AE302" s="1801"/>
      <c r="AF302" s="1801">
        <v>11</v>
      </c>
    </row>
    <row customHeight="1" ht="11.25" hidden="1">
      <c r="A303" s="1157" t="s">
        <v>85</v>
      </c>
      <c r="B303" s="1330">
        <v>0</v>
      </c>
      <c r="C303" s="1806">
        <v>0</v>
      </c>
      <c r="D303" s="1805">
        <v>3</v>
      </c>
      <c r="E303" s="1801">
        <v>7</v>
      </c>
      <c r="F303" s="1801">
        <v>54</v>
      </c>
      <c r="G303" s="1801">
        <v>10</v>
      </c>
      <c r="H303" s="1801">
        <v>0</v>
      </c>
      <c r="I303" s="1801">
        <v>40</v>
      </c>
      <c r="J303" s="1801">
        <v>102</v>
      </c>
      <c r="K303" s="1330">
        <v>9</v>
      </c>
      <c r="L303" s="1806">
        <v>5</v>
      </c>
      <c r="M303" s="1806">
        <v>3</v>
      </c>
      <c r="N303" s="1330">
        <v>3</v>
      </c>
      <c r="O303" s="1330">
        <v>3</v>
      </c>
      <c r="P303" s="1330">
        <v>3</v>
      </c>
      <c r="Q303" s="1330">
        <v>3</v>
      </c>
      <c r="R303" s="1806">
        <v>10</v>
      </c>
      <c r="S303" s="1330">
        <v>34</v>
      </c>
      <c r="T303" s="1330">
        <v>9</v>
      </c>
      <c r="U303" s="714">
        <v>8</v>
      </c>
      <c r="V303" s="1330">
        <v>8</v>
      </c>
      <c r="W303" s="1330">
        <v>8</v>
      </c>
      <c r="X303" s="1330">
        <v>8</v>
      </c>
      <c r="Y303" s="1330">
        <v>8</v>
      </c>
      <c r="Z303" s="1330">
        <v>8</v>
      </c>
      <c r="AA303" s="1802">
        <v>8</v>
      </c>
      <c r="AB303" s="1802">
        <v>8</v>
      </c>
      <c r="AC303" s="1802">
        <v>8</v>
      </c>
      <c r="AD303" s="1802">
        <v>8</v>
      </c>
      <c r="AE303" s="1802">
        <v>8</v>
      </c>
      <c r="AF303" s="180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75C995-07CA-8C02-00D3-D265E77313FB}"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14605" width="14.7109375" hidden="1" customWidth="1"/>
    <col min="2" max="2" style="11877" width="17.00390625" hidden="1" customWidth="1"/>
    <col min="3" max="3" style="11913" width="3.00390625" customWidth="1"/>
    <col min="4" max="4" style="11913" width="1.8515625" hidden="1" customWidth="1"/>
    <col min="5" max="6" style="11913" width="7.00390625" customWidth="1"/>
    <col min="7" max="7" style="11913" width="29.00390625" customWidth="1"/>
    <col min="8" max="8" style="11913" width="3.7109375" customWidth="1"/>
    <col min="9" max="9" style="11913" width="5.00390625" customWidth="1"/>
    <col min="10" max="11" style="11913" width="24.00390625" customWidth="1"/>
    <col min="12" max="12" style="11913" width="3.00390625" customWidth="1"/>
    <col min="13" max="13" style="11913" width="6.00390625" customWidth="1"/>
    <col min="14" max="14" style="11913" width="25.00390625" customWidth="1"/>
    <col min="15" max="18" style="11913" width="18.00390625" customWidth="1"/>
    <col min="19" max="19" style="11913" width="93.00390625" customWidth="1"/>
    <col min="20" max="20" style="11913" width="10.00390625" customWidth="1"/>
    <col min="21" max="21" style="11993" width="10.00390625" customWidth="1"/>
    <col min="22" max="22" style="11993" width="11.00390625" customWidth="1"/>
    <col min="23" max="27" style="11877" width="10.00390625" customWidth="1"/>
    <col min="28" max="83" style="11913" width="8.00390625" customWidth="1"/>
    <col min="84" max="84" style="11913" width="9.140625" hidden="1"/>
  </cols>
  <sheetData>
    <row customHeight="1" ht="22.5" hidden="1">
      <c r="CF1" s="675" t="s">
        <v>14</v>
      </c>
    </row>
    <row customHeight="1" ht="11.25" hidden="1">
      <c r="CF2" s="675">
        <v>0</v>
      </c>
    </row>
    <row customHeight="1" ht="11.25" hidden="1">
      <c r="CF3" s="675">
        <v>0</v>
      </c>
    </row>
    <row customHeight="1" ht="3">
      <c r="C4" s="679"/>
      <c r="D4" s="679"/>
      <c r="E4" s="679"/>
      <c r="F4" s="679"/>
      <c r="G4" s="679"/>
      <c r="H4" s="679"/>
      <c r="I4" s="679"/>
      <c r="J4" s="679"/>
      <c r="K4" s="336"/>
      <c r="L4" s="336"/>
      <c r="M4" s="336"/>
      <c r="CF4" s="675">
        <v>3</v>
      </c>
    </row>
    <row customHeight="1" ht="29.25">
      <c r="C5" s="679"/>
      <c r="D5" s="1227"/>
      <c r="E5" s="2407" t="str">
        <f>FHD20_NAME_FORM</f>
        <v>Форма 11. Информация о расходах на капитальный и текущий ремонт основных средств</v>
      </c>
      <c r="F5" s="2407"/>
      <c r="G5" s="2407"/>
      <c r="H5" s="2407"/>
      <c r="I5" s="2407"/>
      <c r="J5" s="2407"/>
      <c r="K5" s="2407"/>
      <c r="L5" s="783"/>
      <c r="M5" s="783"/>
      <c r="CF5" s="675">
        <v>28</v>
      </c>
    </row>
    <row s="11913" customFormat="1" customHeight="1" ht="16.8">
      <c r="A6" s="780"/>
      <c r="B6" s="929"/>
      <c r="C6" s="679"/>
      <c r="D6" s="1228"/>
      <c r="E6" s="2346" t="str">
        <f>IF(org=0,"Не определено",org)</f>
        <v>Филиал "Шатурская ГРЭС" ПАО "Юнипро"</v>
      </c>
      <c r="F6" s="2346"/>
      <c r="G6" s="2346"/>
      <c r="H6" s="2346"/>
      <c r="I6" s="2346"/>
      <c r="J6" s="2346"/>
      <c r="K6" s="2346"/>
      <c r="L6" s="783"/>
      <c r="M6" s="783"/>
      <c r="U6" s="781"/>
      <c r="V6" s="781"/>
      <c r="W6" s="782"/>
      <c r="X6" s="929"/>
      <c r="Y6" s="929"/>
      <c r="Z6" s="929"/>
      <c r="AA6" s="929"/>
      <c r="CF6" s="928">
        <v>16</v>
      </c>
    </row>
    <row customHeight="1" ht="11.549999999999999">
      <c r="C7" s="679"/>
      <c r="D7" s="679"/>
      <c r="E7" s="679"/>
      <c r="F7" s="679"/>
      <c r="G7" s="692"/>
      <c r="H7" s="692"/>
      <c r="I7" s="692"/>
      <c r="J7" s="692"/>
      <c r="K7" s="784"/>
      <c r="L7" s="784"/>
      <c r="M7" s="784"/>
      <c r="R7" s="922"/>
      <c r="CF7" s="675">
        <v>11</v>
      </c>
    </row>
    <row s="12668" customFormat="1" customHeight="1" ht="4.2">
      <c r="A8" s="791"/>
      <c r="B8" s="736"/>
      <c r="C8" s="521"/>
      <c r="D8" s="521"/>
      <c r="E8" s="521"/>
      <c r="F8" s="521"/>
      <c r="G8" s="1145"/>
      <c r="H8" s="1145"/>
      <c r="I8" s="1145"/>
      <c r="J8" s="1145"/>
      <c r="K8" s="1188"/>
      <c r="L8" s="1188"/>
      <c r="M8" s="1188"/>
      <c r="R8" s="1189"/>
      <c r="U8" s="781"/>
      <c r="V8" s="781"/>
      <c r="W8" s="792"/>
      <c r="X8" s="736"/>
      <c r="Y8" s="736"/>
      <c r="Z8" s="736"/>
      <c r="AA8" s="736"/>
      <c r="CF8" s="666">
        <v>4</v>
      </c>
    </row>
    <row customHeight="1" ht="19.95">
      <c r="D9" s="459"/>
      <c r="E9" s="2271" t="s">
        <v>312</v>
      </c>
      <c r="F9" s="2272"/>
      <c r="G9" s="2272"/>
      <c r="H9" s="2272"/>
      <c r="I9" s="2272"/>
      <c r="J9" s="2272"/>
      <c r="K9" s="2272"/>
      <c r="L9" s="2272"/>
      <c r="M9" s="2272"/>
      <c r="N9" s="2272"/>
      <c r="O9" s="2272"/>
      <c r="P9" s="2272"/>
      <c r="Q9" s="2272"/>
      <c r="R9" s="2273"/>
      <c r="S9" s="2297" t="s">
        <v>313</v>
      </c>
      <c r="T9" s="504"/>
      <c r="CF9" s="675">
        <v>19</v>
      </c>
    </row>
    <row customHeight="1" ht="48.29999999999999">
      <c r="D10" s="721" t="s">
        <v>91</v>
      </c>
      <c r="E10" s="2297" t="s">
        <v>91</v>
      </c>
      <c r="F10" s="2297"/>
      <c r="G10" s="691" t="s">
        <v>314</v>
      </c>
      <c r="H10" s="2297" t="s">
        <v>91</v>
      </c>
      <c r="I10" s="2297"/>
      <c r="J10" s="691" t="s">
        <v>617</v>
      </c>
      <c r="K10" s="691" t="s">
        <v>618</v>
      </c>
      <c r="L10" s="2297" t="s">
        <v>91</v>
      </c>
      <c r="M10" s="2297"/>
      <c r="N10" s="691" t="s">
        <v>619</v>
      </c>
      <c r="O10" s="691" t="s">
        <v>620</v>
      </c>
      <c r="P10" s="691" t="s">
        <v>621</v>
      </c>
      <c r="Q10" s="691" t="s">
        <v>622</v>
      </c>
      <c r="R10" s="691" t="s">
        <v>623</v>
      </c>
      <c r="S10" s="2297"/>
      <c r="T10" s="504"/>
      <c r="CF10" s="675">
        <v>46</v>
      </c>
    </row>
    <row s="11993" customFormat="1" customHeight="1" ht="15" hidden="1">
      <c r="A11" s="1222"/>
      <c r="D11" s="1195" t="s">
        <v>112</v>
      </c>
      <c r="E11" s="1195"/>
      <c r="F11" s="1195" t="s">
        <v>113</v>
      </c>
      <c r="G11" s="1195" t="s">
        <v>93</v>
      </c>
      <c r="H11" s="1195"/>
      <c r="I11" s="1195" t="s">
        <v>94</v>
      </c>
      <c r="J11" s="1195" t="s">
        <v>114</v>
      </c>
      <c r="K11" s="1195" t="s">
        <v>95</v>
      </c>
      <c r="L11" s="1195"/>
      <c r="M11" s="1195" t="s">
        <v>96</v>
      </c>
      <c r="N11" s="1195" t="s">
        <v>115</v>
      </c>
      <c r="O11" s="1195" t="s">
        <v>151</v>
      </c>
      <c r="P11" s="1195" t="s">
        <v>152</v>
      </c>
      <c r="Q11" s="1195" t="s">
        <v>153</v>
      </c>
      <c r="R11" s="1195" t="s">
        <v>154</v>
      </c>
      <c r="S11" s="1195" t="s">
        <v>155</v>
      </c>
      <c r="U11" s="781"/>
      <c r="V11" s="781"/>
      <c r="W11" s="781"/>
      <c r="CF11" s="681">
        <v>0</v>
      </c>
    </row>
    <row s="11913" customFormat="1" customHeight="1" ht="1.05">
      <c r="A12" s="785"/>
      <c r="B12" s="532"/>
      <c r="D12" s="718"/>
      <c r="E12" s="516"/>
      <c r="F12" s="516"/>
      <c r="Q12" s="786"/>
      <c r="R12" s="787"/>
      <c r="T12" s="788"/>
      <c r="U12" s="789"/>
      <c r="V12" s="789"/>
      <c r="W12" s="790"/>
      <c r="X12" s="532"/>
      <c r="Y12" s="532"/>
      <c r="Z12" s="532"/>
      <c r="AA12" s="532"/>
      <c r="CF12" s="679">
        <v>1</v>
      </c>
    </row>
    <row s="12668" customFormat="1" customHeight="1" ht="1.05">
      <c r="A13" s="791"/>
      <c r="B13" s="736"/>
      <c r="D13" s="718" t="s">
        <v>388</v>
      </c>
      <c r="E13" s="730"/>
      <c r="F13" s="730"/>
      <c r="G13" s="730"/>
      <c r="H13" s="730"/>
      <c r="I13" s="730"/>
      <c r="J13" s="730"/>
      <c r="K13" s="730"/>
      <c r="L13" s="730"/>
      <c r="M13" s="730"/>
      <c r="N13" s="730"/>
      <c r="O13" s="730"/>
      <c r="P13" s="730"/>
      <c r="Q13" s="730"/>
      <c r="R13" s="730"/>
      <c r="T13" s="504"/>
      <c r="U13" s="781"/>
      <c r="V13" s="781"/>
      <c r="W13" s="792"/>
      <c r="X13" s="736"/>
      <c r="Y13" s="736"/>
      <c r="Z13" s="736"/>
      <c r="AA13" s="736"/>
      <c r="CF13" s="666">
        <v>1</v>
      </c>
    </row>
    <row s="12053" customFormat="1" customHeight="1" ht="15" hidden="1">
      <c r="A14" s="793" t="s">
        <v>120</v>
      </c>
      <c r="B14" s="794"/>
      <c r="C14" s="794"/>
      <c r="D14" s="2550" t="s">
        <v>112</v>
      </c>
      <c r="E14" s="2547" t="s">
        <v>108</v>
      </c>
      <c r="F14" s="2548"/>
      <c r="G14" s="2549"/>
      <c r="H14" s="2553">
        <f>IF(A14="","",INDEX(DIFFERENTIATION_UNMERGE_VD,MATCH(A14,DIFFERENTIATION_ID_DIFF,0)))</f>
        <v>0</v>
      </c>
      <c r="I14" s="2553"/>
      <c r="J14" s="2553"/>
      <c r="K14" s="2553"/>
      <c r="L14" s="2553"/>
      <c r="M14" s="2553"/>
      <c r="N14" s="2553"/>
      <c r="O14" s="2553"/>
      <c r="P14" s="2553"/>
      <c r="Q14" s="2553"/>
      <c r="R14" s="2553"/>
      <c r="S14" s="889"/>
      <c r="T14" s="886"/>
      <c r="U14" s="795"/>
      <c r="V14" s="795"/>
      <c r="W14" s="796"/>
      <c r="X14" s="796"/>
      <c r="Y14" s="796"/>
      <c r="Z14" s="796"/>
      <c r="AA14" s="797"/>
      <c r="AB14" s="798"/>
      <c r="AC14" s="2545"/>
      <c r="AD14" s="799"/>
      <c r="AE14" s="800" t="s">
        <v>28</v>
      </c>
      <c r="AF14" s="800"/>
      <c r="AG14" s="801" t="s">
        <v>624</v>
      </c>
      <c r="AH14" s="802">
        <v>3</v>
      </c>
      <c r="AI14" s="795"/>
      <c r="AJ14" s="795"/>
      <c r="AK14" s="795"/>
      <c r="AL14" s="795"/>
      <c r="AM14" s="795"/>
      <c r="AN14" s="795"/>
      <c r="AO14" s="795"/>
      <c r="AP14" s="795"/>
      <c r="AQ14" s="795"/>
      <c r="AR14" s="795"/>
      <c r="AS14" s="795"/>
      <c r="AT14" s="795"/>
      <c r="AU14" s="795"/>
      <c r="AV14" s="795"/>
      <c r="AW14" s="795"/>
      <c r="AX14" s="795"/>
      <c r="AY14" s="795"/>
      <c r="AZ14" s="795"/>
      <c r="BA14" s="795"/>
      <c r="BB14" s="795"/>
      <c r="BC14" s="795"/>
      <c r="BD14" s="795"/>
      <c r="BE14" s="795"/>
      <c r="BF14" s="795"/>
      <c r="BG14" s="795"/>
      <c r="BH14" s="795"/>
      <c r="BI14" s="795"/>
      <c r="BJ14" s="795"/>
      <c r="BK14" s="795"/>
      <c r="BL14" s="795"/>
      <c r="BM14" s="795"/>
      <c r="BN14" s="795"/>
      <c r="BO14" s="795"/>
      <c r="BP14" s="795"/>
      <c r="BQ14" s="795"/>
      <c r="BR14" s="795"/>
      <c r="BS14" s="795"/>
      <c r="BT14" s="795"/>
      <c r="BU14" s="795"/>
      <c r="BV14" s="796"/>
      <c r="BW14" s="796"/>
      <c r="BX14" s="796"/>
      <c r="BY14" s="796"/>
      <c r="BZ14" s="796"/>
      <c r="CA14" s="796"/>
      <c r="CB14" s="796"/>
      <c r="CC14" s="796"/>
      <c r="CD14" s="796"/>
      <c r="CE14" s="796"/>
      <c r="CF14" s="463">
        <v>0</v>
      </c>
    </row>
    <row s="12053" customFormat="1" customHeight="1" ht="15" hidden="1">
      <c r="A15" s="793"/>
      <c r="B15" s="794"/>
      <c r="C15" s="794"/>
      <c r="D15" s="2551"/>
      <c r="E15" s="2547" t="s">
        <v>579</v>
      </c>
      <c r="F15" s="2548"/>
      <c r="G15" s="2549"/>
      <c r="H15" s="2553" t="str">
        <f>IF(A14="","",INDEX(DIFFERENTIATION_UNMERGE_AREA,MATCH(A14,DIFFERENTIATION_ID_DIFF,0)))</f>
        <v/>
      </c>
      <c r="I15" s="2553"/>
      <c r="J15" s="2553"/>
      <c r="K15" s="2553"/>
      <c r="L15" s="2553"/>
      <c r="M15" s="2553"/>
      <c r="N15" s="2553"/>
      <c r="O15" s="2553"/>
      <c r="P15" s="2553"/>
      <c r="Q15" s="2553"/>
      <c r="R15" s="2553"/>
      <c r="S15" s="889"/>
      <c r="T15" s="886"/>
      <c r="U15" s="795"/>
      <c r="V15" s="795"/>
      <c r="W15" s="796"/>
      <c r="X15" s="796"/>
      <c r="Y15" s="796"/>
      <c r="Z15" s="796"/>
      <c r="AA15" s="797"/>
      <c r="AB15" s="798"/>
      <c r="AC15" s="2545"/>
      <c r="AD15" s="799"/>
      <c r="AE15" s="800"/>
      <c r="AF15" s="800"/>
      <c r="AG15" s="801"/>
      <c r="AH15" s="802"/>
      <c r="AI15" s="795"/>
      <c r="AJ15" s="795"/>
      <c r="AK15" s="795"/>
      <c r="AL15" s="795"/>
      <c r="AM15" s="795"/>
      <c r="AN15" s="795"/>
      <c r="AO15" s="795"/>
      <c r="AP15" s="795"/>
      <c r="AQ15" s="795"/>
      <c r="AR15" s="795"/>
      <c r="AS15" s="795"/>
      <c r="AT15" s="795"/>
      <c r="AU15" s="795"/>
      <c r="AV15" s="795"/>
      <c r="AW15" s="795"/>
      <c r="AX15" s="795"/>
      <c r="AY15" s="795"/>
      <c r="AZ15" s="795"/>
      <c r="BA15" s="795"/>
      <c r="BB15" s="795"/>
      <c r="BC15" s="795"/>
      <c r="BD15" s="795"/>
      <c r="BE15" s="795"/>
      <c r="BF15" s="795"/>
      <c r="BG15" s="795"/>
      <c r="BH15" s="795"/>
      <c r="BI15" s="795"/>
      <c r="BJ15" s="795"/>
      <c r="BK15" s="795"/>
      <c r="BL15" s="795"/>
      <c r="BM15" s="795"/>
      <c r="BN15" s="795"/>
      <c r="BO15" s="795"/>
      <c r="BP15" s="795"/>
      <c r="BQ15" s="795"/>
      <c r="BR15" s="795"/>
      <c r="BS15" s="795"/>
      <c r="BT15" s="795"/>
      <c r="BU15" s="795"/>
      <c r="BV15" s="796"/>
      <c r="BW15" s="796"/>
      <c r="BX15" s="796"/>
      <c r="BY15" s="796"/>
      <c r="BZ15" s="796"/>
      <c r="CA15" s="796"/>
      <c r="CB15" s="796"/>
      <c r="CC15" s="796"/>
      <c r="CD15" s="796"/>
      <c r="CE15" s="796"/>
      <c r="CF15" s="463">
        <v>0</v>
      </c>
    </row>
    <row s="12053" customFormat="1" customHeight="1" ht="15" hidden="1">
      <c r="A16" s="793"/>
      <c r="B16" s="794"/>
      <c r="C16" s="794"/>
      <c r="D16" s="2551"/>
      <c r="E16" s="2547" t="s">
        <v>580</v>
      </c>
      <c r="F16" s="2548"/>
      <c r="G16" s="2549"/>
      <c r="H16" s="2553" t="str">
        <f>IF(A14="","",INDEX(DIFFERENTIATION_UNMERGE_SYSTEM,MATCH(A14,DIFFERENTIATION_ID_DIFF,0)))</f>
        <v>без дифференциации</v>
      </c>
      <c r="I16" s="2553"/>
      <c r="J16" s="2553"/>
      <c r="K16" s="2553"/>
      <c r="L16" s="2553"/>
      <c r="M16" s="2553"/>
      <c r="N16" s="2553"/>
      <c r="O16" s="2553"/>
      <c r="P16" s="2553"/>
      <c r="Q16" s="2553"/>
      <c r="R16" s="2553"/>
      <c r="S16" s="889"/>
      <c r="T16" s="886"/>
      <c r="U16" s="795"/>
      <c r="V16" s="795"/>
      <c r="W16" s="796"/>
      <c r="X16" s="796"/>
      <c r="Y16" s="796"/>
      <c r="Z16" s="796"/>
      <c r="AA16" s="797"/>
      <c r="AB16" s="798"/>
      <c r="AC16" s="2545"/>
      <c r="AD16" s="799"/>
      <c r="AE16" s="800"/>
      <c r="AF16" s="800"/>
      <c r="AG16" s="801"/>
      <c r="AH16" s="802"/>
      <c r="AI16" s="795"/>
      <c r="AJ16" s="795"/>
      <c r="AK16" s="795"/>
      <c r="AL16" s="795"/>
      <c r="AM16" s="795"/>
      <c r="AN16" s="795"/>
      <c r="AO16" s="795"/>
      <c r="AP16" s="795"/>
      <c r="AQ16" s="795"/>
      <c r="AR16" s="795"/>
      <c r="AS16" s="795"/>
      <c r="AT16" s="795"/>
      <c r="AU16" s="795"/>
      <c r="AV16" s="795"/>
      <c r="AW16" s="795"/>
      <c r="AX16" s="795"/>
      <c r="AY16" s="795"/>
      <c r="AZ16" s="795"/>
      <c r="BA16" s="795"/>
      <c r="BB16" s="795"/>
      <c r="BC16" s="795"/>
      <c r="BD16" s="795"/>
      <c r="BE16" s="795"/>
      <c r="BF16" s="795"/>
      <c r="BG16" s="795"/>
      <c r="BH16" s="795"/>
      <c r="BI16" s="795"/>
      <c r="BJ16" s="795"/>
      <c r="BK16" s="795"/>
      <c r="BL16" s="795"/>
      <c r="BM16" s="795"/>
      <c r="BN16" s="795"/>
      <c r="BO16" s="795"/>
      <c r="BP16" s="795"/>
      <c r="BQ16" s="795"/>
      <c r="BR16" s="795"/>
      <c r="BS16" s="795"/>
      <c r="BT16" s="795"/>
      <c r="BU16" s="795"/>
      <c r="BV16" s="796"/>
      <c r="BW16" s="796"/>
      <c r="BX16" s="796"/>
      <c r="BY16" s="796"/>
      <c r="BZ16" s="796"/>
      <c r="CA16" s="796"/>
      <c r="CB16" s="796"/>
      <c r="CC16" s="796"/>
      <c r="CD16" s="796"/>
      <c r="CE16" s="796"/>
      <c r="CF16" s="463">
        <v>0</v>
      </c>
    </row>
    <row s="12053" customFormat="1" customHeight="1" ht="22.5" hidden="1">
      <c r="A17" s="803"/>
      <c r="B17" s="587"/>
      <c r="C17" s="582"/>
      <c r="D17" s="2551"/>
      <c r="E17" s="2546" t="s">
        <v>625</v>
      </c>
      <c r="F17" s="2546"/>
      <c r="G17" s="2546"/>
      <c r="H17" s="2546"/>
      <c r="I17" s="2546"/>
      <c r="J17" s="2546"/>
      <c r="K17" s="2546"/>
      <c r="L17" s="2546"/>
      <c r="M17" s="2546"/>
      <c r="N17" s="2546"/>
      <c r="O17" s="2546"/>
      <c r="P17" s="2546"/>
      <c r="Q17" s="728">
        <f>SUMIF(T18:T19,"i",Q18:Q19)</f>
        <v>0</v>
      </c>
      <c r="R17" s="1187"/>
      <c r="S17" s="1067" t="s">
        <v>626</v>
      </c>
      <c r="T17" s="887" t="s">
        <v>627</v>
      </c>
      <c r="U17" s="2544">
        <v>1</v>
      </c>
      <c r="V17" s="2544" t="str">
        <f>INDEX(B_FHD_FLAG_INDEX_1,1,MATCH(A14,B_FHD_FLAG_DIFFERENTIATION,0))</f>
        <v>отсутствует</v>
      </c>
      <c r="W17" s="587"/>
      <c r="X17" s="587"/>
      <c r="Y17" s="587"/>
      <c r="Z17" s="587"/>
      <c r="AA17" s="681"/>
      <c r="AB17" s="587"/>
      <c r="AC17" s="2545"/>
      <c r="AD17" s="799"/>
      <c r="AE17" s="587"/>
      <c r="AF17" s="587"/>
      <c r="AG17" s="681"/>
      <c r="AH17" s="681"/>
      <c r="AI17" s="681"/>
      <c r="AJ17" s="681"/>
      <c r="AK17" s="681"/>
      <c r="AL17" s="681"/>
      <c r="AM17" s="681"/>
      <c r="AN17" s="681"/>
      <c r="AO17" s="681"/>
      <c r="AP17" s="681"/>
      <c r="AQ17" s="681"/>
      <c r="AR17" s="681"/>
      <c r="AS17" s="681"/>
      <c r="AT17" s="681"/>
      <c r="AU17" s="681"/>
      <c r="AV17" s="681"/>
      <c r="AW17" s="681"/>
      <c r="AX17" s="681"/>
      <c r="AY17" s="681"/>
      <c r="AZ17" s="681"/>
      <c r="BA17" s="681"/>
      <c r="BB17" s="681"/>
      <c r="BC17" s="681"/>
      <c r="BD17" s="681"/>
      <c r="BE17" s="681"/>
      <c r="BF17" s="681"/>
      <c r="BG17" s="681"/>
      <c r="BH17" s="681"/>
      <c r="BI17" s="681"/>
      <c r="BJ17" s="681"/>
      <c r="BK17" s="681"/>
      <c r="BL17" s="681"/>
      <c r="BM17" s="681"/>
      <c r="BN17" s="681"/>
      <c r="BO17" s="681"/>
      <c r="BP17" s="681"/>
      <c r="BQ17" s="681"/>
      <c r="BR17" s="681"/>
      <c r="BS17" s="681"/>
      <c r="BT17" s="681"/>
      <c r="BU17" s="681"/>
      <c r="BV17" s="587"/>
      <c r="BW17" s="587"/>
      <c r="BX17" s="587"/>
      <c r="BY17" s="587"/>
      <c r="BZ17" s="587"/>
      <c r="CA17" s="587"/>
      <c r="CB17" s="587"/>
      <c r="CC17" s="587"/>
      <c r="CD17" s="587"/>
      <c r="CE17" s="587"/>
      <c r="CF17" s="463">
        <v>0</v>
      </c>
    </row>
    <row s="12053" customFormat="1" customHeight="1" ht="11.25" hidden="1">
      <c r="A18" s="804"/>
      <c r="B18" s="681"/>
      <c r="C18" s="681"/>
      <c r="D18" s="2551"/>
      <c r="E18" s="805"/>
      <c r="F18" s="805">
        <v>0</v>
      </c>
      <c r="G18" s="805"/>
      <c r="H18" s="805"/>
      <c r="I18" s="805"/>
      <c r="J18" s="805"/>
      <c r="K18" s="805"/>
      <c r="L18" s="805"/>
      <c r="M18" s="805"/>
      <c r="N18" s="805"/>
      <c r="O18" s="805"/>
      <c r="P18" s="805"/>
      <c r="Q18" s="805"/>
      <c r="R18" s="805"/>
      <c r="S18" s="806"/>
      <c r="T18" s="888"/>
      <c r="U18" s="2544"/>
      <c r="V18" s="2544"/>
      <c r="W18" s="681"/>
      <c r="X18" s="681"/>
      <c r="Y18" s="681"/>
      <c r="Z18" s="681"/>
      <c r="AA18" s="681"/>
      <c r="AB18" s="587"/>
      <c r="AC18" s="2545"/>
      <c r="AD18" s="799"/>
      <c r="AE18" s="587"/>
      <c r="AF18" s="587"/>
      <c r="AG18" s="681"/>
      <c r="AH18" s="681"/>
      <c r="AI18" s="681"/>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1"/>
      <c r="BL18" s="681"/>
      <c r="BM18" s="681"/>
      <c r="BN18" s="681"/>
      <c r="BO18" s="681"/>
      <c r="BP18" s="681"/>
      <c r="BQ18" s="681"/>
      <c r="BR18" s="681"/>
      <c r="BS18" s="681"/>
      <c r="BT18" s="681"/>
      <c r="BU18" s="681"/>
      <c r="BV18" s="681"/>
      <c r="BW18" s="681"/>
      <c r="BX18" s="681"/>
      <c r="BY18" s="681"/>
      <c r="BZ18" s="681"/>
      <c r="CA18" s="681"/>
      <c r="CB18" s="681"/>
      <c r="CC18" s="681"/>
      <c r="CD18" s="681"/>
      <c r="CE18" s="681"/>
      <c r="CF18" s="463">
        <v>0</v>
      </c>
    </row>
    <row s="12053" customFormat="1" customHeight="1" ht="11.25" hidden="1">
      <c r="A19" s="803"/>
      <c r="B19" s="587"/>
      <c r="C19" s="582"/>
      <c r="D19" s="2551"/>
      <c r="E19" s="819" t="s">
        <v>28</v>
      </c>
      <c r="F19" s="820" t="s">
        <v>28</v>
      </c>
      <c r="G19" s="820" t="s">
        <v>28</v>
      </c>
      <c r="H19" s="821" t="s">
        <v>28</v>
      </c>
      <c r="I19" s="821"/>
      <c r="J19" s="821"/>
      <c r="K19" s="821"/>
      <c r="L19" s="821"/>
      <c r="M19" s="821"/>
      <c r="N19" s="821"/>
      <c r="O19" s="821"/>
      <c r="P19" s="821"/>
      <c r="Q19" s="821"/>
      <c r="R19" s="822"/>
      <c r="S19" s="1190"/>
      <c r="T19" s="888"/>
      <c r="U19" s="2544"/>
      <c r="V19" s="2544"/>
      <c r="W19" s="587"/>
      <c r="X19" s="587"/>
      <c r="Y19" s="587"/>
      <c r="Z19" s="587"/>
      <c r="AA19" s="681"/>
      <c r="AB19" s="587"/>
      <c r="AC19" s="2545"/>
      <c r="AD19" s="799"/>
      <c r="AE19" s="587"/>
      <c r="AF19" s="587"/>
      <c r="AG19" s="681"/>
      <c r="AH19" s="681"/>
      <c r="AI19" s="681"/>
      <c r="AJ19" s="681"/>
      <c r="AK19" s="681"/>
      <c r="AL19" s="681"/>
      <c r="AM19" s="681"/>
      <c r="AN19" s="681"/>
      <c r="AO19" s="681"/>
      <c r="AP19" s="681"/>
      <c r="AQ19" s="681"/>
      <c r="AR19" s="681"/>
      <c r="AS19" s="681"/>
      <c r="AT19" s="681"/>
      <c r="AU19" s="681"/>
      <c r="AV19" s="681"/>
      <c r="AW19" s="681"/>
      <c r="AX19" s="681"/>
      <c r="AY19" s="681"/>
      <c r="AZ19" s="681"/>
      <c r="BA19" s="681"/>
      <c r="BB19" s="681"/>
      <c r="BC19" s="681"/>
      <c r="BD19" s="681"/>
      <c r="BE19" s="681"/>
      <c r="BF19" s="681"/>
      <c r="BG19" s="681"/>
      <c r="BH19" s="681"/>
      <c r="BI19" s="681"/>
      <c r="BJ19" s="681"/>
      <c r="BK19" s="681"/>
      <c r="BL19" s="681"/>
      <c r="BM19" s="681"/>
      <c r="BN19" s="681"/>
      <c r="BO19" s="681"/>
      <c r="BP19" s="681"/>
      <c r="BQ19" s="681"/>
      <c r="BR19" s="681"/>
      <c r="BS19" s="681"/>
      <c r="BT19" s="681"/>
      <c r="BU19" s="681"/>
      <c r="BV19" s="587"/>
      <c r="BW19" s="587"/>
      <c r="BX19" s="587"/>
      <c r="BY19" s="587"/>
      <c r="BZ19" s="587"/>
      <c r="CA19" s="587"/>
      <c r="CB19" s="587"/>
      <c r="CC19" s="587"/>
      <c r="CD19" s="587"/>
      <c r="CE19" s="587"/>
      <c r="CF19" s="463">
        <v>0</v>
      </c>
    </row>
    <row s="12053" customFormat="1" customHeight="1" ht="22.5" hidden="1">
      <c r="A20" s="803"/>
      <c r="B20" s="587"/>
      <c r="C20" s="582"/>
      <c r="D20" s="2551"/>
      <c r="E20" s="2546" t="s">
        <v>628</v>
      </c>
      <c r="F20" s="2546"/>
      <c r="G20" s="2546"/>
      <c r="H20" s="2546"/>
      <c r="I20" s="2546"/>
      <c r="J20" s="2546"/>
      <c r="K20" s="2546"/>
      <c r="L20" s="2546"/>
      <c r="M20" s="2546"/>
      <c r="N20" s="2546"/>
      <c r="O20" s="2546"/>
      <c r="P20" s="2546"/>
      <c r="Q20" s="728">
        <f>SUMIF(T21:T22,"i",Q21:Q22)</f>
        <v>0</v>
      </c>
      <c r="R20" s="1187"/>
      <c r="S20" s="879" t="s">
        <v>629</v>
      </c>
      <c r="T20" s="887" t="s">
        <v>627</v>
      </c>
      <c r="U20" s="2544">
        <v>2</v>
      </c>
      <c r="V20" s="2544" t="str">
        <f>INDEX(B_FHD_FLAG_INDEX_2,1,MATCH(A14,B_FHD_FLAG_DIFFERENTIATION,0))</f>
        <v>отсутствует</v>
      </c>
      <c r="W20" s="587"/>
      <c r="X20" s="587"/>
      <c r="Y20" s="587"/>
      <c r="Z20" s="587"/>
      <c r="AA20" s="681"/>
      <c r="AB20" s="587"/>
      <c r="AC20" s="876"/>
      <c r="AD20" s="799"/>
      <c r="AE20" s="587"/>
      <c r="AF20" s="587"/>
      <c r="AG20" s="681"/>
      <c r="AH20" s="681"/>
      <c r="AI20" s="681"/>
      <c r="AJ20" s="681"/>
      <c r="AK20" s="681"/>
      <c r="AL20" s="681"/>
      <c r="AM20" s="681"/>
      <c r="AN20" s="681"/>
      <c r="AO20" s="681"/>
      <c r="AP20" s="681"/>
      <c r="AQ20" s="681"/>
      <c r="AR20" s="681"/>
      <c r="AS20" s="681"/>
      <c r="AT20" s="681"/>
      <c r="AU20" s="681"/>
      <c r="AV20" s="681"/>
      <c r="AW20" s="681"/>
      <c r="AX20" s="681"/>
      <c r="AY20" s="681"/>
      <c r="AZ20" s="681"/>
      <c r="BA20" s="681"/>
      <c r="BB20" s="681"/>
      <c r="BC20" s="681"/>
      <c r="BD20" s="681"/>
      <c r="BE20" s="681"/>
      <c r="BF20" s="681"/>
      <c r="BG20" s="681"/>
      <c r="BH20" s="681"/>
      <c r="BI20" s="681"/>
      <c r="BJ20" s="681"/>
      <c r="BK20" s="681"/>
      <c r="BL20" s="681"/>
      <c r="BM20" s="681"/>
      <c r="BN20" s="681"/>
      <c r="BO20" s="681"/>
      <c r="BP20" s="681"/>
      <c r="BQ20" s="681"/>
      <c r="BR20" s="681"/>
      <c r="BS20" s="681"/>
      <c r="BT20" s="681"/>
      <c r="BU20" s="681"/>
      <c r="BV20" s="587"/>
      <c r="BW20" s="587"/>
      <c r="BX20" s="587"/>
      <c r="BY20" s="587"/>
      <c r="BZ20" s="587"/>
      <c r="CA20" s="587"/>
      <c r="CB20" s="587"/>
      <c r="CC20" s="587"/>
      <c r="CD20" s="587"/>
      <c r="CE20" s="587"/>
      <c r="CF20" s="463">
        <v>0</v>
      </c>
    </row>
    <row s="12053" customFormat="1" customHeight="1" ht="11.25" hidden="1">
      <c r="A21" s="878"/>
      <c r="B21" s="681"/>
      <c r="C21" s="681"/>
      <c r="D21" s="2551"/>
      <c r="E21" s="805"/>
      <c r="F21" s="805">
        <v>0</v>
      </c>
      <c r="G21" s="805"/>
      <c r="H21" s="805"/>
      <c r="I21" s="805"/>
      <c r="J21" s="805"/>
      <c r="K21" s="805"/>
      <c r="L21" s="805"/>
      <c r="M21" s="805"/>
      <c r="N21" s="805"/>
      <c r="O21" s="805"/>
      <c r="P21" s="805"/>
      <c r="Q21" s="805"/>
      <c r="R21" s="805"/>
      <c r="S21" s="806"/>
      <c r="T21" s="888"/>
      <c r="U21" s="2544"/>
      <c r="V21" s="2544"/>
      <c r="W21" s="681"/>
      <c r="X21" s="681"/>
      <c r="Y21" s="681"/>
      <c r="Z21" s="681"/>
      <c r="AA21" s="681"/>
      <c r="AB21" s="587"/>
      <c r="AC21" s="876"/>
      <c r="AD21" s="799"/>
      <c r="AE21" s="587"/>
      <c r="AF21" s="587"/>
      <c r="AG21" s="681"/>
      <c r="AH21" s="681"/>
      <c r="AI21" s="681"/>
      <c r="AJ21" s="681"/>
      <c r="AK21" s="681"/>
      <c r="AL21" s="681"/>
      <c r="AM21" s="681"/>
      <c r="AN21" s="681"/>
      <c r="AO21" s="681"/>
      <c r="AP21" s="681"/>
      <c r="AQ21" s="681"/>
      <c r="AR21" s="681"/>
      <c r="AS21" s="681"/>
      <c r="AT21" s="681"/>
      <c r="AU21" s="681"/>
      <c r="AV21" s="681"/>
      <c r="AW21" s="681"/>
      <c r="AX21" s="681"/>
      <c r="AY21" s="681"/>
      <c r="AZ21" s="681"/>
      <c r="BA21" s="681"/>
      <c r="BB21" s="681"/>
      <c r="BC21" s="681"/>
      <c r="BD21" s="681"/>
      <c r="BE21" s="681"/>
      <c r="BF21" s="681"/>
      <c r="BG21" s="681"/>
      <c r="BH21" s="681"/>
      <c r="BI21" s="681"/>
      <c r="BJ21" s="681"/>
      <c r="BK21" s="681"/>
      <c r="BL21" s="681"/>
      <c r="BM21" s="681"/>
      <c r="BN21" s="681"/>
      <c r="BO21" s="681"/>
      <c r="BP21" s="681"/>
      <c r="BQ21" s="681"/>
      <c r="BR21" s="681"/>
      <c r="BS21" s="681"/>
      <c r="BT21" s="681"/>
      <c r="BU21" s="681"/>
      <c r="BV21" s="681"/>
      <c r="BW21" s="681"/>
      <c r="BX21" s="681"/>
      <c r="BY21" s="681"/>
      <c r="BZ21" s="681"/>
      <c r="CA21" s="681"/>
      <c r="CB21" s="681"/>
      <c r="CC21" s="681"/>
      <c r="CD21" s="681"/>
      <c r="CE21" s="681"/>
      <c r="CF21" s="463">
        <v>0</v>
      </c>
    </row>
    <row s="12053" customFormat="1" customHeight="1" ht="11.25" hidden="1">
      <c r="A22" s="803"/>
      <c r="B22" s="587"/>
      <c r="C22" s="582"/>
      <c r="D22" s="2552"/>
      <c r="E22" s="819" t="s">
        <v>28</v>
      </c>
      <c r="F22" s="820" t="s">
        <v>28</v>
      </c>
      <c r="G22" s="820" t="s">
        <v>28</v>
      </c>
      <c r="H22" s="821" t="s">
        <v>28</v>
      </c>
      <c r="I22" s="821"/>
      <c r="J22" s="821"/>
      <c r="K22" s="821"/>
      <c r="L22" s="821"/>
      <c r="M22" s="821"/>
      <c r="N22" s="821"/>
      <c r="O22" s="821"/>
      <c r="P22" s="821"/>
      <c r="Q22" s="821"/>
      <c r="R22" s="822"/>
      <c r="S22" s="1190"/>
      <c r="T22" s="888"/>
      <c r="U22" s="2544"/>
      <c r="V22" s="2544"/>
      <c r="W22" s="587"/>
      <c r="X22" s="587"/>
      <c r="Y22" s="587"/>
      <c r="Z22" s="587"/>
      <c r="AA22" s="681"/>
      <c r="AB22" s="587"/>
      <c r="AC22" s="876"/>
      <c r="AD22" s="799"/>
      <c r="AE22" s="587"/>
      <c r="AF22" s="587"/>
      <c r="AG22" s="681"/>
      <c r="AH22" s="681"/>
      <c r="AI22" s="681"/>
      <c r="AJ22" s="681"/>
      <c r="AK22" s="681"/>
      <c r="AL22" s="681"/>
      <c r="AM22" s="681"/>
      <c r="AN22" s="681"/>
      <c r="AO22" s="681"/>
      <c r="AP22" s="681"/>
      <c r="AQ22" s="681"/>
      <c r="AR22" s="681"/>
      <c r="AS22" s="681"/>
      <c r="AT22" s="681"/>
      <c r="AU22" s="681"/>
      <c r="AV22" s="681"/>
      <c r="AW22" s="681"/>
      <c r="AX22" s="681"/>
      <c r="AY22" s="681"/>
      <c r="AZ22" s="681"/>
      <c r="BA22" s="681"/>
      <c r="BB22" s="681"/>
      <c r="BC22" s="681"/>
      <c r="BD22" s="681"/>
      <c r="BE22" s="681"/>
      <c r="BF22" s="681"/>
      <c r="BG22" s="681"/>
      <c r="BH22" s="681"/>
      <c r="BI22" s="681"/>
      <c r="BJ22" s="681"/>
      <c r="BK22" s="681"/>
      <c r="BL22" s="681"/>
      <c r="BM22" s="681"/>
      <c r="BN22" s="681"/>
      <c r="BO22" s="681"/>
      <c r="BP22" s="681"/>
      <c r="BQ22" s="681"/>
      <c r="BR22" s="681"/>
      <c r="BS22" s="681"/>
      <c r="BT22" s="681"/>
      <c r="BU22" s="681"/>
      <c r="BV22" s="587"/>
      <c r="BW22" s="587"/>
      <c r="BX22" s="587"/>
      <c r="BY22" s="587"/>
      <c r="BZ22" s="587"/>
      <c r="CA22" s="587"/>
      <c r="CB22" s="587"/>
      <c r="CC22" s="587"/>
      <c r="CD22" s="587"/>
      <c r="CE22" s="587"/>
      <c r="CF22" s="463">
        <v>0</v>
      </c>
    </row>
    <row customHeight="1" ht="19.95">
      <c r="D23" s="1217"/>
      <c r="E23" s="1217"/>
      <c r="F23" s="1217"/>
      <c r="G23" s="1217"/>
      <c r="H23" s="1217"/>
      <c r="I23" s="1217"/>
      <c r="J23" s="1217"/>
      <c r="K23" s="1217"/>
      <c r="L23" s="1217"/>
      <c r="M23" s="1217"/>
      <c r="N23" s="1217"/>
      <c r="O23" s="1217"/>
      <c r="P23" s="1217"/>
      <c r="Q23" s="1217"/>
      <c r="R23" s="1217"/>
      <c r="S23" s="1217"/>
      <c r="T23" s="504"/>
      <c r="CF23" s="675">
        <v>19</v>
      </c>
    </row>
    <row customHeight="1" ht="11.549999999999999">
      <c r="D24" s="679"/>
      <c r="CF24" s="675">
        <v>11</v>
      </c>
    </row>
    <row customHeight="1" ht="11.549999999999999">
      <c r="D25" s="824"/>
      <c r="E25" s="824"/>
      <c r="F25" s="824"/>
      <c r="G25" s="825"/>
      <c r="CF25" s="675">
        <v>11</v>
      </c>
    </row>
    <row customHeight="1" ht="11.549999999999999">
      <c r="CF26" s="675">
        <v>11</v>
      </c>
    </row>
    <row customHeight="1" ht="11.549999999999999">
      <c r="D27" s="826"/>
      <c r="E27" s="2554"/>
      <c r="F27" s="2554"/>
      <c r="G27" s="2554"/>
      <c r="H27" s="2554"/>
      <c r="I27" s="2554"/>
      <c r="J27" s="2554"/>
      <c r="K27" s="2554"/>
      <c r="L27" s="2554"/>
      <c r="M27" s="2554"/>
      <c r="N27" s="2554"/>
      <c r="O27" s="2554"/>
      <c r="P27" s="2554"/>
      <c r="Q27" s="2554"/>
      <c r="R27" s="2554"/>
      <c r="CF27" s="675">
        <v>11</v>
      </c>
    </row>
    <row customHeight="1" ht="11.549999999999999">
      <c r="F28" s="928"/>
      <c r="G28" s="928"/>
      <c r="CF28" s="675">
        <v>11</v>
      </c>
    </row>
    <row customHeight="1" ht="11.25" hidden="1">
      <c r="A29" s="780" t="s">
        <v>85</v>
      </c>
      <c r="B29" s="619">
        <v>0</v>
      </c>
      <c r="C29" s="675">
        <v>3</v>
      </c>
      <c r="D29" s="675">
        <v>0</v>
      </c>
      <c r="E29" s="675">
        <v>7</v>
      </c>
      <c r="F29" s="675">
        <v>7</v>
      </c>
      <c r="G29" s="675">
        <v>29</v>
      </c>
      <c r="H29" s="675">
        <v>3</v>
      </c>
      <c r="I29" s="675">
        <v>5</v>
      </c>
      <c r="J29" s="675">
        <v>24</v>
      </c>
      <c r="K29" s="675">
        <v>24</v>
      </c>
      <c r="L29" s="675">
        <v>3</v>
      </c>
      <c r="M29" s="675">
        <v>6</v>
      </c>
      <c r="N29" s="675">
        <v>25</v>
      </c>
      <c r="O29" s="675">
        <v>18</v>
      </c>
      <c r="P29" s="675">
        <v>18</v>
      </c>
      <c r="Q29" s="675">
        <v>18</v>
      </c>
      <c r="R29" s="675">
        <v>18</v>
      </c>
      <c r="S29" s="675">
        <v>93</v>
      </c>
      <c r="T29" s="675">
        <v>10</v>
      </c>
      <c r="U29" s="781">
        <v>10</v>
      </c>
      <c r="V29" s="781">
        <v>11</v>
      </c>
      <c r="W29" s="782">
        <v>10</v>
      </c>
      <c r="X29" s="619">
        <v>10</v>
      </c>
      <c r="Y29" s="619">
        <v>10</v>
      </c>
      <c r="Z29" s="619">
        <v>10</v>
      </c>
      <c r="AA29" s="619">
        <v>10</v>
      </c>
      <c r="AB29" s="675">
        <v>8</v>
      </c>
      <c r="AC29" s="675">
        <v>8</v>
      </c>
      <c r="AD29" s="675">
        <v>8</v>
      </c>
      <c r="AE29" s="675">
        <v>8</v>
      </c>
      <c r="AF29" s="675">
        <v>8</v>
      </c>
      <c r="AG29" s="675">
        <v>8</v>
      </c>
      <c r="AH29" s="675">
        <v>8</v>
      </c>
      <c r="AI29" s="675">
        <v>8</v>
      </c>
      <c r="AJ29" s="675">
        <v>8</v>
      </c>
      <c r="AK29" s="675">
        <v>8</v>
      </c>
      <c r="AL29" s="675">
        <v>8</v>
      </c>
      <c r="AM29" s="675">
        <v>8</v>
      </c>
      <c r="AN29" s="675">
        <v>8</v>
      </c>
      <c r="AO29" s="675">
        <v>8</v>
      </c>
      <c r="AP29" s="675">
        <v>8</v>
      </c>
      <c r="AQ29" s="675">
        <v>8</v>
      </c>
      <c r="AR29" s="675">
        <v>8</v>
      </c>
      <c r="AS29" s="675">
        <v>8</v>
      </c>
      <c r="AT29" s="675">
        <v>8</v>
      </c>
      <c r="AU29" s="675">
        <v>8</v>
      </c>
      <c r="AV29" s="675">
        <v>8</v>
      </c>
      <c r="AW29" s="675">
        <v>8</v>
      </c>
      <c r="AX29" s="675">
        <v>8</v>
      </c>
      <c r="AY29" s="675">
        <v>8</v>
      </c>
      <c r="AZ29" s="675">
        <v>8</v>
      </c>
      <c r="BA29" s="675">
        <v>8</v>
      </c>
      <c r="BB29" s="675">
        <v>8</v>
      </c>
      <c r="BC29" s="675">
        <v>8</v>
      </c>
      <c r="BD29" s="675">
        <v>8</v>
      </c>
      <c r="BE29" s="675">
        <v>8</v>
      </c>
      <c r="BF29" s="675">
        <v>8</v>
      </c>
      <c r="BG29" s="675">
        <v>8</v>
      </c>
      <c r="BH29" s="675">
        <v>8</v>
      </c>
      <c r="BI29" s="675">
        <v>8</v>
      </c>
      <c r="BJ29" s="675">
        <v>8</v>
      </c>
      <c r="BK29" s="675">
        <v>8</v>
      </c>
      <c r="BL29" s="675">
        <v>8</v>
      </c>
      <c r="BM29" s="675">
        <v>8</v>
      </c>
      <c r="BN29" s="675">
        <v>8</v>
      </c>
      <c r="BO29" s="675">
        <v>8</v>
      </c>
      <c r="BP29" s="675">
        <v>8</v>
      </c>
      <c r="BQ29" s="675">
        <v>8</v>
      </c>
      <c r="BR29" s="675">
        <v>8</v>
      </c>
      <c r="BS29" s="675">
        <v>8</v>
      </c>
      <c r="BT29" s="675">
        <v>8</v>
      </c>
      <c r="BU29" s="675">
        <v>8</v>
      </c>
      <c r="BV29" s="675">
        <v>8</v>
      </c>
      <c r="BW29" s="675">
        <v>8</v>
      </c>
      <c r="BX29" s="675">
        <v>8</v>
      </c>
      <c r="BY29" s="675">
        <v>8</v>
      </c>
      <c r="BZ29" s="675">
        <v>8</v>
      </c>
      <c r="CA29" s="675">
        <v>8</v>
      </c>
      <c r="CB29" s="675">
        <v>8</v>
      </c>
      <c r="CC29" s="675">
        <v>8</v>
      </c>
      <c r="CD29" s="675">
        <v>8</v>
      </c>
      <c r="CE29" s="675">
        <v>8</v>
      </c>
      <c r="CF29" s="67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D438E1-A7FF-119E-E633-F4A758C46B2E}"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14537" width="10.7109375" hidden="1" customWidth="1"/>
    <col min="6" max="6" style="11992" width="16.8515625" hidden="1" customWidth="1"/>
    <col min="7" max="7" style="11993" width="5.57421875" hidden="1" customWidth="1"/>
    <col min="8" max="8" style="11913" width="3.00390625" customWidth="1"/>
    <col min="9" max="9" style="11913" width="7.00390625" customWidth="1"/>
    <col min="10" max="10" style="11913" width="56.00390625" customWidth="1"/>
    <col min="11" max="11" style="11913" width="10.00390625" customWidth="1"/>
    <col min="12" max="12" style="11913" width="40.57421875" hidden="1" customWidth="1"/>
    <col min="13" max="13" style="11913" width="40.7109375" customWidth="1"/>
    <col min="14" max="14" style="11992" width="9.7109375" hidden="1" customWidth="1"/>
    <col min="15" max="15" style="11913" width="102.00390625" customWidth="1"/>
    <col min="16" max="16" style="11992" width="9.00390625" customWidth="1"/>
    <col min="17" max="17" style="11993" width="5.00390625" customWidth="1"/>
    <col min="18" max="18" style="11993" width="3.00390625" customWidth="1"/>
    <col min="19" max="22" style="11992" width="3.00390625" customWidth="1"/>
    <col min="23" max="23" style="11993" width="10.00390625" customWidth="1"/>
    <col min="24" max="24" style="11992" width="34.00390625" customWidth="1"/>
    <col min="25" max="25" style="11992" width="9.00390625" customWidth="1"/>
    <col min="26" max="26" style="14538" width="8.00390625" customWidth="1"/>
    <col min="27" max="31" style="11992" width="8.00390625" customWidth="1"/>
    <col min="32" max="36" style="11877" width="8.00390625" customWidth="1"/>
    <col min="37" max="37" style="11913" width="5.421875" hidden="1" customWidth="1"/>
  </cols>
  <sheetData>
    <row s="11992" customFormat="1" customHeight="1" ht="33.75" hidden="1">
      <c r="A1" s="1157"/>
      <c r="B1" s="1157"/>
      <c r="C1" s="1157"/>
      <c r="D1" s="1157"/>
      <c r="E1" s="1157"/>
      <c r="G1" s="1806"/>
      <c r="H1" s="1048"/>
      <c r="L1" s="1536">
        <v>4</v>
      </c>
      <c r="M1" s="1536">
        <v>4</v>
      </c>
      <c r="Q1" s="1806"/>
      <c r="R1" s="1806"/>
      <c r="W1" s="1806"/>
      <c r="AK1" s="1536" t="s">
        <v>14</v>
      </c>
    </row>
    <row s="11992" customFormat="1" customHeight="1" ht="78.75" hidden="1">
      <c r="A2" s="1157"/>
      <c r="B2" s="2223" t="s">
        <v>630</v>
      </c>
      <c r="C2" s="2223" t="s">
        <v>631</v>
      </c>
      <c r="D2" s="2222" t="s">
        <v>632</v>
      </c>
      <c r="E2" s="2226">
        <f>RIGHT(I2,LEN(I2)-SEARCH("#",SUBSTITUTE(I2,".","#",LEN(I2)-LEN(SUBSTITUTE(I2,".","")))))</f>
      </c>
      <c r="F2" s="2228">
        <f>J2</f>
        <v>0</v>
      </c>
      <c r="G2" s="1806"/>
      <c r="H2" s="2229"/>
      <c r="I2" s="2219"/>
      <c r="J2" s="710"/>
      <c r="K2" s="2189" t="s">
        <v>571</v>
      </c>
      <c r="L2" s="921"/>
      <c r="M2" s="921"/>
      <c r="N2" s="713"/>
      <c r="O2" s="1695" t="s">
        <v>572</v>
      </c>
      <c r="P2" s="713"/>
      <c r="Q2" s="1806"/>
      <c r="R2" s="1806"/>
      <c r="W2" s="1806"/>
      <c r="Z2" s="714"/>
      <c r="AF2" s="1802"/>
      <c r="AG2" s="1802"/>
      <c r="AH2" s="1802"/>
      <c r="AI2" s="1802"/>
      <c r="AJ2" s="1802"/>
      <c r="AK2" s="1536">
        <v>0</v>
      </c>
    </row>
    <row customHeight="1" ht="11.25" hidden="1">
      <c r="E3" s="2221" t="s">
        <v>633</v>
      </c>
      <c r="L3" s="1801">
        <f>0</f>
        <v>0</v>
      </c>
      <c r="M3" s="1801">
        <v>1</v>
      </c>
      <c r="AK3" s="1801">
        <v>0</v>
      </c>
    </row>
    <row s="11877" customFormat="1" customHeight="1" ht="11.25" hidden="1">
      <c r="A4" s="1157"/>
      <c r="B4" s="1157"/>
      <c r="C4" s="1157"/>
      <c r="E4" s="1157"/>
      <c r="F4" s="1536"/>
      <c r="G4" s="1806"/>
      <c r="H4" s="790"/>
      <c r="N4" s="1536"/>
      <c r="O4" s="1802">
        <v>4</v>
      </c>
      <c r="P4" s="1536"/>
      <c r="Q4" s="1806"/>
      <c r="R4" s="1806"/>
      <c r="S4" s="1536"/>
      <c r="T4" s="1536"/>
      <c r="U4" s="1536"/>
      <c r="V4" s="1536"/>
      <c r="W4" s="1806"/>
      <c r="X4" s="1536"/>
      <c r="Y4" s="1536"/>
      <c r="Z4" s="714"/>
      <c r="AA4" s="1536"/>
      <c r="AB4" s="1536"/>
      <c r="AC4" s="1536"/>
      <c r="AD4" s="1536"/>
      <c r="AE4" s="1536"/>
      <c r="AK4" s="1802">
        <v>0</v>
      </c>
    </row>
    <row customHeight="1" ht="11.549999999999999">
      <c r="AK5" s="1801">
        <v>11</v>
      </c>
    </row>
    <row customHeight="1" ht="57.75">
      <c r="I6" s="2477" t="s">
        <v>634</v>
      </c>
      <c r="J6" s="2477"/>
      <c r="K6" s="2477"/>
      <c r="L6" s="2477"/>
      <c r="M6" s="2477"/>
      <c r="O6" s="726"/>
      <c r="AK6" s="1801">
        <v>55</v>
      </c>
    </row>
    <row customHeight="1" ht="25.2">
      <c r="I7" s="2419" t="str">
        <f>IF(org=0,"Не определено",org)</f>
        <v>Филиал "Шатурская ГРЭС" ПАО "Юнипро"</v>
      </c>
      <c r="J7" s="2419"/>
      <c r="K7" s="2419"/>
      <c r="L7" s="2419"/>
      <c r="M7" s="2419"/>
      <c r="AK7" s="1801">
        <v>24</v>
      </c>
    </row>
    <row customHeight="1" ht="11.549999999999999">
      <c r="I8" s="1305"/>
      <c r="J8" s="1305"/>
      <c r="K8" s="1305"/>
      <c r="L8" s="1305"/>
      <c r="M8" s="1305"/>
      <c r="AK8" s="1801">
        <v>11</v>
      </c>
    </row>
    <row s="11993" customFormat="1" customHeight="1" ht="30" hidden="1">
      <c r="A9" s="1337"/>
      <c r="B9" s="1337"/>
      <c r="C9" s="1337"/>
      <c r="E9" s="1337"/>
      <c r="H9" s="1812"/>
      <c r="L9" s="1059"/>
      <c r="M9" s="1059" t="s">
        <v>120</v>
      </c>
      <c r="AK9" s="1806">
        <v>1</v>
      </c>
    </row>
    <row customHeight="1" ht="11.549999999999999">
      <c r="E10" s="2220" t="s">
        <v>635</v>
      </c>
      <c r="I10" s="881"/>
      <c r="J10" s="2537" t="s">
        <v>108</v>
      </c>
      <c r="K10" s="2538"/>
      <c r="L10" s="2199" t="str">
        <f>IF(L9="","",INDEX(DIFFERENTIATION_UNMERGE_VD,MATCH(L9,DIFFERENTIATION_ID_DIFF,0)))</f>
        <v/>
      </c>
      <c r="M10" s="2199">
        <f>IF(M9="","",INDEX(DIFFERENTIATION_UNMERGE_VD,MATCH(M9,DIFFERENTIATION_ID_DIFF,0)))</f>
        <v>0</v>
      </c>
      <c r="O10" s="2297" t="s">
        <v>313</v>
      </c>
      <c r="AK10" s="1801">
        <v>11</v>
      </c>
    </row>
    <row customHeight="1" ht="11.549999999999999">
      <c r="E11" s="2220" t="s">
        <v>636</v>
      </c>
      <c r="I11" s="881"/>
      <c r="J11" s="2537" t="s">
        <v>579</v>
      </c>
      <c r="K11" s="2538"/>
      <c r="L11" s="2199" t="str">
        <f>IF(L9="","",INDEX(DIFFERENTIATION_UNMERGE_AREA,MATCH(L9,DIFFERENTIATION_ID_DIFF,0)))</f>
        <v/>
      </c>
      <c r="M11" s="2199" t="str">
        <f>IF(M9="","",INDEX(DIFFERENTIATION_UNMERGE_AREA,MATCH(M9,DIFFERENTIATION_ID_DIFF,0)))</f>
        <v/>
      </c>
      <c r="O11" s="2297"/>
      <c r="AK11" s="1801">
        <v>11</v>
      </c>
    </row>
    <row customHeight="1" ht="11.549999999999999">
      <c r="E12" s="2220" t="s">
        <v>637</v>
      </c>
      <c r="I12" s="1832"/>
      <c r="J12" s="2537" t="s">
        <v>580</v>
      </c>
      <c r="K12" s="2538"/>
      <c r="L12" s="2199" t="str">
        <f>IF(L9="","",INDEX(DIFFERENTIATION_UNMERGE_SYSTEM,MATCH(L9,DIFFERENTIATION_ID_DIFF,0)))</f>
        <v/>
      </c>
      <c r="M12" s="2199" t="str">
        <f>IF(M9="","",INDEX(DIFFERENTIATION_UNMERGE_SYSTEM,MATCH(M9,DIFFERENTIATION_ID_DIFF,0)))</f>
        <v>без дифференциации</v>
      </c>
      <c r="O12" s="2297"/>
      <c r="AK12" s="1801">
        <v>11</v>
      </c>
    </row>
    <row customHeight="1" ht="11.549999999999999">
      <c r="E13" s="2220" t="s">
        <v>638</v>
      </c>
      <c r="F13" s="2220" t="s">
        <v>639</v>
      </c>
      <c r="I13" s="2539" t="s">
        <v>312</v>
      </c>
      <c r="J13" s="2540"/>
      <c r="K13" s="2540"/>
      <c r="L13" s="2197"/>
      <c r="M13" s="2237"/>
      <c r="O13" s="2297"/>
      <c r="AK13" s="1801">
        <v>11</v>
      </c>
    </row>
    <row customHeight="1" ht="24">
      <c r="I14" s="2190" t="s">
        <v>91</v>
      </c>
      <c r="J14" s="2190" t="s">
        <v>314</v>
      </c>
      <c r="K14" s="2190" t="s">
        <v>581</v>
      </c>
      <c r="L14" s="2230" t="s">
        <v>315</v>
      </c>
      <c r="M14" s="2231" t="s">
        <v>315</v>
      </c>
      <c r="O14" s="2297"/>
      <c r="AK14" s="1801">
        <v>23</v>
      </c>
    </row>
    <row customHeight="1" ht="24">
      <c r="A15" s="2224"/>
      <c r="B15" s="2223" t="s">
        <v>640</v>
      </c>
      <c r="C15" s="2223" t="s">
        <v>641</v>
      </c>
      <c r="D15" s="2222" t="s">
        <v>642</v>
      </c>
      <c r="E15" s="2226" t="s">
        <v>643</v>
      </c>
      <c r="F15" s="2226" t="s">
        <v>643</v>
      </c>
      <c r="G15" s="1806" t="s">
        <v>603</v>
      </c>
      <c r="H15" s="2191"/>
      <c r="I15" s="1800">
        <v>1</v>
      </c>
      <c r="J15" s="2192" t="s">
        <v>644</v>
      </c>
      <c r="K15" s="2190" t="s">
        <v>318</v>
      </c>
      <c r="L15" s="832"/>
      <c r="M15" s="988"/>
      <c r="N15" s="713" t="s">
        <v>645</v>
      </c>
      <c r="O15" s="1695" t="s">
        <v>646</v>
      </c>
      <c r="P15" s="713" t="s">
        <v>645</v>
      </c>
      <c r="AK15" s="1801">
        <v>23</v>
      </c>
    </row>
    <row customHeight="1" ht="35.699999999999996">
      <c r="A16" s="2224"/>
      <c r="B16" s="2223" t="s">
        <v>647</v>
      </c>
      <c r="C16" s="2223" t="s">
        <v>648</v>
      </c>
      <c r="D16" s="2222" t="s">
        <v>632</v>
      </c>
      <c r="E16" s="2226" t="s">
        <v>643</v>
      </c>
      <c r="F16" s="2226" t="s">
        <v>643</v>
      </c>
      <c r="H16" s="2191"/>
      <c r="I16" s="1799">
        <v>2</v>
      </c>
      <c r="J16" s="2233" t="s">
        <v>649</v>
      </c>
      <c r="K16" s="2232" t="s">
        <v>571</v>
      </c>
      <c r="L16" s="2238"/>
      <c r="M16" s="1846"/>
      <c r="N16" s="713" t="s">
        <v>645</v>
      </c>
      <c r="O16" s="1695" t="s">
        <v>650</v>
      </c>
      <c r="P16" s="713" t="s">
        <v>645</v>
      </c>
      <c r="AK16" s="1801">
        <v>34</v>
      </c>
    </row>
    <row s="11993" customFormat="1" customHeight="1" ht="17.25" hidden="1">
      <c r="A17" s="1337"/>
      <c r="B17" s="1337"/>
      <c r="C17" s="1337"/>
      <c r="D17" s="1337"/>
      <c r="E17" s="1337"/>
      <c r="H17" s="1494"/>
      <c r="I17" s="1183" t="s">
        <v>651</v>
      </c>
      <c r="J17" s="1161"/>
      <c r="K17" s="1183"/>
      <c r="L17" s="1162"/>
      <c r="M17" s="1162"/>
      <c r="O17" s="1555"/>
      <c r="AK17" s="1806">
        <v>1</v>
      </c>
    </row>
    <row s="11992" customFormat="1" customHeight="1" ht="24">
      <c r="A18" s="1157"/>
      <c r="B18" s="1157"/>
      <c r="C18" s="1157"/>
      <c r="D18" s="1157"/>
      <c r="E18" s="1157"/>
      <c r="G18" s="1806"/>
      <c r="H18" s="1803"/>
      <c r="I18" s="740"/>
      <c r="J18" s="741" t="s">
        <v>601</v>
      </c>
      <c r="K18" s="742"/>
      <c r="L18" s="2240"/>
      <c r="M18" s="743"/>
      <c r="N18" s="713"/>
      <c r="O18" s="1695" t="s">
        <v>602</v>
      </c>
      <c r="P18" s="713"/>
      <c r="Q18" s="1806"/>
      <c r="R18" s="1806"/>
      <c r="W18" s="1806"/>
      <c r="Z18" s="714"/>
      <c r="AF18" s="1802"/>
      <c r="AG18" s="1802"/>
      <c r="AH18" s="1802"/>
      <c r="AI18" s="1802"/>
      <c r="AJ18" s="1802"/>
      <c r="AK18" s="1536">
        <v>23</v>
      </c>
    </row>
    <row customHeight="1" ht="19.95">
      <c r="A19" s="2224"/>
      <c r="B19" s="2223" t="s">
        <v>652</v>
      </c>
      <c r="C19" s="2223" t="s">
        <v>653</v>
      </c>
      <c r="D19" s="2222" t="s">
        <v>632</v>
      </c>
      <c r="E19" s="2226" t="s">
        <v>643</v>
      </c>
      <c r="F19" s="2226" t="s">
        <v>643</v>
      </c>
      <c r="H19" s="2191"/>
      <c r="I19" s="1834">
        <v>3</v>
      </c>
      <c r="J19" s="2192" t="s">
        <v>653</v>
      </c>
      <c r="K19" s="2188" t="s">
        <v>571</v>
      </c>
      <c r="L19" s="897"/>
      <c r="M19" s="727"/>
      <c r="N19" s="713"/>
      <c r="O19" s="1695" t="s">
        <v>654</v>
      </c>
      <c r="P19" s="713"/>
      <c r="AK19" s="1801">
        <v>19</v>
      </c>
    </row>
    <row customHeight="1" ht="77.7">
      <c r="A20" s="2224"/>
      <c r="B20" s="2223" t="s">
        <v>655</v>
      </c>
      <c r="C20" s="2223" t="s">
        <v>656</v>
      </c>
      <c r="D20" s="2222" t="s">
        <v>632</v>
      </c>
      <c r="E20" s="2226" t="s">
        <v>643</v>
      </c>
      <c r="F20" s="2226" t="s">
        <v>643</v>
      </c>
      <c r="H20" s="2191"/>
      <c r="I20" s="1834">
        <v>4</v>
      </c>
      <c r="J20" s="2192" t="s">
        <v>657</v>
      </c>
      <c r="K20" s="2188" t="s">
        <v>598</v>
      </c>
      <c r="L20" s="897"/>
      <c r="M20" s="727"/>
      <c r="N20" s="713"/>
      <c r="O20" s="1695"/>
      <c r="P20" s="713"/>
      <c r="AK20" s="1801">
        <v>74</v>
      </c>
    </row>
    <row customHeight="1" ht="35.699999999999996">
      <c r="A21" s="2224"/>
      <c r="B21" s="2223" t="s">
        <v>658</v>
      </c>
      <c r="C21" s="2223" t="s">
        <v>659</v>
      </c>
      <c r="D21" s="2222" t="s">
        <v>632</v>
      </c>
      <c r="E21" s="2226" t="s">
        <v>643</v>
      </c>
      <c r="F21" s="2226" t="s">
        <v>643</v>
      </c>
      <c r="H21" s="2191"/>
      <c r="I21" s="1834">
        <v>5</v>
      </c>
      <c r="J21" s="2192" t="s">
        <v>660</v>
      </c>
      <c r="K21" s="2188" t="s">
        <v>598</v>
      </c>
      <c r="L21" s="897"/>
      <c r="M21" s="727"/>
      <c r="N21" s="713"/>
      <c r="O21" s="1695" t="s">
        <v>654</v>
      </c>
      <c r="P21" s="713"/>
      <c r="AK21" s="1801">
        <v>34</v>
      </c>
    </row>
    <row customHeight="1" ht="48.29999999999999">
      <c r="A22" s="2224"/>
      <c r="B22" s="2223" t="s">
        <v>661</v>
      </c>
      <c r="C22" s="2223" t="s">
        <v>662</v>
      </c>
      <c r="D22" s="2222" t="s">
        <v>632</v>
      </c>
      <c r="E22" s="2226" t="s">
        <v>643</v>
      </c>
      <c r="F22" s="2226" t="s">
        <v>643</v>
      </c>
      <c r="H22" s="2191"/>
      <c r="I22" s="1834">
        <v>6</v>
      </c>
      <c r="J22" s="2192" t="s">
        <v>663</v>
      </c>
      <c r="K22" s="2188" t="s">
        <v>598</v>
      </c>
      <c r="L22" s="897"/>
      <c r="M22" s="727"/>
      <c r="N22" s="713"/>
      <c r="O22" s="1695" t="s">
        <v>664</v>
      </c>
      <c r="P22" s="713"/>
      <c r="AK22" s="1801">
        <v>46</v>
      </c>
    </row>
    <row customHeight="1" ht="19.95">
      <c r="A23" s="2224"/>
      <c r="B23" s="2223" t="s">
        <v>665</v>
      </c>
      <c r="C23" s="2223" t="s">
        <v>666</v>
      </c>
      <c r="D23" s="2222" t="s">
        <v>632</v>
      </c>
      <c r="E23" s="2226" t="s">
        <v>643</v>
      </c>
      <c r="F23" s="2226" t="s">
        <v>643</v>
      </c>
      <c r="H23" s="2191"/>
      <c r="I23" s="1834" t="s">
        <v>667</v>
      </c>
      <c r="J23" s="1694" t="s">
        <v>668</v>
      </c>
      <c r="K23" s="2188" t="s">
        <v>598</v>
      </c>
      <c r="L23" s="897"/>
      <c r="M23" s="727"/>
      <c r="N23" s="713"/>
      <c r="O23" s="1695" t="s">
        <v>654</v>
      </c>
      <c r="P23" s="713"/>
      <c r="AK23" s="1801">
        <v>19</v>
      </c>
    </row>
    <row customHeight="1" ht="19.95">
      <c r="A24" s="2224"/>
      <c r="B24" s="2223" t="s">
        <v>669</v>
      </c>
      <c r="C24" s="2223" t="s">
        <v>670</v>
      </c>
      <c r="D24" s="2222" t="s">
        <v>632</v>
      </c>
      <c r="E24" s="2226" t="s">
        <v>643</v>
      </c>
      <c r="F24" s="2226" t="s">
        <v>643</v>
      </c>
      <c r="H24" s="2191"/>
      <c r="I24" s="1834" t="s">
        <v>671</v>
      </c>
      <c r="J24" s="1694" t="s">
        <v>672</v>
      </c>
      <c r="K24" s="2188" t="s">
        <v>598</v>
      </c>
      <c r="L24" s="897"/>
      <c r="M24" s="727"/>
      <c r="N24" s="713"/>
      <c r="O24" s="1695"/>
      <c r="P24" s="713"/>
      <c r="AK24" s="1801">
        <v>19</v>
      </c>
    </row>
    <row customHeight="1" ht="24">
      <c r="A25" s="2224"/>
      <c r="B25" s="2223" t="s">
        <v>673</v>
      </c>
      <c r="C25" s="2223" t="s">
        <v>674</v>
      </c>
      <c r="D25" s="2222" t="s">
        <v>632</v>
      </c>
      <c r="E25" s="2226" t="s">
        <v>643</v>
      </c>
      <c r="F25" s="2226" t="s">
        <v>643</v>
      </c>
      <c r="H25" s="2191"/>
      <c r="I25" s="1834" t="s">
        <v>675</v>
      </c>
      <c r="J25" s="1694" t="s">
        <v>676</v>
      </c>
      <c r="K25" s="2188" t="s">
        <v>598</v>
      </c>
      <c r="L25" s="897"/>
      <c r="M25" s="727"/>
      <c r="N25" s="713"/>
      <c r="O25" s="1695"/>
      <c r="P25" s="713"/>
      <c r="AK25" s="1801">
        <v>23</v>
      </c>
    </row>
    <row customHeight="1" ht="24">
      <c r="A26" s="2224"/>
      <c r="B26" s="2223" t="s">
        <v>677</v>
      </c>
      <c r="C26" s="2223" t="s">
        <v>678</v>
      </c>
      <c r="D26" s="2222" t="s">
        <v>632</v>
      </c>
      <c r="E26" s="2226" t="s">
        <v>643</v>
      </c>
      <c r="F26" s="2226" t="s">
        <v>643</v>
      </c>
      <c r="H26" s="2191"/>
      <c r="I26" s="1834">
        <v>7</v>
      </c>
      <c r="J26" s="2192" t="s">
        <v>678</v>
      </c>
      <c r="K26" s="2188" t="s">
        <v>679</v>
      </c>
      <c r="L26" s="897"/>
      <c r="M26" s="727"/>
      <c r="N26" s="713"/>
      <c r="O26" s="1695"/>
      <c r="P26" s="713"/>
      <c r="AK26" s="1801">
        <v>23</v>
      </c>
    </row>
    <row customHeight="1" ht="24">
      <c r="A27" s="2224"/>
      <c r="B27" s="2223" t="s">
        <v>680</v>
      </c>
      <c r="C27" s="2223" t="s">
        <v>681</v>
      </c>
      <c r="D27" s="2222" t="s">
        <v>632</v>
      </c>
      <c r="E27" s="2226" t="s">
        <v>643</v>
      </c>
      <c r="F27" s="2226" t="s">
        <v>643</v>
      </c>
      <c r="H27" s="2191"/>
      <c r="I27" s="1834">
        <v>8</v>
      </c>
      <c r="J27" s="2192" t="s">
        <v>681</v>
      </c>
      <c r="K27" s="2188" t="s">
        <v>604</v>
      </c>
      <c r="L27" s="897"/>
      <c r="M27" s="727"/>
      <c r="N27" s="713"/>
      <c r="O27" s="1695"/>
      <c r="P27" s="713"/>
      <c r="AK27" s="1801">
        <v>23</v>
      </c>
    </row>
    <row customHeight="1" ht="35.699999999999996">
      <c r="A28" s="2224"/>
      <c r="B28" s="2223" t="s">
        <v>682</v>
      </c>
      <c r="C28" s="2223" t="s">
        <v>683</v>
      </c>
      <c r="D28" s="2222" t="s">
        <v>632</v>
      </c>
      <c r="E28" s="2226" t="s">
        <v>643</v>
      </c>
      <c r="F28" s="2226" t="s">
        <v>643</v>
      </c>
      <c r="H28" s="2191"/>
      <c r="I28" s="1845">
        <v>9</v>
      </c>
      <c r="J28" s="2192" t="s">
        <v>684</v>
      </c>
      <c r="K28" s="2188" t="s">
        <v>575</v>
      </c>
      <c r="L28" s="897"/>
      <c r="M28" s="727"/>
      <c r="N28" s="713"/>
      <c r="O28" s="1695"/>
      <c r="P28" s="713"/>
      <c r="AK28" s="1801">
        <v>34</v>
      </c>
    </row>
    <row customHeight="1" ht="35.699999999999996">
      <c r="A29" s="2224"/>
      <c r="B29" s="2223" t="s">
        <v>685</v>
      </c>
      <c r="C29" s="2223" t="s">
        <v>686</v>
      </c>
      <c r="D29" s="2222" t="s">
        <v>632</v>
      </c>
      <c r="E29" s="2226" t="s">
        <v>643</v>
      </c>
      <c r="F29" s="2226" t="s">
        <v>643</v>
      </c>
      <c r="H29" s="2191"/>
      <c r="I29" s="1845">
        <v>10</v>
      </c>
      <c r="J29" s="2192" t="s">
        <v>687</v>
      </c>
      <c r="K29" s="2188" t="s">
        <v>575</v>
      </c>
      <c r="L29" s="897"/>
      <c r="M29" s="727"/>
      <c r="N29" s="713"/>
      <c r="O29" s="1695"/>
      <c r="P29" s="713"/>
      <c r="AK29" s="1801">
        <v>34</v>
      </c>
    </row>
    <row customHeight="1" ht="24">
      <c r="A30" s="2224"/>
      <c r="B30" s="2223" t="s">
        <v>688</v>
      </c>
      <c r="C30" s="2223" t="s">
        <v>689</v>
      </c>
      <c r="D30" s="2222" t="s">
        <v>632</v>
      </c>
      <c r="E30" s="2226" t="s">
        <v>643</v>
      </c>
      <c r="F30" s="2226" t="s">
        <v>643</v>
      </c>
      <c r="H30" s="2191"/>
      <c r="I30" s="1845">
        <v>11</v>
      </c>
      <c r="J30" s="2192" t="s">
        <v>689</v>
      </c>
      <c r="K30" s="2188" t="s">
        <v>605</v>
      </c>
      <c r="L30" s="2239"/>
      <c r="M30" s="1791"/>
      <c r="N30" s="713"/>
      <c r="O30" s="1695"/>
      <c r="P30" s="713"/>
      <c r="AK30" s="1801">
        <v>23</v>
      </c>
    </row>
    <row customHeight="1" ht="24">
      <c r="A31" s="2224"/>
      <c r="B31" s="2223" t="s">
        <v>690</v>
      </c>
      <c r="C31" s="2223" t="s">
        <v>691</v>
      </c>
      <c r="D31" s="2222" t="s">
        <v>632</v>
      </c>
      <c r="E31" s="2226" t="s">
        <v>643</v>
      </c>
      <c r="F31" s="2226" t="s">
        <v>643</v>
      </c>
      <c r="H31" s="2191"/>
      <c r="I31" s="1845">
        <v>12</v>
      </c>
      <c r="J31" s="2192" t="s">
        <v>691</v>
      </c>
      <c r="K31" s="2188" t="s">
        <v>605</v>
      </c>
      <c r="L31" s="2239"/>
      <c r="M31" s="1791"/>
      <c r="N31" s="713"/>
      <c r="O31" s="1695"/>
      <c r="P31" s="713"/>
      <c r="AK31" s="1801">
        <v>23</v>
      </c>
    </row>
    <row customHeight="1" ht="48.29999999999999">
      <c r="A32" s="2224"/>
      <c r="B32" s="2223" t="s">
        <v>692</v>
      </c>
      <c r="C32" s="2223" t="s">
        <v>693</v>
      </c>
      <c r="D32" s="2222" t="s">
        <v>632</v>
      </c>
      <c r="E32" s="2226" t="s">
        <v>643</v>
      </c>
      <c r="F32" s="2226" t="s">
        <v>643</v>
      </c>
      <c r="H32" s="2191"/>
      <c r="I32" s="1845">
        <v>13</v>
      </c>
      <c r="J32" s="2192" t="s">
        <v>694</v>
      </c>
      <c r="K32" s="2188" t="s">
        <v>615</v>
      </c>
      <c r="L32" s="897"/>
      <c r="M32" s="727"/>
      <c r="N32" s="713"/>
      <c r="O32" s="1695" t="s">
        <v>654</v>
      </c>
      <c r="P32" s="713"/>
      <c r="AK32" s="1801">
        <v>46</v>
      </c>
    </row>
    <row s="11992" customFormat="1" customHeight="1" ht="48.29999999999999">
      <c r="A33" s="2224"/>
      <c r="B33" s="2223" t="s">
        <v>695</v>
      </c>
      <c r="C33" s="2223" t="s">
        <v>696</v>
      </c>
      <c r="D33" s="2222" t="s">
        <v>632</v>
      </c>
      <c r="E33" s="2226" t="s">
        <v>643</v>
      </c>
      <c r="F33" s="2226" t="s">
        <v>643</v>
      </c>
      <c r="G33" s="1806"/>
      <c r="H33" s="2191"/>
      <c r="I33" s="1845">
        <v>14</v>
      </c>
      <c r="J33" s="2204" t="s">
        <v>697</v>
      </c>
      <c r="K33" s="2193" t="s">
        <v>698</v>
      </c>
      <c r="L33" s="897"/>
      <c r="M33" s="727"/>
      <c r="N33" s="713"/>
      <c r="O33" s="1695" t="s">
        <v>654</v>
      </c>
      <c r="P33" s="713"/>
      <c r="Q33" s="1806"/>
      <c r="R33" s="1806"/>
      <c r="W33" s="1806"/>
      <c r="Z33" s="714"/>
      <c r="AF33" s="1802"/>
      <c r="AG33" s="1802"/>
      <c r="AH33" s="1802"/>
      <c r="AI33" s="1802"/>
      <c r="AJ33" s="1802"/>
      <c r="AK33" s="1536">
        <v>46</v>
      </c>
    </row>
    <row customHeight="1" ht="108">
      <c r="A34" s="2224"/>
      <c r="B34" s="2223" t="s">
        <v>699</v>
      </c>
      <c r="C34" s="2223" t="s">
        <v>700</v>
      </c>
      <c r="D34" s="2222" t="s">
        <v>642</v>
      </c>
      <c r="E34" s="2226" t="s">
        <v>643</v>
      </c>
      <c r="F34" s="2226" t="s">
        <v>643</v>
      </c>
      <c r="G34" s="1806" t="s">
        <v>603</v>
      </c>
      <c r="H34" s="2191"/>
      <c r="I34" s="2202">
        <v>15</v>
      </c>
      <c r="J34" s="2203" t="s">
        <v>701</v>
      </c>
      <c r="K34" s="2188" t="s">
        <v>318</v>
      </c>
      <c r="L34" s="555"/>
      <c r="M34" s="1334"/>
      <c r="N34" s="713"/>
      <c r="O34" s="1695" t="s">
        <v>646</v>
      </c>
      <c r="P34" s="713"/>
      <c r="AK34" s="1801">
        <v>103</v>
      </c>
    </row>
    <row s="12668" customFormat="1" customHeight="1" ht="11.549999999999999">
      <c r="A35" s="1157"/>
      <c r="B35" s="1157"/>
      <c r="C35" s="1157"/>
      <c r="D35" s="1157"/>
      <c r="E35" s="1157"/>
      <c r="F35" s="1806"/>
      <c r="G35" s="1806"/>
      <c r="H35" s="521"/>
      <c r="N35" s="1536"/>
      <c r="P35" s="1536"/>
      <c r="Q35" s="1806"/>
      <c r="R35" s="1806"/>
      <c r="S35" s="1536"/>
      <c r="T35" s="1536"/>
      <c r="U35" s="1536"/>
      <c r="V35" s="1536"/>
      <c r="W35" s="1806"/>
      <c r="X35" s="1536"/>
      <c r="Y35" s="1536"/>
      <c r="Z35" s="714"/>
      <c r="AA35" s="1536"/>
      <c r="AB35" s="1536"/>
      <c r="AC35" s="1536"/>
      <c r="AD35" s="1536"/>
      <c r="AE35" s="1536"/>
      <c r="AF35" s="1802"/>
      <c r="AG35" s="792"/>
      <c r="AH35" s="792"/>
      <c r="AI35" s="792"/>
      <c r="AJ35" s="792"/>
      <c r="AK35" s="1811">
        <v>11</v>
      </c>
    </row>
    <row s="12668" customFormat="1" customHeight="1" ht="11.549999999999999">
      <c r="A36" s="1157"/>
      <c r="B36" s="1157"/>
      <c r="C36" s="1157"/>
      <c r="D36" s="1157"/>
      <c r="E36" s="1157"/>
      <c r="F36" s="1806"/>
      <c r="G36" s="1806"/>
      <c r="H36" s="521"/>
      <c r="N36" s="1536"/>
      <c r="P36" s="1536"/>
      <c r="Q36" s="1806"/>
      <c r="R36" s="1806"/>
      <c r="S36" s="1536"/>
      <c r="T36" s="1536"/>
      <c r="U36" s="1536"/>
      <c r="V36" s="1536"/>
      <c r="W36" s="1806"/>
      <c r="X36" s="1536"/>
      <c r="Y36" s="1536"/>
      <c r="Z36" s="714"/>
      <c r="AA36" s="1536"/>
      <c r="AB36" s="1536"/>
      <c r="AC36" s="1536"/>
      <c r="AD36" s="1536"/>
      <c r="AE36" s="1536"/>
      <c r="AF36" s="1802"/>
      <c r="AG36" s="792"/>
      <c r="AH36" s="792"/>
      <c r="AI36" s="792"/>
      <c r="AJ36" s="792"/>
      <c r="AK36" s="1811">
        <v>11</v>
      </c>
    </row>
    <row s="12668" customFormat="1" customHeight="1" ht="11.549999999999999">
      <c r="A37" s="1157"/>
      <c r="B37" s="1157"/>
      <c r="C37" s="1157"/>
      <c r="D37" s="1157"/>
      <c r="E37" s="1157"/>
      <c r="F37" s="1806"/>
      <c r="G37" s="1806"/>
      <c r="H37" s="521"/>
      <c r="L37" s="792"/>
      <c r="M37" s="792"/>
      <c r="N37" s="1536"/>
      <c r="P37" s="1536"/>
      <c r="Q37" s="1806"/>
      <c r="R37" s="1806"/>
      <c r="S37" s="1536"/>
      <c r="T37" s="1536"/>
      <c r="U37" s="1536"/>
      <c r="V37" s="1536"/>
      <c r="W37" s="1806"/>
      <c r="X37" s="1536"/>
      <c r="Y37" s="1536"/>
      <c r="Z37" s="714"/>
      <c r="AA37" s="1536"/>
      <c r="AB37" s="1536"/>
      <c r="AC37" s="1536"/>
      <c r="AD37" s="1536"/>
      <c r="AE37" s="1536"/>
      <c r="AF37" s="1802"/>
      <c r="AG37" s="792"/>
      <c r="AH37" s="792"/>
      <c r="AI37" s="792"/>
      <c r="AJ37" s="792"/>
      <c r="AK37" s="1811">
        <v>11</v>
      </c>
    </row>
    <row s="12668" customFormat="1" customHeight="1" ht="11.549999999999999">
      <c r="A38" s="1157"/>
      <c r="B38" s="1157"/>
      <c r="C38" s="1157"/>
      <c r="D38" s="1157"/>
      <c r="E38" s="1157"/>
      <c r="F38" s="1806"/>
      <c r="G38" s="1806"/>
      <c r="H38" s="521"/>
      <c r="N38" s="1536"/>
      <c r="P38" s="1536"/>
      <c r="Q38" s="1806"/>
      <c r="R38" s="1806"/>
      <c r="S38" s="1536"/>
      <c r="T38" s="1536"/>
      <c r="U38" s="1536"/>
      <c r="V38" s="1536"/>
      <c r="W38" s="1806"/>
      <c r="X38" s="1536"/>
      <c r="Y38" s="1536"/>
      <c r="Z38" s="714"/>
      <c r="AA38" s="1536"/>
      <c r="AB38" s="1536"/>
      <c r="AC38" s="1536"/>
      <c r="AD38" s="1536"/>
      <c r="AE38" s="1536"/>
      <c r="AF38" s="1802"/>
      <c r="AG38" s="792"/>
      <c r="AH38" s="792"/>
      <c r="AI38" s="792"/>
      <c r="AJ38" s="792"/>
      <c r="AK38" s="1811">
        <v>11</v>
      </c>
    </row>
    <row s="12668" customFormat="1" customHeight="1" ht="11.549999999999999">
      <c r="A39" s="1157"/>
      <c r="B39" s="1157"/>
      <c r="C39" s="1157"/>
      <c r="D39" s="1157"/>
      <c r="E39" s="1157"/>
      <c r="F39" s="1806"/>
      <c r="G39" s="1806"/>
      <c r="H39" s="521"/>
      <c r="N39" s="1536"/>
      <c r="P39" s="1536"/>
      <c r="Q39" s="1806"/>
      <c r="R39" s="1806"/>
      <c r="S39" s="1536"/>
      <c r="T39" s="1536"/>
      <c r="U39" s="1536"/>
      <c r="V39" s="1536"/>
      <c r="W39" s="1806"/>
      <c r="X39" s="1536"/>
      <c r="Y39" s="1536"/>
      <c r="Z39" s="714"/>
      <c r="AA39" s="1536"/>
      <c r="AB39" s="1536"/>
      <c r="AC39" s="1536"/>
      <c r="AD39" s="1536"/>
      <c r="AE39" s="1536"/>
      <c r="AF39" s="1802"/>
      <c r="AG39" s="792"/>
      <c r="AH39" s="792"/>
      <c r="AI39" s="792"/>
      <c r="AJ39" s="792"/>
      <c r="AK39" s="1811">
        <v>11</v>
      </c>
    </row>
    <row s="12668" customFormat="1" customHeight="1" ht="11.549999999999999">
      <c r="A40" s="1157"/>
      <c r="B40" s="1157"/>
      <c r="C40" s="1157"/>
      <c r="D40" s="1157"/>
      <c r="E40" s="1157"/>
      <c r="F40" s="1806"/>
      <c r="G40" s="1806"/>
      <c r="H40" s="521"/>
      <c r="N40" s="1536"/>
      <c r="P40" s="1536"/>
      <c r="Q40" s="1806"/>
      <c r="R40" s="1806"/>
      <c r="S40" s="1536"/>
      <c r="T40" s="1536"/>
      <c r="U40" s="1536"/>
      <c r="V40" s="1536"/>
      <c r="W40" s="1806"/>
      <c r="X40" s="1536"/>
      <c r="Y40" s="1536"/>
      <c r="Z40" s="714"/>
      <c r="AA40" s="1536"/>
      <c r="AB40" s="1536"/>
      <c r="AC40" s="1536"/>
      <c r="AD40" s="1536"/>
      <c r="AE40" s="1536"/>
      <c r="AF40" s="1802"/>
      <c r="AG40" s="792"/>
      <c r="AH40" s="792"/>
      <c r="AI40" s="792"/>
      <c r="AJ40" s="792"/>
      <c r="AK40" s="1811">
        <v>11</v>
      </c>
    </row>
    <row s="12668" customFormat="1" customHeight="1" ht="11.549999999999999">
      <c r="A41" s="1157"/>
      <c r="B41" s="1157"/>
      <c r="C41" s="1157"/>
      <c r="D41" s="1157"/>
      <c r="E41" s="1157"/>
      <c r="F41" s="1806"/>
      <c r="G41" s="1806"/>
      <c r="H41" s="521"/>
      <c r="N41" s="1536"/>
      <c r="P41" s="1536"/>
      <c r="Q41" s="1806"/>
      <c r="R41" s="1806"/>
      <c r="S41" s="1536"/>
      <c r="T41" s="1536"/>
      <c r="U41" s="1536"/>
      <c r="V41" s="1536"/>
      <c r="W41" s="1806"/>
      <c r="X41" s="1536"/>
      <c r="Y41" s="1536"/>
      <c r="Z41" s="714"/>
      <c r="AA41" s="1536"/>
      <c r="AB41" s="1536"/>
      <c r="AC41" s="1536"/>
      <c r="AD41" s="1536"/>
      <c r="AE41" s="1536"/>
      <c r="AF41" s="1802"/>
      <c r="AG41" s="792"/>
      <c r="AH41" s="792"/>
      <c r="AI41" s="792"/>
      <c r="AJ41" s="792"/>
      <c r="AK41" s="1811">
        <v>11</v>
      </c>
    </row>
    <row s="12668" customFormat="1" customHeight="1" ht="11.549999999999999">
      <c r="A42" s="1157"/>
      <c r="B42" s="1157"/>
      <c r="C42" s="1157"/>
      <c r="D42" s="1157"/>
      <c r="E42" s="1157"/>
      <c r="F42" s="1806"/>
      <c r="G42" s="1806"/>
      <c r="H42" s="521"/>
      <c r="N42" s="1536"/>
      <c r="P42" s="1536"/>
      <c r="Q42" s="1806"/>
      <c r="R42" s="1806"/>
      <c r="S42" s="1536"/>
      <c r="T42" s="1536"/>
      <c r="U42" s="1536"/>
      <c r="V42" s="1536"/>
      <c r="W42" s="1806"/>
      <c r="X42" s="1536"/>
      <c r="Y42" s="1536"/>
      <c r="Z42" s="714"/>
      <c r="AA42" s="1536"/>
      <c r="AB42" s="1536"/>
      <c r="AC42" s="1536"/>
      <c r="AD42" s="1536"/>
      <c r="AE42" s="1536"/>
      <c r="AF42" s="1802"/>
      <c r="AG42" s="792"/>
      <c r="AH42" s="792"/>
      <c r="AI42" s="792"/>
      <c r="AJ42" s="792"/>
      <c r="AK42" s="1811">
        <v>11</v>
      </c>
    </row>
    <row s="12668" customFormat="1" customHeight="1" ht="11.549999999999999">
      <c r="A43" s="1157"/>
      <c r="B43" s="1157"/>
      <c r="C43" s="1157"/>
      <c r="D43" s="1157"/>
      <c r="E43" s="1157"/>
      <c r="F43" s="1806"/>
      <c r="G43" s="1806"/>
      <c r="H43" s="521"/>
      <c r="N43" s="1536"/>
      <c r="P43" s="1536"/>
      <c r="Q43" s="1806"/>
      <c r="R43" s="1806"/>
      <c r="S43" s="1536"/>
      <c r="T43" s="1536"/>
      <c r="U43" s="1536"/>
      <c r="V43" s="1536"/>
      <c r="W43" s="1806"/>
      <c r="X43" s="1536"/>
      <c r="Y43" s="1536"/>
      <c r="Z43" s="714"/>
      <c r="AA43" s="1536"/>
      <c r="AB43" s="1536"/>
      <c r="AC43" s="1536"/>
      <c r="AD43" s="1536"/>
      <c r="AE43" s="1536"/>
      <c r="AF43" s="1802"/>
      <c r="AG43" s="792"/>
      <c r="AH43" s="792"/>
      <c r="AI43" s="792"/>
      <c r="AJ43" s="792"/>
      <c r="AK43" s="1811">
        <v>11</v>
      </c>
    </row>
    <row s="12668" customFormat="1" customHeight="1" ht="11.549999999999999">
      <c r="A44" s="1157"/>
      <c r="B44" s="1157"/>
      <c r="C44" s="1157"/>
      <c r="D44" s="1157"/>
      <c r="E44" s="1157"/>
      <c r="F44" s="1806"/>
      <c r="G44" s="1806"/>
      <c r="H44" s="521"/>
      <c r="N44" s="1536"/>
      <c r="P44" s="1536"/>
      <c r="Q44" s="1806"/>
      <c r="R44" s="1806"/>
      <c r="S44" s="1536"/>
      <c r="T44" s="1536"/>
      <c r="U44" s="1536"/>
      <c r="V44" s="1536"/>
      <c r="W44" s="1806"/>
      <c r="X44" s="1536"/>
      <c r="Y44" s="1536"/>
      <c r="Z44" s="714"/>
      <c r="AA44" s="1536"/>
      <c r="AB44" s="1536"/>
      <c r="AC44" s="1536"/>
      <c r="AD44" s="1536"/>
      <c r="AE44" s="1536"/>
      <c r="AF44" s="1802"/>
      <c r="AG44" s="792"/>
      <c r="AH44" s="792"/>
      <c r="AI44" s="792"/>
      <c r="AJ44" s="792"/>
      <c r="AK44" s="1811">
        <v>11</v>
      </c>
    </row>
    <row s="12668" customFormat="1" customHeight="1" ht="11.549999999999999">
      <c r="A45" s="1157"/>
      <c r="B45" s="1157"/>
      <c r="C45" s="1157"/>
      <c r="D45" s="1157"/>
      <c r="E45" s="1157"/>
      <c r="F45" s="1806"/>
      <c r="G45" s="1806"/>
      <c r="H45" s="521"/>
      <c r="N45" s="1536"/>
      <c r="P45" s="1536"/>
      <c r="Q45" s="1806"/>
      <c r="R45" s="1806"/>
      <c r="S45" s="1536"/>
      <c r="T45" s="1536"/>
      <c r="U45" s="1536"/>
      <c r="V45" s="1536"/>
      <c r="W45" s="1806"/>
      <c r="X45" s="1536"/>
      <c r="Y45" s="1536"/>
      <c r="Z45" s="714"/>
      <c r="AA45" s="1536"/>
      <c r="AB45" s="1536"/>
      <c r="AC45" s="1536"/>
      <c r="AD45" s="1536"/>
      <c r="AE45" s="1536"/>
      <c r="AF45" s="1802"/>
      <c r="AG45" s="792"/>
      <c r="AH45" s="792"/>
      <c r="AI45" s="792"/>
      <c r="AJ45" s="792"/>
      <c r="AK45" s="1811">
        <v>11</v>
      </c>
    </row>
    <row s="12668" customFormat="1" customHeight="1" ht="11.549999999999999">
      <c r="A46" s="1157"/>
      <c r="B46" s="1157"/>
      <c r="C46" s="1157"/>
      <c r="D46" s="1157"/>
      <c r="E46" s="1157"/>
      <c r="F46" s="1806"/>
      <c r="G46" s="1806"/>
      <c r="H46" s="521"/>
      <c r="N46" s="1536"/>
      <c r="P46" s="1536"/>
      <c r="Q46" s="1806"/>
      <c r="R46" s="1806"/>
      <c r="S46" s="1536"/>
      <c r="T46" s="1536"/>
      <c r="U46" s="1536"/>
      <c r="V46" s="1536"/>
      <c r="W46" s="1806"/>
      <c r="X46" s="1536"/>
      <c r="Y46" s="1536"/>
      <c r="Z46" s="714"/>
      <c r="AA46" s="1536"/>
      <c r="AB46" s="1536"/>
      <c r="AC46" s="1536"/>
      <c r="AD46" s="1536"/>
      <c r="AE46" s="1536"/>
      <c r="AF46" s="1802"/>
      <c r="AG46" s="792"/>
      <c r="AH46" s="792"/>
      <c r="AI46" s="792"/>
      <c r="AJ46" s="792"/>
      <c r="AK46" s="1811">
        <v>11</v>
      </c>
    </row>
    <row s="12668" customFormat="1" customHeight="1" ht="11.549999999999999">
      <c r="A47" s="1157"/>
      <c r="B47" s="1157"/>
      <c r="C47" s="1157"/>
      <c r="D47" s="1157"/>
      <c r="E47" s="1157"/>
      <c r="F47" s="1806"/>
      <c r="G47" s="1806"/>
      <c r="H47" s="521"/>
      <c r="N47" s="1536"/>
      <c r="P47" s="1536"/>
      <c r="Q47" s="1806"/>
      <c r="R47" s="1806"/>
      <c r="S47" s="1536"/>
      <c r="T47" s="1536"/>
      <c r="U47" s="1536"/>
      <c r="V47" s="1536"/>
      <c r="W47" s="1806"/>
      <c r="X47" s="1536"/>
      <c r="Y47" s="1536"/>
      <c r="Z47" s="714"/>
      <c r="AA47" s="1536"/>
      <c r="AB47" s="1536"/>
      <c r="AC47" s="1536"/>
      <c r="AD47" s="1536"/>
      <c r="AE47" s="1536"/>
      <c r="AF47" s="1802"/>
      <c r="AG47" s="792"/>
      <c r="AH47" s="792"/>
      <c r="AI47" s="792"/>
      <c r="AJ47" s="792"/>
      <c r="AK47" s="1811">
        <v>11</v>
      </c>
    </row>
    <row s="12668" customFormat="1" customHeight="1" ht="11.549999999999999">
      <c r="A48" s="1157"/>
      <c r="B48" s="1157"/>
      <c r="C48" s="1157"/>
      <c r="D48" s="1157"/>
      <c r="E48" s="1157"/>
      <c r="F48" s="1806"/>
      <c r="G48" s="1806"/>
      <c r="H48" s="521"/>
      <c r="N48" s="1536"/>
      <c r="P48" s="1536"/>
      <c r="Q48" s="1806"/>
      <c r="R48" s="1806"/>
      <c r="S48" s="1536"/>
      <c r="T48" s="1536"/>
      <c r="U48" s="1536"/>
      <c r="V48" s="1536"/>
      <c r="W48" s="1806"/>
      <c r="X48" s="1536"/>
      <c r="Y48" s="1536"/>
      <c r="Z48" s="714"/>
      <c r="AA48" s="1536"/>
      <c r="AB48" s="1536"/>
      <c r="AC48" s="1536"/>
      <c r="AD48" s="1536"/>
      <c r="AE48" s="1536"/>
      <c r="AF48" s="1802"/>
      <c r="AG48" s="792"/>
      <c r="AH48" s="792"/>
      <c r="AI48" s="792"/>
      <c r="AJ48" s="792"/>
      <c r="AK48" s="1811">
        <v>11</v>
      </c>
    </row>
    <row s="12668" customFormat="1" customHeight="1" ht="11.549999999999999">
      <c r="A49" s="1157"/>
      <c r="B49" s="1157"/>
      <c r="C49" s="1157"/>
      <c r="D49" s="1157"/>
      <c r="E49" s="1157"/>
      <c r="F49" s="1806"/>
      <c r="G49" s="1806"/>
      <c r="H49" s="521"/>
      <c r="N49" s="1536"/>
      <c r="P49" s="1536"/>
      <c r="Q49" s="1806"/>
      <c r="R49" s="1806"/>
      <c r="S49" s="1536"/>
      <c r="T49" s="1536"/>
      <c r="U49" s="1536"/>
      <c r="V49" s="1536"/>
      <c r="W49" s="1806"/>
      <c r="X49" s="1536"/>
      <c r="Y49" s="1536"/>
      <c r="Z49" s="714"/>
      <c r="AA49" s="1536"/>
      <c r="AB49" s="1536"/>
      <c r="AC49" s="1536"/>
      <c r="AD49" s="1536"/>
      <c r="AE49" s="1536"/>
      <c r="AF49" s="1802"/>
      <c r="AG49" s="792"/>
      <c r="AH49" s="792"/>
      <c r="AI49" s="792"/>
      <c r="AJ49" s="792"/>
      <c r="AK49" s="1811">
        <v>11</v>
      </c>
    </row>
    <row s="12668" customFormat="1" customHeight="1" ht="11.549999999999999">
      <c r="A50" s="1157"/>
      <c r="B50" s="1157"/>
      <c r="C50" s="1157"/>
      <c r="D50" s="1157"/>
      <c r="E50" s="1157"/>
      <c r="F50" s="1806"/>
      <c r="G50" s="1806"/>
      <c r="H50" s="521"/>
      <c r="N50" s="1536"/>
      <c r="P50" s="1536"/>
      <c r="Q50" s="1806"/>
      <c r="R50" s="1806"/>
      <c r="S50" s="1536"/>
      <c r="T50" s="1536"/>
      <c r="U50" s="1536"/>
      <c r="V50" s="1536"/>
      <c r="W50" s="1806"/>
      <c r="X50" s="1536"/>
      <c r="Y50" s="1536"/>
      <c r="Z50" s="714"/>
      <c r="AA50" s="1536"/>
      <c r="AB50" s="1536"/>
      <c r="AC50" s="1536"/>
      <c r="AD50" s="1536"/>
      <c r="AE50" s="1536"/>
      <c r="AF50" s="1802"/>
      <c r="AG50" s="792"/>
      <c r="AH50" s="792"/>
      <c r="AI50" s="792"/>
      <c r="AJ50" s="792"/>
      <c r="AK50" s="1811">
        <v>11</v>
      </c>
    </row>
    <row s="12668" customFormat="1" customHeight="1" ht="11.549999999999999">
      <c r="A51" s="1157"/>
      <c r="B51" s="1157"/>
      <c r="C51" s="1157"/>
      <c r="D51" s="1157"/>
      <c r="E51" s="1157"/>
      <c r="F51" s="1806"/>
      <c r="G51" s="1806"/>
      <c r="H51" s="521"/>
      <c r="N51" s="1536"/>
      <c r="P51" s="1536"/>
      <c r="Q51" s="1806"/>
      <c r="R51" s="1806"/>
      <c r="S51" s="1536"/>
      <c r="T51" s="1536"/>
      <c r="U51" s="1536"/>
      <c r="V51" s="1536"/>
      <c r="W51" s="1806"/>
      <c r="X51" s="1536"/>
      <c r="Y51" s="1536"/>
      <c r="Z51" s="714"/>
      <c r="AA51" s="1536"/>
      <c r="AB51" s="1536"/>
      <c r="AC51" s="1536"/>
      <c r="AD51" s="1536"/>
      <c r="AE51" s="1536"/>
      <c r="AF51" s="1802"/>
      <c r="AG51" s="792"/>
      <c r="AH51" s="792"/>
      <c r="AI51" s="792"/>
      <c r="AJ51" s="792"/>
      <c r="AK51" s="1811">
        <v>11</v>
      </c>
    </row>
    <row s="12668" customFormat="1" customHeight="1" ht="11.549999999999999">
      <c r="A52" s="1157"/>
      <c r="B52" s="1157"/>
      <c r="C52" s="1157"/>
      <c r="D52" s="1157"/>
      <c r="E52" s="1157"/>
      <c r="F52" s="1806"/>
      <c r="G52" s="1806"/>
      <c r="H52" s="521"/>
      <c r="N52" s="1536"/>
      <c r="P52" s="1536"/>
      <c r="Q52" s="1806"/>
      <c r="R52" s="1806"/>
      <c r="S52" s="1536"/>
      <c r="T52" s="1536"/>
      <c r="U52" s="1536"/>
      <c r="V52" s="1536"/>
      <c r="W52" s="1806"/>
      <c r="X52" s="1536"/>
      <c r="Y52" s="1536"/>
      <c r="Z52" s="714"/>
      <c r="AA52" s="1536"/>
      <c r="AB52" s="1536"/>
      <c r="AC52" s="1536"/>
      <c r="AD52" s="1536"/>
      <c r="AE52" s="1536"/>
      <c r="AF52" s="1802"/>
      <c r="AG52" s="792"/>
      <c r="AH52" s="792"/>
      <c r="AI52" s="792"/>
      <c r="AJ52" s="792"/>
      <c r="AK52" s="1811">
        <v>11</v>
      </c>
    </row>
    <row s="12668" customFormat="1" customHeight="1" ht="11.549999999999999">
      <c r="A53" s="1157"/>
      <c r="B53" s="1157"/>
      <c r="C53" s="1157"/>
      <c r="D53" s="1157"/>
      <c r="E53" s="1157"/>
      <c r="F53" s="1806"/>
      <c r="G53" s="1806"/>
      <c r="H53" s="521"/>
      <c r="N53" s="1536"/>
      <c r="P53" s="1536"/>
      <c r="Q53" s="1806"/>
      <c r="R53" s="1806"/>
      <c r="S53" s="1536"/>
      <c r="T53" s="1536"/>
      <c r="U53" s="1536"/>
      <c r="V53" s="1536"/>
      <c r="W53" s="1806"/>
      <c r="X53" s="1536"/>
      <c r="Y53" s="1536"/>
      <c r="Z53" s="714"/>
      <c r="AA53" s="1536"/>
      <c r="AB53" s="1536"/>
      <c r="AC53" s="1536"/>
      <c r="AD53" s="1536"/>
      <c r="AE53" s="1536"/>
      <c r="AF53" s="1802"/>
      <c r="AG53" s="792"/>
      <c r="AH53" s="792"/>
      <c r="AI53" s="792"/>
      <c r="AJ53" s="792"/>
      <c r="AK53" s="1811">
        <v>11</v>
      </c>
    </row>
    <row s="12668" customFormat="1" customHeight="1" ht="11.549999999999999">
      <c r="A54" s="1157"/>
      <c r="B54" s="1157"/>
      <c r="C54" s="1157"/>
      <c r="D54" s="1157"/>
      <c r="E54" s="1157"/>
      <c r="F54" s="1806"/>
      <c r="G54" s="1806"/>
      <c r="H54" s="521"/>
      <c r="N54" s="1536"/>
      <c r="P54" s="1536"/>
      <c r="Q54" s="1806"/>
      <c r="R54" s="1806"/>
      <c r="S54" s="1536"/>
      <c r="T54" s="1536"/>
      <c r="U54" s="1536"/>
      <c r="V54" s="1536"/>
      <c r="W54" s="1806"/>
      <c r="X54" s="1536"/>
      <c r="Y54" s="1536"/>
      <c r="Z54" s="714"/>
      <c r="AA54" s="1536"/>
      <c r="AB54" s="1536"/>
      <c r="AC54" s="1536"/>
      <c r="AD54" s="1536"/>
      <c r="AE54" s="1536"/>
      <c r="AF54" s="1802"/>
      <c r="AG54" s="792"/>
      <c r="AH54" s="792"/>
      <c r="AI54" s="792"/>
      <c r="AJ54" s="792"/>
      <c r="AK54" s="1811">
        <v>11</v>
      </c>
    </row>
    <row s="12668" customFormat="1" customHeight="1" ht="11.549999999999999">
      <c r="A55" s="1157"/>
      <c r="B55" s="1157"/>
      <c r="C55" s="1157"/>
      <c r="D55" s="1157"/>
      <c r="E55" s="1157"/>
      <c r="F55" s="1806"/>
      <c r="G55" s="1806"/>
      <c r="H55" s="521"/>
      <c r="N55" s="1536"/>
      <c r="P55" s="1536"/>
      <c r="Q55" s="1806"/>
      <c r="R55" s="1806"/>
      <c r="S55" s="1536"/>
      <c r="T55" s="1536"/>
      <c r="U55" s="1536"/>
      <c r="V55" s="1536"/>
      <c r="W55" s="1806"/>
      <c r="X55" s="1536"/>
      <c r="Y55" s="1536"/>
      <c r="Z55" s="714"/>
      <c r="AA55" s="1536"/>
      <c r="AB55" s="1536"/>
      <c r="AC55" s="1536"/>
      <c r="AD55" s="1536"/>
      <c r="AE55" s="1536"/>
      <c r="AF55" s="1802"/>
      <c r="AG55" s="792"/>
      <c r="AH55" s="792"/>
      <c r="AI55" s="792"/>
      <c r="AJ55" s="792"/>
      <c r="AK55" s="1811">
        <v>11</v>
      </c>
    </row>
    <row s="12668" customFormat="1" customHeight="1" ht="11.549999999999999">
      <c r="A56" s="1157"/>
      <c r="B56" s="1157"/>
      <c r="C56" s="1157"/>
      <c r="D56" s="1157"/>
      <c r="E56" s="1157"/>
      <c r="F56" s="1806"/>
      <c r="G56" s="1806"/>
      <c r="H56" s="521"/>
      <c r="N56" s="1536"/>
      <c r="P56" s="1536"/>
      <c r="Q56" s="1806"/>
      <c r="R56" s="1806"/>
      <c r="S56" s="1536"/>
      <c r="T56" s="1536"/>
      <c r="U56" s="1536"/>
      <c r="V56" s="1536"/>
      <c r="W56" s="1806"/>
      <c r="X56" s="1536"/>
      <c r="Y56" s="1536"/>
      <c r="Z56" s="714"/>
      <c r="AA56" s="1536"/>
      <c r="AB56" s="1536"/>
      <c r="AC56" s="1536"/>
      <c r="AD56" s="1536"/>
      <c r="AE56" s="1536"/>
      <c r="AF56" s="1802"/>
      <c r="AG56" s="792"/>
      <c r="AH56" s="792"/>
      <c r="AI56" s="792"/>
      <c r="AJ56" s="792"/>
      <c r="AK56" s="1811">
        <v>11</v>
      </c>
    </row>
    <row s="12668" customFormat="1" customHeight="1" ht="11.549999999999999">
      <c r="A57" s="1157"/>
      <c r="B57" s="1157"/>
      <c r="C57" s="1157"/>
      <c r="D57" s="1157"/>
      <c r="E57" s="1157"/>
      <c r="F57" s="1806"/>
      <c r="G57" s="1806"/>
      <c r="H57" s="521"/>
      <c r="N57" s="1536"/>
      <c r="P57" s="1536"/>
      <c r="Q57" s="1806"/>
      <c r="R57" s="1806"/>
      <c r="S57" s="1536"/>
      <c r="T57" s="1536"/>
      <c r="U57" s="1536"/>
      <c r="V57" s="1536"/>
      <c r="W57" s="1806"/>
      <c r="X57" s="1536"/>
      <c r="Y57" s="1536"/>
      <c r="Z57" s="714"/>
      <c r="AA57" s="1536"/>
      <c r="AB57" s="1536"/>
      <c r="AC57" s="1536"/>
      <c r="AD57" s="1536"/>
      <c r="AE57" s="1536"/>
      <c r="AF57" s="1802"/>
      <c r="AG57" s="792"/>
      <c r="AH57" s="792"/>
      <c r="AI57" s="792"/>
      <c r="AJ57" s="792"/>
      <c r="AK57" s="1811">
        <v>11</v>
      </c>
    </row>
    <row s="12668" customFormat="1" customHeight="1" ht="11.549999999999999">
      <c r="A58" s="1157"/>
      <c r="B58" s="1157"/>
      <c r="C58" s="1157"/>
      <c r="D58" s="1157"/>
      <c r="E58" s="1157"/>
      <c r="F58" s="1806"/>
      <c r="G58" s="1806"/>
      <c r="H58" s="521"/>
      <c r="N58" s="1536"/>
      <c r="P58" s="1536"/>
      <c r="Q58" s="1806"/>
      <c r="R58" s="1806"/>
      <c r="S58" s="1536"/>
      <c r="T58" s="1536"/>
      <c r="U58" s="1536"/>
      <c r="V58" s="1536"/>
      <c r="W58" s="1806"/>
      <c r="X58" s="1536"/>
      <c r="Y58" s="1536"/>
      <c r="Z58" s="714"/>
      <c r="AA58" s="1536"/>
      <c r="AB58" s="1536"/>
      <c r="AC58" s="1536"/>
      <c r="AD58" s="1536"/>
      <c r="AE58" s="1536"/>
      <c r="AF58" s="1802"/>
      <c r="AG58" s="792"/>
      <c r="AH58" s="792"/>
      <c r="AI58" s="792"/>
      <c r="AJ58" s="792"/>
      <c r="AK58" s="1811">
        <v>11</v>
      </c>
    </row>
    <row s="12668" customFormat="1" customHeight="1" ht="11.549999999999999">
      <c r="A59" s="1157"/>
      <c r="B59" s="1157"/>
      <c r="C59" s="1157"/>
      <c r="D59" s="1157"/>
      <c r="E59" s="1157"/>
      <c r="F59" s="1806"/>
      <c r="G59" s="1806"/>
      <c r="H59" s="521"/>
      <c r="N59" s="1536"/>
      <c r="P59" s="1536"/>
      <c r="Q59" s="1806"/>
      <c r="R59" s="1806"/>
      <c r="S59" s="1536"/>
      <c r="T59" s="1536"/>
      <c r="U59" s="1536"/>
      <c r="V59" s="1536"/>
      <c r="W59" s="1806"/>
      <c r="X59" s="1536"/>
      <c r="Y59" s="1536"/>
      <c r="Z59" s="714"/>
      <c r="AA59" s="1536"/>
      <c r="AB59" s="1536"/>
      <c r="AC59" s="1536"/>
      <c r="AD59" s="1536"/>
      <c r="AE59" s="1536"/>
      <c r="AF59" s="1802"/>
      <c r="AG59" s="792"/>
      <c r="AH59" s="792"/>
      <c r="AI59" s="792"/>
      <c r="AJ59" s="792"/>
      <c r="AK59" s="1811">
        <v>11</v>
      </c>
    </row>
    <row s="12668" customFormat="1" customHeight="1" ht="11.549999999999999">
      <c r="A60" s="1157"/>
      <c r="B60" s="1157"/>
      <c r="C60" s="1157"/>
      <c r="D60" s="1157"/>
      <c r="E60" s="1157"/>
      <c r="F60" s="1806"/>
      <c r="G60" s="1806"/>
      <c r="H60" s="521"/>
      <c r="N60" s="1536"/>
      <c r="P60" s="1536"/>
      <c r="Q60" s="1806"/>
      <c r="R60" s="1806"/>
      <c r="S60" s="1536"/>
      <c r="T60" s="1536"/>
      <c r="U60" s="1536"/>
      <c r="V60" s="1536"/>
      <c r="W60" s="1806"/>
      <c r="X60" s="1536"/>
      <c r="Y60" s="1536"/>
      <c r="Z60" s="714"/>
      <c r="AA60" s="1536"/>
      <c r="AB60" s="1536"/>
      <c r="AC60" s="1536"/>
      <c r="AD60" s="1536"/>
      <c r="AE60" s="1536"/>
      <c r="AF60" s="1802"/>
      <c r="AG60" s="792"/>
      <c r="AH60" s="792"/>
      <c r="AI60" s="792"/>
      <c r="AJ60" s="792"/>
      <c r="AK60" s="1811">
        <v>11</v>
      </c>
    </row>
    <row s="12668" customFormat="1" customHeight="1" ht="11.549999999999999">
      <c r="A61" s="1157"/>
      <c r="B61" s="1157"/>
      <c r="C61" s="1157"/>
      <c r="D61" s="1157"/>
      <c r="E61" s="1157"/>
      <c r="F61" s="1806"/>
      <c r="G61" s="1806"/>
      <c r="H61" s="521"/>
      <c r="N61" s="1536"/>
      <c r="P61" s="1536"/>
      <c r="Q61" s="1806"/>
      <c r="R61" s="1806"/>
      <c r="S61" s="1536"/>
      <c r="T61" s="1536"/>
      <c r="U61" s="1536"/>
      <c r="V61" s="1536"/>
      <c r="W61" s="1806"/>
      <c r="X61" s="1536"/>
      <c r="Y61" s="1536"/>
      <c r="Z61" s="714"/>
      <c r="AA61" s="1536"/>
      <c r="AB61" s="1536"/>
      <c r="AC61" s="1536"/>
      <c r="AD61" s="1536"/>
      <c r="AE61" s="1536"/>
      <c r="AF61" s="1802"/>
      <c r="AG61" s="792"/>
      <c r="AH61" s="792"/>
      <c r="AI61" s="792"/>
      <c r="AJ61" s="792"/>
      <c r="AK61" s="1811">
        <v>11</v>
      </c>
    </row>
    <row s="12668" customFormat="1" customHeight="1" ht="11.549999999999999">
      <c r="A62" s="1157"/>
      <c r="B62" s="1157"/>
      <c r="C62" s="1157"/>
      <c r="D62" s="1157"/>
      <c r="E62" s="1157"/>
      <c r="F62" s="1806"/>
      <c r="G62" s="1806"/>
      <c r="H62" s="521"/>
      <c r="N62" s="1536"/>
      <c r="P62" s="1536"/>
      <c r="Q62" s="1806"/>
      <c r="R62" s="1806"/>
      <c r="S62" s="1536"/>
      <c r="T62" s="1536"/>
      <c r="U62" s="1536"/>
      <c r="V62" s="1536"/>
      <c r="W62" s="1806"/>
      <c r="X62" s="1536"/>
      <c r="Y62" s="1536"/>
      <c r="Z62" s="714"/>
      <c r="AA62" s="1536"/>
      <c r="AB62" s="1536"/>
      <c r="AC62" s="1536"/>
      <c r="AD62" s="1536"/>
      <c r="AE62" s="1536"/>
      <c r="AF62" s="1802"/>
      <c r="AG62" s="792"/>
      <c r="AH62" s="792"/>
      <c r="AI62" s="792"/>
      <c r="AJ62" s="792"/>
      <c r="AK62" s="1811">
        <v>11</v>
      </c>
    </row>
    <row s="12668" customFormat="1" customHeight="1" ht="11.549999999999999">
      <c r="A63" s="1157"/>
      <c r="B63" s="1157"/>
      <c r="C63" s="1157"/>
      <c r="D63" s="1157"/>
      <c r="E63" s="1157"/>
      <c r="F63" s="1806"/>
      <c r="G63" s="1806"/>
      <c r="H63" s="521"/>
      <c r="N63" s="1536"/>
      <c r="P63" s="1536"/>
      <c r="Q63" s="1806"/>
      <c r="R63" s="1806"/>
      <c r="S63" s="1536"/>
      <c r="T63" s="1536"/>
      <c r="U63" s="1536"/>
      <c r="V63" s="1536"/>
      <c r="W63" s="1806"/>
      <c r="X63" s="1536"/>
      <c r="Y63" s="1536"/>
      <c r="Z63" s="714"/>
      <c r="AA63" s="1536"/>
      <c r="AB63" s="1536"/>
      <c r="AC63" s="1536"/>
      <c r="AD63" s="1536"/>
      <c r="AE63" s="1536"/>
      <c r="AF63" s="1802"/>
      <c r="AG63" s="792"/>
      <c r="AH63" s="792"/>
      <c r="AI63" s="792"/>
      <c r="AJ63" s="792"/>
      <c r="AK63" s="1811">
        <v>11</v>
      </c>
    </row>
    <row s="12668" customFormat="1" customHeight="1" ht="11.549999999999999">
      <c r="A64" s="1157"/>
      <c r="B64" s="1157"/>
      <c r="C64" s="1157"/>
      <c r="D64" s="1157"/>
      <c r="E64" s="1157"/>
      <c r="F64" s="1806"/>
      <c r="G64" s="1806"/>
      <c r="H64" s="521"/>
      <c r="N64" s="1536"/>
      <c r="P64" s="1536"/>
      <c r="Q64" s="1806"/>
      <c r="R64" s="1806"/>
      <c r="S64" s="1536"/>
      <c r="T64" s="1536"/>
      <c r="U64" s="1536"/>
      <c r="V64" s="1536"/>
      <c r="W64" s="1806"/>
      <c r="X64" s="1536"/>
      <c r="Y64" s="1536"/>
      <c r="Z64" s="714"/>
      <c r="AA64" s="1536"/>
      <c r="AB64" s="1536"/>
      <c r="AC64" s="1536"/>
      <c r="AD64" s="1536"/>
      <c r="AE64" s="1536"/>
      <c r="AF64" s="1802"/>
      <c r="AG64" s="792"/>
      <c r="AH64" s="792"/>
      <c r="AI64" s="792"/>
      <c r="AJ64" s="792"/>
      <c r="AK64" s="1811">
        <v>11</v>
      </c>
    </row>
    <row s="12668" customFormat="1" customHeight="1" ht="11.549999999999999">
      <c r="A65" s="1157"/>
      <c r="B65" s="1157"/>
      <c r="C65" s="1157"/>
      <c r="D65" s="1157"/>
      <c r="E65" s="1157"/>
      <c r="F65" s="1806"/>
      <c r="G65" s="1806"/>
      <c r="H65" s="521"/>
      <c r="N65" s="1536"/>
      <c r="P65" s="1536"/>
      <c r="Q65" s="1806"/>
      <c r="R65" s="1806"/>
      <c r="S65" s="1536"/>
      <c r="T65" s="1536"/>
      <c r="U65" s="1536"/>
      <c r="V65" s="1536"/>
      <c r="W65" s="1806"/>
      <c r="X65" s="1536"/>
      <c r="Y65" s="1536"/>
      <c r="Z65" s="714"/>
      <c r="AA65" s="1536"/>
      <c r="AB65" s="1536"/>
      <c r="AC65" s="1536"/>
      <c r="AD65" s="1536"/>
      <c r="AE65" s="1536"/>
      <c r="AF65" s="1802"/>
      <c r="AG65" s="792"/>
      <c r="AH65" s="792"/>
      <c r="AI65" s="792"/>
      <c r="AJ65" s="792"/>
      <c r="AK65" s="1811">
        <v>11</v>
      </c>
    </row>
    <row s="12668" customFormat="1" customHeight="1" ht="11.549999999999999">
      <c r="A66" s="1157"/>
      <c r="B66" s="1157"/>
      <c r="C66" s="1157"/>
      <c r="D66" s="1157"/>
      <c r="E66" s="1157"/>
      <c r="F66" s="1806"/>
      <c r="G66" s="1806"/>
      <c r="H66" s="521"/>
      <c r="N66" s="1536"/>
      <c r="P66" s="1536"/>
      <c r="Q66" s="1806"/>
      <c r="R66" s="1806"/>
      <c r="S66" s="1536"/>
      <c r="T66" s="1536"/>
      <c r="U66" s="1536"/>
      <c r="V66" s="1536"/>
      <c r="W66" s="1806"/>
      <c r="X66" s="1536"/>
      <c r="Y66" s="1536"/>
      <c r="Z66" s="714"/>
      <c r="AA66" s="1536"/>
      <c r="AB66" s="1536"/>
      <c r="AC66" s="1536"/>
      <c r="AD66" s="1536"/>
      <c r="AE66" s="1536"/>
      <c r="AF66" s="1802"/>
      <c r="AG66" s="792"/>
      <c r="AH66" s="792"/>
      <c r="AI66" s="792"/>
      <c r="AJ66" s="792"/>
      <c r="AK66" s="1811">
        <v>11</v>
      </c>
    </row>
    <row s="12668" customFormat="1" customHeight="1" ht="11.549999999999999">
      <c r="A67" s="1157"/>
      <c r="B67" s="1157"/>
      <c r="C67" s="1157"/>
      <c r="D67" s="1157"/>
      <c r="E67" s="1157"/>
      <c r="F67" s="1806"/>
      <c r="G67" s="1806"/>
      <c r="H67" s="521"/>
      <c r="N67" s="1536"/>
      <c r="P67" s="1536"/>
      <c r="Q67" s="1806"/>
      <c r="R67" s="1806"/>
      <c r="S67" s="1536"/>
      <c r="T67" s="1536"/>
      <c r="U67" s="1536"/>
      <c r="V67" s="1536"/>
      <c r="W67" s="1806"/>
      <c r="X67" s="1536"/>
      <c r="Y67" s="1536"/>
      <c r="Z67" s="714"/>
      <c r="AA67" s="1536"/>
      <c r="AB67" s="1536"/>
      <c r="AC67" s="1536"/>
      <c r="AD67" s="1536"/>
      <c r="AE67" s="1536"/>
      <c r="AF67" s="1802"/>
      <c r="AG67" s="792"/>
      <c r="AH67" s="792"/>
      <c r="AI67" s="792"/>
      <c r="AJ67" s="792"/>
      <c r="AK67" s="1811">
        <v>11</v>
      </c>
    </row>
    <row s="12668" customFormat="1" customHeight="1" ht="11.549999999999999">
      <c r="A68" s="1157"/>
      <c r="B68" s="1157"/>
      <c r="C68" s="1157"/>
      <c r="D68" s="1157"/>
      <c r="E68" s="1157"/>
      <c r="F68" s="1806"/>
      <c r="G68" s="1806"/>
      <c r="H68" s="521"/>
      <c r="N68" s="1536"/>
      <c r="P68" s="1536"/>
      <c r="Q68" s="1806"/>
      <c r="R68" s="1806"/>
      <c r="S68" s="1536"/>
      <c r="T68" s="1536"/>
      <c r="U68" s="1536"/>
      <c r="V68" s="1536"/>
      <c r="W68" s="1806"/>
      <c r="X68" s="1536"/>
      <c r="Y68" s="1536"/>
      <c r="Z68" s="714"/>
      <c r="AA68" s="1536"/>
      <c r="AB68" s="1536"/>
      <c r="AC68" s="1536"/>
      <c r="AD68" s="1536"/>
      <c r="AE68" s="1536"/>
      <c r="AF68" s="1802"/>
      <c r="AG68" s="792"/>
      <c r="AH68" s="792"/>
      <c r="AI68" s="792"/>
      <c r="AJ68" s="792"/>
      <c r="AK68" s="1811">
        <v>11</v>
      </c>
    </row>
    <row s="12668" customFormat="1" customHeight="1" ht="11.549999999999999">
      <c r="A69" s="1157"/>
      <c r="B69" s="1157"/>
      <c r="C69" s="1157"/>
      <c r="D69" s="1157"/>
      <c r="E69" s="1157"/>
      <c r="F69" s="1806"/>
      <c r="G69" s="1806"/>
      <c r="H69" s="521"/>
      <c r="N69" s="1536"/>
      <c r="P69" s="1536"/>
      <c r="Q69" s="1806"/>
      <c r="R69" s="1806"/>
      <c r="S69" s="1536"/>
      <c r="T69" s="1536"/>
      <c r="U69" s="1536"/>
      <c r="V69" s="1536"/>
      <c r="W69" s="1806"/>
      <c r="X69" s="1536"/>
      <c r="Y69" s="1536"/>
      <c r="Z69" s="714"/>
      <c r="AA69" s="1536"/>
      <c r="AB69" s="1536"/>
      <c r="AC69" s="1536"/>
      <c r="AD69" s="1536"/>
      <c r="AE69" s="1536"/>
      <c r="AF69" s="1802"/>
      <c r="AG69" s="792"/>
      <c r="AH69" s="792"/>
      <c r="AI69" s="792"/>
      <c r="AJ69" s="792"/>
      <c r="AK69" s="1811">
        <v>11</v>
      </c>
    </row>
    <row s="12668" customFormat="1" customHeight="1" ht="11.549999999999999">
      <c r="A70" s="1157"/>
      <c r="B70" s="1157"/>
      <c r="C70" s="1157"/>
      <c r="D70" s="1157"/>
      <c r="E70" s="1157"/>
      <c r="F70" s="1806"/>
      <c r="G70" s="1806"/>
      <c r="H70" s="521"/>
      <c r="N70" s="1536"/>
      <c r="P70" s="1536"/>
      <c r="Q70" s="1806"/>
      <c r="R70" s="1806"/>
      <c r="S70" s="1536"/>
      <c r="T70" s="1536"/>
      <c r="U70" s="1536"/>
      <c r="V70" s="1536"/>
      <c r="W70" s="1806"/>
      <c r="X70" s="1536"/>
      <c r="Y70" s="1536"/>
      <c r="Z70" s="714"/>
      <c r="AA70" s="1536"/>
      <c r="AB70" s="1536"/>
      <c r="AC70" s="1536"/>
      <c r="AD70" s="1536"/>
      <c r="AE70" s="1536"/>
      <c r="AF70" s="1802"/>
      <c r="AG70" s="792"/>
      <c r="AH70" s="792"/>
      <c r="AI70" s="792"/>
      <c r="AJ70" s="792"/>
      <c r="AK70" s="1811">
        <v>11</v>
      </c>
    </row>
    <row s="12668" customFormat="1" customHeight="1" ht="11.549999999999999">
      <c r="A71" s="1157"/>
      <c r="B71" s="1157"/>
      <c r="C71" s="1157"/>
      <c r="D71" s="1157"/>
      <c r="E71" s="1157"/>
      <c r="F71" s="1806"/>
      <c r="G71" s="1806"/>
      <c r="H71" s="521"/>
      <c r="N71" s="1536"/>
      <c r="P71" s="1536"/>
      <c r="Q71" s="1806"/>
      <c r="R71" s="1806"/>
      <c r="S71" s="1536"/>
      <c r="T71" s="1536"/>
      <c r="U71" s="1536"/>
      <c r="V71" s="1536"/>
      <c r="W71" s="1806"/>
      <c r="X71" s="1536"/>
      <c r="Y71" s="1536"/>
      <c r="Z71" s="714"/>
      <c r="AA71" s="1536"/>
      <c r="AB71" s="1536"/>
      <c r="AC71" s="1536"/>
      <c r="AD71" s="1536"/>
      <c r="AE71" s="1536"/>
      <c r="AF71" s="1802"/>
      <c r="AG71" s="792"/>
      <c r="AH71" s="792"/>
      <c r="AI71" s="792"/>
      <c r="AJ71" s="792"/>
      <c r="AK71" s="1811">
        <v>11</v>
      </c>
    </row>
    <row s="12668" customFormat="1" customHeight="1" ht="11.549999999999999">
      <c r="A72" s="1157"/>
      <c r="B72" s="1157"/>
      <c r="C72" s="1157"/>
      <c r="D72" s="1157"/>
      <c r="E72" s="1157"/>
      <c r="F72" s="1806"/>
      <c r="G72" s="1806"/>
      <c r="H72" s="521"/>
      <c r="N72" s="1536"/>
      <c r="P72" s="1536"/>
      <c r="Q72" s="1806"/>
      <c r="R72" s="1806"/>
      <c r="S72" s="1536"/>
      <c r="T72" s="1536"/>
      <c r="U72" s="1536"/>
      <c r="V72" s="1536"/>
      <c r="W72" s="1806"/>
      <c r="X72" s="1536"/>
      <c r="Y72" s="1536"/>
      <c r="Z72" s="714"/>
      <c r="AA72" s="1536"/>
      <c r="AB72" s="1536"/>
      <c r="AC72" s="1536"/>
      <c r="AD72" s="1536"/>
      <c r="AE72" s="1536"/>
      <c r="AF72" s="1802"/>
      <c r="AG72" s="792"/>
      <c r="AH72" s="792"/>
      <c r="AI72" s="792"/>
      <c r="AJ72" s="792"/>
      <c r="AK72" s="1811">
        <v>11</v>
      </c>
    </row>
    <row s="12668" customFormat="1" customHeight="1" ht="11.549999999999999">
      <c r="A73" s="1157"/>
      <c r="B73" s="1157"/>
      <c r="C73" s="1157"/>
      <c r="D73" s="1157"/>
      <c r="E73" s="1157"/>
      <c r="F73" s="1806"/>
      <c r="G73" s="1806"/>
      <c r="H73" s="521"/>
      <c r="N73" s="1536"/>
      <c r="P73" s="1536"/>
      <c r="Q73" s="1806"/>
      <c r="R73" s="1806"/>
      <c r="S73" s="1536"/>
      <c r="T73" s="1536"/>
      <c r="U73" s="1536"/>
      <c r="V73" s="1536"/>
      <c r="W73" s="1806"/>
      <c r="X73" s="1536"/>
      <c r="Y73" s="1536"/>
      <c r="Z73" s="714"/>
      <c r="AA73" s="1536"/>
      <c r="AB73" s="1536"/>
      <c r="AC73" s="1536"/>
      <c r="AD73" s="1536"/>
      <c r="AE73" s="1536"/>
      <c r="AF73" s="1802"/>
      <c r="AG73" s="792"/>
      <c r="AH73" s="792"/>
      <c r="AI73" s="792"/>
      <c r="AJ73" s="792"/>
      <c r="AK73" s="1811">
        <v>11</v>
      </c>
    </row>
    <row s="12668" customFormat="1" customHeight="1" ht="11.549999999999999">
      <c r="A74" s="1157"/>
      <c r="B74" s="1157"/>
      <c r="C74" s="1157"/>
      <c r="D74" s="1157"/>
      <c r="E74" s="1157"/>
      <c r="F74" s="1806"/>
      <c r="G74" s="1806"/>
      <c r="H74" s="521"/>
      <c r="N74" s="1536"/>
      <c r="P74" s="1536"/>
      <c r="Q74" s="1806"/>
      <c r="R74" s="1806"/>
      <c r="S74" s="1536"/>
      <c r="T74" s="1536"/>
      <c r="U74" s="1536"/>
      <c r="V74" s="1536"/>
      <c r="W74" s="1806"/>
      <c r="X74" s="1536"/>
      <c r="Y74" s="1536"/>
      <c r="Z74" s="714"/>
      <c r="AA74" s="1536"/>
      <c r="AB74" s="1536"/>
      <c r="AC74" s="1536"/>
      <c r="AD74" s="1536"/>
      <c r="AE74" s="1536"/>
      <c r="AF74" s="1802"/>
      <c r="AG74" s="792"/>
      <c r="AH74" s="792"/>
      <c r="AI74" s="792"/>
      <c r="AJ74" s="792"/>
      <c r="AK74" s="1811">
        <v>11</v>
      </c>
    </row>
    <row s="12668" customFormat="1" customHeight="1" ht="11.549999999999999">
      <c r="A75" s="1157"/>
      <c r="B75" s="1157"/>
      <c r="C75" s="1157"/>
      <c r="D75" s="1157"/>
      <c r="E75" s="1157"/>
      <c r="F75" s="1806"/>
      <c r="G75" s="1806"/>
      <c r="H75" s="521"/>
      <c r="N75" s="1536"/>
      <c r="P75" s="1536"/>
      <c r="Q75" s="1806"/>
      <c r="R75" s="1806"/>
      <c r="S75" s="1536"/>
      <c r="T75" s="1536"/>
      <c r="U75" s="1536"/>
      <c r="V75" s="1536"/>
      <c r="W75" s="1806"/>
      <c r="X75" s="1536"/>
      <c r="Y75" s="1536"/>
      <c r="Z75" s="714"/>
      <c r="AA75" s="1536"/>
      <c r="AB75" s="1536"/>
      <c r="AC75" s="1536"/>
      <c r="AD75" s="1536"/>
      <c r="AE75" s="1536"/>
      <c r="AF75" s="1802"/>
      <c r="AG75" s="792"/>
      <c r="AH75" s="792"/>
      <c r="AI75" s="792"/>
      <c r="AJ75" s="792"/>
      <c r="AK75" s="1811">
        <v>11</v>
      </c>
    </row>
    <row s="12668" customFormat="1" customHeight="1" ht="11.549999999999999">
      <c r="A76" s="1157"/>
      <c r="B76" s="1157"/>
      <c r="C76" s="1157"/>
      <c r="D76" s="1157"/>
      <c r="E76" s="1157"/>
      <c r="F76" s="1806"/>
      <c r="G76" s="1806"/>
      <c r="H76" s="521"/>
      <c r="N76" s="1536"/>
      <c r="P76" s="1536"/>
      <c r="Q76" s="1806"/>
      <c r="R76" s="1806"/>
      <c r="S76" s="1536"/>
      <c r="T76" s="1536"/>
      <c r="U76" s="1536"/>
      <c r="V76" s="1536"/>
      <c r="W76" s="1806"/>
      <c r="X76" s="1536"/>
      <c r="Y76" s="1536"/>
      <c r="Z76" s="714"/>
      <c r="AA76" s="1536"/>
      <c r="AB76" s="1536"/>
      <c r="AC76" s="1536"/>
      <c r="AD76" s="1536"/>
      <c r="AE76" s="1536"/>
      <c r="AF76" s="1802"/>
      <c r="AG76" s="792"/>
      <c r="AH76" s="792"/>
      <c r="AI76" s="792"/>
      <c r="AJ76" s="792"/>
      <c r="AK76" s="1811">
        <v>11</v>
      </c>
    </row>
    <row s="12668" customFormat="1" customHeight="1" ht="11.549999999999999">
      <c r="A77" s="1157"/>
      <c r="B77" s="1157"/>
      <c r="C77" s="1157"/>
      <c r="D77" s="1157"/>
      <c r="E77" s="1157"/>
      <c r="F77" s="1806"/>
      <c r="G77" s="1806"/>
      <c r="H77" s="521"/>
      <c r="N77" s="1536"/>
      <c r="P77" s="1536"/>
      <c r="Q77" s="1806"/>
      <c r="R77" s="1806"/>
      <c r="S77" s="1536"/>
      <c r="T77" s="1536"/>
      <c r="U77" s="1536"/>
      <c r="V77" s="1536"/>
      <c r="W77" s="1806"/>
      <c r="X77" s="1536"/>
      <c r="Y77" s="1536"/>
      <c r="Z77" s="714"/>
      <c r="AA77" s="1536"/>
      <c r="AB77" s="1536"/>
      <c r="AC77" s="1536"/>
      <c r="AD77" s="1536"/>
      <c r="AE77" s="1536"/>
      <c r="AF77" s="1802"/>
      <c r="AG77" s="792"/>
      <c r="AH77" s="792"/>
      <c r="AI77" s="792"/>
      <c r="AJ77" s="792"/>
      <c r="AK77" s="1811">
        <v>11</v>
      </c>
    </row>
    <row s="12668" customFormat="1" customHeight="1" ht="11.549999999999999">
      <c r="A78" s="1157"/>
      <c r="B78" s="1157"/>
      <c r="C78" s="1157"/>
      <c r="D78" s="1157"/>
      <c r="E78" s="1157"/>
      <c r="F78" s="1806"/>
      <c r="G78" s="1806"/>
      <c r="H78" s="521"/>
      <c r="N78" s="1536"/>
      <c r="P78" s="1536"/>
      <c r="Q78" s="1806"/>
      <c r="R78" s="1806"/>
      <c r="S78" s="1536"/>
      <c r="T78" s="1536"/>
      <c r="U78" s="1536"/>
      <c r="V78" s="1536"/>
      <c r="W78" s="1806"/>
      <c r="X78" s="1536"/>
      <c r="Y78" s="1536"/>
      <c r="Z78" s="714"/>
      <c r="AA78" s="1536"/>
      <c r="AB78" s="1536"/>
      <c r="AC78" s="1536"/>
      <c r="AD78" s="1536"/>
      <c r="AE78" s="1536"/>
      <c r="AF78" s="1802"/>
      <c r="AG78" s="792"/>
      <c r="AH78" s="792"/>
      <c r="AI78" s="792"/>
      <c r="AJ78" s="792"/>
      <c r="AK78" s="1811">
        <v>11</v>
      </c>
    </row>
    <row s="12668" customFormat="1" customHeight="1" ht="11.549999999999999">
      <c r="A79" s="1157"/>
      <c r="B79" s="1157"/>
      <c r="C79" s="1157"/>
      <c r="D79" s="1157"/>
      <c r="E79" s="1157"/>
      <c r="F79" s="1806"/>
      <c r="G79" s="1806"/>
      <c r="H79" s="521"/>
      <c r="N79" s="1536"/>
      <c r="P79" s="1536"/>
      <c r="Q79" s="1806"/>
      <c r="R79" s="1806"/>
      <c r="S79" s="1536"/>
      <c r="T79" s="1536"/>
      <c r="U79" s="1536"/>
      <c r="V79" s="1536"/>
      <c r="W79" s="1806"/>
      <c r="X79" s="1536"/>
      <c r="Y79" s="1536"/>
      <c r="Z79" s="714"/>
      <c r="AA79" s="1536"/>
      <c r="AB79" s="1536"/>
      <c r="AC79" s="1536"/>
      <c r="AD79" s="1536"/>
      <c r="AE79" s="1536"/>
      <c r="AF79" s="1802"/>
      <c r="AG79" s="792"/>
      <c r="AH79" s="792"/>
      <c r="AI79" s="792"/>
      <c r="AJ79" s="792"/>
      <c r="AK79" s="1811">
        <v>11</v>
      </c>
    </row>
    <row s="12668" customFormat="1" customHeight="1" ht="11.549999999999999">
      <c r="A80" s="1157"/>
      <c r="B80" s="1157"/>
      <c r="C80" s="1157"/>
      <c r="D80" s="1157"/>
      <c r="E80" s="1157"/>
      <c r="F80" s="1806"/>
      <c r="G80" s="1806"/>
      <c r="H80" s="521"/>
      <c r="N80" s="1536"/>
      <c r="P80" s="1536"/>
      <c r="Q80" s="1806"/>
      <c r="R80" s="1806"/>
      <c r="S80" s="1536"/>
      <c r="T80" s="1536"/>
      <c r="U80" s="1536"/>
      <c r="V80" s="1536"/>
      <c r="W80" s="1806"/>
      <c r="X80" s="1536"/>
      <c r="Y80" s="1536"/>
      <c r="Z80" s="714"/>
      <c r="AA80" s="1536"/>
      <c r="AB80" s="1536"/>
      <c r="AC80" s="1536"/>
      <c r="AD80" s="1536"/>
      <c r="AE80" s="1536"/>
      <c r="AF80" s="1802"/>
      <c r="AG80" s="792"/>
      <c r="AH80" s="792"/>
      <c r="AI80" s="792"/>
      <c r="AJ80" s="792"/>
      <c r="AK80" s="1811">
        <v>11</v>
      </c>
    </row>
    <row s="12668" customFormat="1" customHeight="1" ht="11.549999999999999">
      <c r="A81" s="1157"/>
      <c r="B81" s="1157"/>
      <c r="C81" s="1157"/>
      <c r="D81" s="1157"/>
      <c r="E81" s="1157"/>
      <c r="F81" s="1806"/>
      <c r="G81" s="1806"/>
      <c r="H81" s="521"/>
      <c r="N81" s="1536"/>
      <c r="P81" s="1536"/>
      <c r="Q81" s="1806"/>
      <c r="R81" s="1806"/>
      <c r="S81" s="1536"/>
      <c r="T81" s="1536"/>
      <c r="U81" s="1536"/>
      <c r="V81" s="1536"/>
      <c r="W81" s="1806"/>
      <c r="X81" s="1536"/>
      <c r="Y81" s="1536"/>
      <c r="Z81" s="714"/>
      <c r="AA81" s="1536"/>
      <c r="AB81" s="1536"/>
      <c r="AC81" s="1536"/>
      <c r="AD81" s="1536"/>
      <c r="AE81" s="1536"/>
      <c r="AF81" s="1802"/>
      <c r="AG81" s="792"/>
      <c r="AH81" s="792"/>
      <c r="AI81" s="792"/>
      <c r="AJ81" s="792"/>
      <c r="AK81" s="1811">
        <v>11</v>
      </c>
    </row>
    <row s="12668" customFormat="1" customHeight="1" ht="11.549999999999999">
      <c r="A82" s="1157"/>
      <c r="B82" s="1157"/>
      <c r="C82" s="1157"/>
      <c r="D82" s="1157"/>
      <c r="E82" s="1157"/>
      <c r="F82" s="1806"/>
      <c r="G82" s="1806"/>
      <c r="H82" s="521"/>
      <c r="N82" s="1536"/>
      <c r="P82" s="1536"/>
      <c r="Q82" s="1806"/>
      <c r="R82" s="1806"/>
      <c r="S82" s="1536"/>
      <c r="T82" s="1536"/>
      <c r="U82" s="1536"/>
      <c r="V82" s="1536"/>
      <c r="W82" s="1806"/>
      <c r="X82" s="1536"/>
      <c r="Y82" s="1536"/>
      <c r="Z82" s="714"/>
      <c r="AA82" s="1536"/>
      <c r="AB82" s="1536"/>
      <c r="AC82" s="1536"/>
      <c r="AD82" s="1536"/>
      <c r="AE82" s="1536"/>
      <c r="AF82" s="1802"/>
      <c r="AG82" s="792"/>
      <c r="AH82" s="792"/>
      <c r="AI82" s="792"/>
      <c r="AJ82" s="792"/>
      <c r="AK82" s="1811">
        <v>11</v>
      </c>
    </row>
    <row s="12668" customFormat="1" customHeight="1" ht="11.549999999999999">
      <c r="A83" s="1157"/>
      <c r="B83" s="1157"/>
      <c r="C83" s="1157"/>
      <c r="D83" s="1157"/>
      <c r="E83" s="1157"/>
      <c r="F83" s="1806"/>
      <c r="G83" s="1806"/>
      <c r="H83" s="521"/>
      <c r="N83" s="1536"/>
      <c r="P83" s="1536"/>
      <c r="Q83" s="1806"/>
      <c r="R83" s="1806"/>
      <c r="S83" s="1536"/>
      <c r="T83" s="1536"/>
      <c r="U83" s="1536"/>
      <c r="V83" s="1536"/>
      <c r="W83" s="1806"/>
      <c r="X83" s="1536"/>
      <c r="Y83" s="1536"/>
      <c r="Z83" s="714"/>
      <c r="AA83" s="1536"/>
      <c r="AB83" s="1536"/>
      <c r="AC83" s="1536"/>
      <c r="AD83" s="1536"/>
      <c r="AE83" s="1536"/>
      <c r="AF83" s="1802"/>
      <c r="AG83" s="792"/>
      <c r="AH83" s="792"/>
      <c r="AI83" s="792"/>
      <c r="AJ83" s="792"/>
      <c r="AK83" s="1811">
        <v>11</v>
      </c>
    </row>
    <row s="12668" customFormat="1" customHeight="1" ht="11.549999999999999">
      <c r="A84" s="1157"/>
      <c r="B84" s="1157"/>
      <c r="C84" s="1157"/>
      <c r="D84" s="1157"/>
      <c r="E84" s="1157"/>
      <c r="F84" s="1806"/>
      <c r="G84" s="1806"/>
      <c r="H84" s="521"/>
      <c r="N84" s="1536"/>
      <c r="P84" s="1536"/>
      <c r="Q84" s="1806"/>
      <c r="R84" s="1806"/>
      <c r="S84" s="1536"/>
      <c r="T84" s="1536"/>
      <c r="U84" s="1536"/>
      <c r="V84" s="1536"/>
      <c r="W84" s="1806"/>
      <c r="X84" s="1536"/>
      <c r="Y84" s="1536"/>
      <c r="Z84" s="714"/>
      <c r="AA84" s="1536"/>
      <c r="AB84" s="1536"/>
      <c r="AC84" s="1536"/>
      <c r="AD84" s="1536"/>
      <c r="AE84" s="1536"/>
      <c r="AF84" s="1802"/>
      <c r="AG84" s="792"/>
      <c r="AH84" s="792"/>
      <c r="AI84" s="792"/>
      <c r="AJ84" s="792"/>
      <c r="AK84" s="1811">
        <v>11</v>
      </c>
    </row>
    <row s="12668" customFormat="1" customHeight="1" ht="11.549999999999999">
      <c r="A85" s="1157"/>
      <c r="B85" s="1157"/>
      <c r="C85" s="1157"/>
      <c r="D85" s="1157"/>
      <c r="E85" s="1157"/>
      <c r="F85" s="1806"/>
      <c r="G85" s="1806"/>
      <c r="H85" s="521"/>
      <c r="N85" s="1536"/>
      <c r="P85" s="1536"/>
      <c r="Q85" s="1806"/>
      <c r="R85" s="1806"/>
      <c r="S85" s="1536"/>
      <c r="T85" s="1536"/>
      <c r="U85" s="1536"/>
      <c r="V85" s="1536"/>
      <c r="W85" s="1806"/>
      <c r="X85" s="1536"/>
      <c r="Y85" s="1536"/>
      <c r="Z85" s="714"/>
      <c r="AA85" s="1536"/>
      <c r="AB85" s="1536"/>
      <c r="AC85" s="1536"/>
      <c r="AD85" s="1536"/>
      <c r="AE85" s="1536"/>
      <c r="AF85" s="1802"/>
      <c r="AG85" s="792"/>
      <c r="AH85" s="792"/>
      <c r="AI85" s="792"/>
      <c r="AJ85" s="792"/>
      <c r="AK85" s="1811">
        <v>11</v>
      </c>
    </row>
    <row s="12668" customFormat="1" customHeight="1" ht="11.549999999999999">
      <c r="A86" s="1157"/>
      <c r="B86" s="1157"/>
      <c r="C86" s="1157"/>
      <c r="D86" s="1157"/>
      <c r="E86" s="1157"/>
      <c r="F86" s="1806"/>
      <c r="G86" s="1806"/>
      <c r="H86" s="521"/>
      <c r="N86" s="1536"/>
      <c r="P86" s="1536"/>
      <c r="Q86" s="1806"/>
      <c r="R86" s="1806"/>
      <c r="S86" s="1536"/>
      <c r="T86" s="1536"/>
      <c r="U86" s="1536"/>
      <c r="V86" s="1536"/>
      <c r="W86" s="1806"/>
      <c r="X86" s="1536"/>
      <c r="Y86" s="1536"/>
      <c r="Z86" s="714"/>
      <c r="AA86" s="1536"/>
      <c r="AB86" s="1536"/>
      <c r="AC86" s="1536"/>
      <c r="AD86" s="1536"/>
      <c r="AE86" s="1536"/>
      <c r="AF86" s="1802"/>
      <c r="AG86" s="792"/>
      <c r="AH86" s="792"/>
      <c r="AI86" s="792"/>
      <c r="AJ86" s="792"/>
      <c r="AK86" s="1811">
        <v>11</v>
      </c>
    </row>
    <row s="12668" customFormat="1" customHeight="1" ht="11.549999999999999">
      <c r="A87" s="1157"/>
      <c r="B87" s="1157"/>
      <c r="C87" s="1157"/>
      <c r="D87" s="1157"/>
      <c r="E87" s="1157"/>
      <c r="F87" s="1806"/>
      <c r="G87" s="1806"/>
      <c r="H87" s="521"/>
      <c r="N87" s="1536"/>
      <c r="P87" s="1536"/>
      <c r="Q87" s="1806"/>
      <c r="R87" s="1806"/>
      <c r="S87" s="1536"/>
      <c r="T87" s="1536"/>
      <c r="U87" s="1536"/>
      <c r="V87" s="1536"/>
      <c r="W87" s="1806"/>
      <c r="X87" s="1536"/>
      <c r="Y87" s="1536"/>
      <c r="Z87" s="714"/>
      <c r="AA87" s="1536"/>
      <c r="AB87" s="1536"/>
      <c r="AC87" s="1536"/>
      <c r="AD87" s="1536"/>
      <c r="AE87" s="1536"/>
      <c r="AF87" s="1802"/>
      <c r="AG87" s="792"/>
      <c r="AH87" s="792"/>
      <c r="AI87" s="792"/>
      <c r="AJ87" s="792"/>
      <c r="AK87" s="1811">
        <v>11</v>
      </c>
    </row>
    <row s="12668" customFormat="1" customHeight="1" ht="11.549999999999999">
      <c r="A88" s="1157"/>
      <c r="B88" s="1157"/>
      <c r="C88" s="1157"/>
      <c r="D88" s="1157"/>
      <c r="E88" s="1157"/>
      <c r="F88" s="1806"/>
      <c r="G88" s="1806"/>
      <c r="H88" s="521"/>
      <c r="N88" s="1536"/>
      <c r="P88" s="1536"/>
      <c r="Q88" s="1806"/>
      <c r="R88" s="1806"/>
      <c r="S88" s="1536"/>
      <c r="T88" s="1536"/>
      <c r="U88" s="1536"/>
      <c r="V88" s="1536"/>
      <c r="W88" s="1806"/>
      <c r="X88" s="1536"/>
      <c r="Y88" s="1536"/>
      <c r="Z88" s="714"/>
      <c r="AA88" s="1536"/>
      <c r="AB88" s="1536"/>
      <c r="AC88" s="1536"/>
      <c r="AD88" s="1536"/>
      <c r="AE88" s="1536"/>
      <c r="AF88" s="1802"/>
      <c r="AG88" s="792"/>
      <c r="AH88" s="792"/>
      <c r="AI88" s="792"/>
      <c r="AJ88" s="792"/>
      <c r="AK88" s="1811">
        <v>11</v>
      </c>
    </row>
    <row s="12668" customFormat="1" customHeight="1" ht="11.549999999999999">
      <c r="A89" s="1157"/>
      <c r="B89" s="1157"/>
      <c r="C89" s="1157"/>
      <c r="D89" s="1157"/>
      <c r="E89" s="1157"/>
      <c r="F89" s="1806"/>
      <c r="G89" s="1806"/>
      <c r="H89" s="521"/>
      <c r="N89" s="1536"/>
      <c r="P89" s="1536"/>
      <c r="Q89" s="1806"/>
      <c r="R89" s="1806"/>
      <c r="S89" s="1536"/>
      <c r="T89" s="1536"/>
      <c r="U89" s="1536"/>
      <c r="V89" s="1536"/>
      <c r="W89" s="1806"/>
      <c r="X89" s="1536"/>
      <c r="Y89" s="1536"/>
      <c r="Z89" s="714"/>
      <c r="AA89" s="1536"/>
      <c r="AB89" s="1536"/>
      <c r="AC89" s="1536"/>
      <c r="AD89" s="1536"/>
      <c r="AE89" s="1536"/>
      <c r="AF89" s="1802"/>
      <c r="AG89" s="792"/>
      <c r="AH89" s="792"/>
      <c r="AI89" s="792"/>
      <c r="AJ89" s="792"/>
      <c r="AK89" s="1811">
        <v>11</v>
      </c>
    </row>
    <row s="12668" customFormat="1" customHeight="1" ht="11.549999999999999">
      <c r="A90" s="1157"/>
      <c r="B90" s="1157"/>
      <c r="C90" s="1157"/>
      <c r="D90" s="1157"/>
      <c r="E90" s="1157"/>
      <c r="F90" s="1806"/>
      <c r="G90" s="1806"/>
      <c r="H90" s="521"/>
      <c r="N90" s="1536"/>
      <c r="P90" s="1536"/>
      <c r="Q90" s="1806"/>
      <c r="R90" s="1806"/>
      <c r="S90" s="1536"/>
      <c r="T90" s="1536"/>
      <c r="U90" s="1536"/>
      <c r="V90" s="1536"/>
      <c r="W90" s="1806"/>
      <c r="X90" s="1536"/>
      <c r="Y90" s="1536"/>
      <c r="Z90" s="714"/>
      <c r="AA90" s="1536"/>
      <c r="AB90" s="1536"/>
      <c r="AC90" s="1536"/>
      <c r="AD90" s="1536"/>
      <c r="AE90" s="1536"/>
      <c r="AF90" s="1802"/>
      <c r="AG90" s="792"/>
      <c r="AH90" s="792"/>
      <c r="AI90" s="792"/>
      <c r="AJ90" s="792"/>
      <c r="AK90" s="1811">
        <v>11</v>
      </c>
    </row>
    <row s="12668" customFormat="1" customHeight="1" ht="11.549999999999999">
      <c r="A91" s="1157"/>
      <c r="B91" s="1157"/>
      <c r="C91" s="1157"/>
      <c r="D91" s="1157"/>
      <c r="E91" s="1157"/>
      <c r="F91" s="1806"/>
      <c r="G91" s="1806"/>
      <c r="H91" s="521"/>
      <c r="N91" s="1536"/>
      <c r="P91" s="1536"/>
      <c r="Q91" s="1806"/>
      <c r="R91" s="1806"/>
      <c r="S91" s="1536"/>
      <c r="T91" s="1536"/>
      <c r="U91" s="1536"/>
      <c r="V91" s="1536"/>
      <c r="W91" s="1806"/>
      <c r="X91" s="1536"/>
      <c r="Y91" s="1536"/>
      <c r="Z91" s="714"/>
      <c r="AA91" s="1536"/>
      <c r="AB91" s="1536"/>
      <c r="AC91" s="1536"/>
      <c r="AD91" s="1536"/>
      <c r="AE91" s="1536"/>
      <c r="AF91" s="1802"/>
      <c r="AG91" s="792"/>
      <c r="AH91" s="792"/>
      <c r="AI91" s="792"/>
      <c r="AJ91" s="792"/>
      <c r="AK91" s="1811">
        <v>11</v>
      </c>
    </row>
    <row s="12668" customFormat="1" customHeight="1" ht="11.549999999999999">
      <c r="A92" s="1157"/>
      <c r="B92" s="1157"/>
      <c r="C92" s="1157"/>
      <c r="D92" s="1157"/>
      <c r="E92" s="1157"/>
      <c r="F92" s="1806"/>
      <c r="G92" s="1806"/>
      <c r="H92" s="521"/>
      <c r="N92" s="1536"/>
      <c r="P92" s="1536"/>
      <c r="Q92" s="1806"/>
      <c r="R92" s="1806"/>
      <c r="S92" s="1536"/>
      <c r="T92" s="1536"/>
      <c r="U92" s="1536"/>
      <c r="V92" s="1536"/>
      <c r="W92" s="1806"/>
      <c r="X92" s="1536"/>
      <c r="Y92" s="1536"/>
      <c r="Z92" s="714"/>
      <c r="AA92" s="1536"/>
      <c r="AB92" s="1536"/>
      <c r="AC92" s="1536"/>
      <c r="AD92" s="1536"/>
      <c r="AE92" s="1536"/>
      <c r="AF92" s="1802"/>
      <c r="AG92" s="792"/>
      <c r="AH92" s="792"/>
      <c r="AI92" s="792"/>
      <c r="AJ92" s="792"/>
      <c r="AK92" s="1811">
        <v>11</v>
      </c>
    </row>
    <row s="12668" customFormat="1" customHeight="1" ht="11.549999999999999">
      <c r="A93" s="1157"/>
      <c r="B93" s="1157"/>
      <c r="C93" s="1157"/>
      <c r="D93" s="1157"/>
      <c r="E93" s="1157"/>
      <c r="F93" s="1806"/>
      <c r="G93" s="1806"/>
      <c r="H93" s="521"/>
      <c r="N93" s="1536"/>
      <c r="P93" s="1536"/>
      <c r="Q93" s="1806"/>
      <c r="R93" s="1806"/>
      <c r="S93" s="1536"/>
      <c r="T93" s="1536"/>
      <c r="U93" s="1536"/>
      <c r="V93" s="1536"/>
      <c r="W93" s="1806"/>
      <c r="X93" s="1536"/>
      <c r="Y93" s="1536"/>
      <c r="Z93" s="714"/>
      <c r="AA93" s="1536"/>
      <c r="AB93" s="1536"/>
      <c r="AC93" s="1536"/>
      <c r="AD93" s="1536"/>
      <c r="AE93" s="1536"/>
      <c r="AF93" s="1802"/>
      <c r="AG93" s="792"/>
      <c r="AH93" s="792"/>
      <c r="AI93" s="792"/>
      <c r="AJ93" s="792"/>
      <c r="AK93" s="1811">
        <v>11</v>
      </c>
    </row>
    <row s="12668" customFormat="1" customHeight="1" ht="11.549999999999999">
      <c r="A94" s="1157"/>
      <c r="B94" s="1157"/>
      <c r="C94" s="1157"/>
      <c r="D94" s="1157"/>
      <c r="E94" s="1157"/>
      <c r="F94" s="1806"/>
      <c r="G94" s="1806"/>
      <c r="H94" s="521"/>
      <c r="N94" s="1536"/>
      <c r="P94" s="1536"/>
      <c r="Q94" s="1806"/>
      <c r="R94" s="1806"/>
      <c r="S94" s="1536"/>
      <c r="T94" s="1536"/>
      <c r="U94" s="1536"/>
      <c r="V94" s="1536"/>
      <c r="W94" s="1806"/>
      <c r="X94" s="1536"/>
      <c r="Y94" s="1536"/>
      <c r="Z94" s="714"/>
      <c r="AA94" s="1536"/>
      <c r="AB94" s="1536"/>
      <c r="AC94" s="1536"/>
      <c r="AD94" s="1536"/>
      <c r="AE94" s="1536"/>
      <c r="AF94" s="1802"/>
      <c r="AG94" s="792"/>
      <c r="AH94" s="792"/>
      <c r="AI94" s="792"/>
      <c r="AJ94" s="792"/>
      <c r="AK94" s="1811">
        <v>11</v>
      </c>
    </row>
    <row s="12668" customFormat="1" customHeight="1" ht="11.549999999999999">
      <c r="A95" s="1157"/>
      <c r="B95" s="1157"/>
      <c r="C95" s="1157"/>
      <c r="D95" s="1157"/>
      <c r="E95" s="1157"/>
      <c r="F95" s="1806"/>
      <c r="G95" s="1806"/>
      <c r="H95" s="521"/>
      <c r="N95" s="1536"/>
      <c r="P95" s="1536"/>
      <c r="Q95" s="1806"/>
      <c r="R95" s="1806"/>
      <c r="S95" s="1536"/>
      <c r="T95" s="1536"/>
      <c r="U95" s="1536"/>
      <c r="V95" s="1536"/>
      <c r="W95" s="1806"/>
      <c r="X95" s="1536"/>
      <c r="Y95" s="1536"/>
      <c r="Z95" s="714"/>
      <c r="AA95" s="1536"/>
      <c r="AB95" s="1536"/>
      <c r="AC95" s="1536"/>
      <c r="AD95" s="1536"/>
      <c r="AE95" s="1536"/>
      <c r="AF95" s="1802"/>
      <c r="AG95" s="792"/>
      <c r="AH95" s="792"/>
      <c r="AI95" s="792"/>
      <c r="AJ95" s="792"/>
      <c r="AK95" s="1811">
        <v>11</v>
      </c>
    </row>
    <row s="12668" customFormat="1" customHeight="1" ht="11.549999999999999">
      <c r="A96" s="1157"/>
      <c r="B96" s="1157"/>
      <c r="C96" s="1157"/>
      <c r="D96" s="1157"/>
      <c r="E96" s="1157"/>
      <c r="F96" s="1806"/>
      <c r="G96" s="1806"/>
      <c r="H96" s="521"/>
      <c r="N96" s="1536"/>
      <c r="P96" s="1536"/>
      <c r="Q96" s="1806"/>
      <c r="R96" s="1806"/>
      <c r="S96" s="1536"/>
      <c r="T96" s="1536"/>
      <c r="U96" s="1536"/>
      <c r="V96" s="1536"/>
      <c r="W96" s="1806"/>
      <c r="X96" s="1536"/>
      <c r="Y96" s="1536"/>
      <c r="Z96" s="714"/>
      <c r="AA96" s="1536"/>
      <c r="AB96" s="1536"/>
      <c r="AC96" s="1536"/>
      <c r="AD96" s="1536"/>
      <c r="AE96" s="1536"/>
      <c r="AF96" s="1802"/>
      <c r="AG96" s="792"/>
      <c r="AH96" s="792"/>
      <c r="AI96" s="792"/>
      <c r="AJ96" s="792"/>
      <c r="AK96" s="1811">
        <v>11</v>
      </c>
    </row>
    <row s="12668" customFormat="1" customHeight="1" ht="11.549999999999999">
      <c r="A97" s="1157"/>
      <c r="B97" s="1157"/>
      <c r="C97" s="1157"/>
      <c r="D97" s="1157"/>
      <c r="E97" s="1157"/>
      <c r="F97" s="1806"/>
      <c r="G97" s="1806"/>
      <c r="H97" s="521"/>
      <c r="N97" s="1536"/>
      <c r="P97" s="1536"/>
      <c r="Q97" s="1806"/>
      <c r="R97" s="1806"/>
      <c r="S97" s="1536"/>
      <c r="T97" s="1536"/>
      <c r="U97" s="1536"/>
      <c r="V97" s="1536"/>
      <c r="W97" s="1806"/>
      <c r="X97" s="1536"/>
      <c r="Y97" s="1536"/>
      <c r="Z97" s="714"/>
      <c r="AA97" s="1536"/>
      <c r="AB97" s="1536"/>
      <c r="AC97" s="1536"/>
      <c r="AD97" s="1536"/>
      <c r="AE97" s="1536"/>
      <c r="AF97" s="1802"/>
      <c r="AG97" s="792"/>
      <c r="AH97" s="792"/>
      <c r="AI97" s="792"/>
      <c r="AJ97" s="792"/>
      <c r="AK97" s="1811">
        <v>11</v>
      </c>
    </row>
    <row s="12668" customFormat="1" customHeight="1" ht="11.549999999999999">
      <c r="A98" s="1157"/>
      <c r="B98" s="1157"/>
      <c r="C98" s="1157"/>
      <c r="D98" s="1157"/>
      <c r="E98" s="1157"/>
      <c r="F98" s="1806"/>
      <c r="G98" s="1806"/>
      <c r="H98" s="521"/>
      <c r="N98" s="1536"/>
      <c r="P98" s="1536"/>
      <c r="Q98" s="1806"/>
      <c r="R98" s="1806"/>
      <c r="S98" s="1536"/>
      <c r="T98" s="1536"/>
      <c r="U98" s="1536"/>
      <c r="V98" s="1536"/>
      <c r="W98" s="1806"/>
      <c r="X98" s="1536"/>
      <c r="Y98" s="1536"/>
      <c r="Z98" s="714"/>
      <c r="AA98" s="1536"/>
      <c r="AB98" s="1536"/>
      <c r="AC98" s="1536"/>
      <c r="AD98" s="1536"/>
      <c r="AE98" s="1536"/>
      <c r="AF98" s="1802"/>
      <c r="AG98" s="792"/>
      <c r="AH98" s="792"/>
      <c r="AI98" s="792"/>
      <c r="AJ98" s="792"/>
      <c r="AK98" s="1811">
        <v>11</v>
      </c>
    </row>
    <row s="12668" customFormat="1" customHeight="1" ht="11.549999999999999">
      <c r="A99" s="1157"/>
      <c r="B99" s="1157"/>
      <c r="C99" s="1157"/>
      <c r="D99" s="1157"/>
      <c r="E99" s="1157"/>
      <c r="F99" s="1806"/>
      <c r="G99" s="1806"/>
      <c r="H99" s="521"/>
      <c r="N99" s="1536"/>
      <c r="P99" s="1536"/>
      <c r="Q99" s="1806"/>
      <c r="R99" s="1806"/>
      <c r="S99" s="1536"/>
      <c r="T99" s="1536"/>
      <c r="U99" s="1536"/>
      <c r="V99" s="1536"/>
      <c r="W99" s="1806"/>
      <c r="X99" s="1536"/>
      <c r="Y99" s="1536"/>
      <c r="Z99" s="714"/>
      <c r="AA99" s="1536"/>
      <c r="AB99" s="1536"/>
      <c r="AC99" s="1536"/>
      <c r="AD99" s="1536"/>
      <c r="AE99" s="1536"/>
      <c r="AF99" s="1802"/>
      <c r="AG99" s="792"/>
      <c r="AH99" s="792"/>
      <c r="AI99" s="792"/>
      <c r="AJ99" s="792"/>
      <c r="AK99" s="1811">
        <v>11</v>
      </c>
    </row>
    <row s="12668" customFormat="1" customHeight="1" ht="11.549999999999999">
      <c r="A100" s="1157"/>
      <c r="B100" s="1157"/>
      <c r="C100" s="1157"/>
      <c r="D100" s="1157"/>
      <c r="E100" s="1157"/>
      <c r="F100" s="1806"/>
      <c r="G100" s="1806"/>
      <c r="H100" s="521"/>
      <c r="N100" s="1536"/>
      <c r="P100" s="1536"/>
      <c r="Q100" s="1806"/>
      <c r="R100" s="1806"/>
      <c r="S100" s="1536"/>
      <c r="T100" s="1536"/>
      <c r="U100" s="1536"/>
      <c r="V100" s="1536"/>
      <c r="W100" s="1806"/>
      <c r="X100" s="1536"/>
      <c r="Y100" s="1536"/>
      <c r="Z100" s="714"/>
      <c r="AA100" s="1536"/>
      <c r="AB100" s="1536"/>
      <c r="AC100" s="1536"/>
      <c r="AD100" s="1536"/>
      <c r="AE100" s="1536"/>
      <c r="AF100" s="1802"/>
      <c r="AG100" s="792"/>
      <c r="AH100" s="792"/>
      <c r="AI100" s="792"/>
      <c r="AJ100" s="792"/>
      <c r="AK100" s="1811">
        <v>11</v>
      </c>
    </row>
    <row s="12668" customFormat="1" customHeight="1" ht="11.549999999999999">
      <c r="A101" s="1157"/>
      <c r="B101" s="1157"/>
      <c r="C101" s="1157"/>
      <c r="D101" s="1157"/>
      <c r="E101" s="1157"/>
      <c r="F101" s="1806"/>
      <c r="G101" s="1806"/>
      <c r="H101" s="521"/>
      <c r="N101" s="1536"/>
      <c r="P101" s="1536"/>
      <c r="Q101" s="1806"/>
      <c r="R101" s="1806"/>
      <c r="S101" s="1536"/>
      <c r="T101" s="1536"/>
      <c r="U101" s="1536"/>
      <c r="V101" s="1536"/>
      <c r="W101" s="1806"/>
      <c r="X101" s="1536"/>
      <c r="Y101" s="1536"/>
      <c r="Z101" s="714"/>
      <c r="AA101" s="1536"/>
      <c r="AB101" s="1536"/>
      <c r="AC101" s="1536"/>
      <c r="AD101" s="1536"/>
      <c r="AE101" s="1536"/>
      <c r="AF101" s="1802"/>
      <c r="AG101" s="792"/>
      <c r="AH101" s="792"/>
      <c r="AI101" s="792"/>
      <c r="AJ101" s="792"/>
      <c r="AK101" s="1811">
        <v>11</v>
      </c>
    </row>
    <row s="12668" customFormat="1" customHeight="1" ht="11.549999999999999">
      <c r="A102" s="1157"/>
      <c r="B102" s="1157"/>
      <c r="C102" s="1157"/>
      <c r="D102" s="1157"/>
      <c r="E102" s="1157"/>
      <c r="F102" s="1806"/>
      <c r="G102" s="1806"/>
      <c r="H102" s="521"/>
      <c r="N102" s="1536"/>
      <c r="P102" s="1536"/>
      <c r="Q102" s="1806"/>
      <c r="R102" s="1806"/>
      <c r="S102" s="1536"/>
      <c r="T102" s="1536"/>
      <c r="U102" s="1536"/>
      <c r="V102" s="1536"/>
      <c r="W102" s="1806"/>
      <c r="X102" s="1536"/>
      <c r="Y102" s="1536"/>
      <c r="Z102" s="714"/>
      <c r="AA102" s="1536"/>
      <c r="AB102" s="1536"/>
      <c r="AC102" s="1536"/>
      <c r="AD102" s="1536"/>
      <c r="AE102" s="1536"/>
      <c r="AF102" s="1802"/>
      <c r="AG102" s="792"/>
      <c r="AH102" s="792"/>
      <c r="AI102" s="792"/>
      <c r="AJ102" s="792"/>
      <c r="AK102" s="1811">
        <v>11</v>
      </c>
    </row>
    <row s="12668" customFormat="1" customHeight="1" ht="11.549999999999999">
      <c r="A103" s="1157"/>
      <c r="B103" s="1157"/>
      <c r="C103" s="1157"/>
      <c r="D103" s="1157"/>
      <c r="E103" s="1157"/>
      <c r="F103" s="1806"/>
      <c r="G103" s="1806"/>
      <c r="H103" s="521"/>
      <c r="N103" s="1536"/>
      <c r="P103" s="1536"/>
      <c r="Q103" s="1806"/>
      <c r="R103" s="1806"/>
      <c r="S103" s="1536"/>
      <c r="T103" s="1536"/>
      <c r="U103" s="1536"/>
      <c r="V103" s="1536"/>
      <c r="W103" s="1806"/>
      <c r="X103" s="1536"/>
      <c r="Y103" s="1536"/>
      <c r="Z103" s="714"/>
      <c r="AA103" s="1536"/>
      <c r="AB103" s="1536"/>
      <c r="AC103" s="1536"/>
      <c r="AD103" s="1536"/>
      <c r="AE103" s="1536"/>
      <c r="AF103" s="1802"/>
      <c r="AG103" s="792"/>
      <c r="AH103" s="792"/>
      <c r="AI103" s="792"/>
      <c r="AJ103" s="792"/>
      <c r="AK103" s="1811">
        <v>11</v>
      </c>
    </row>
    <row s="12668" customFormat="1" customHeight="1" ht="11.549999999999999">
      <c r="A104" s="1157"/>
      <c r="B104" s="1157"/>
      <c r="C104" s="1157"/>
      <c r="D104" s="1157"/>
      <c r="E104" s="1157"/>
      <c r="F104" s="1806"/>
      <c r="G104" s="1806"/>
      <c r="H104" s="521"/>
      <c r="N104" s="1536"/>
      <c r="P104" s="1536"/>
      <c r="Q104" s="1806"/>
      <c r="R104" s="1806"/>
      <c r="S104" s="1536"/>
      <c r="T104" s="1536"/>
      <c r="U104" s="1536"/>
      <c r="V104" s="1536"/>
      <c r="W104" s="1806"/>
      <c r="X104" s="1536"/>
      <c r="Y104" s="1536"/>
      <c r="Z104" s="714"/>
      <c r="AA104" s="1536"/>
      <c r="AB104" s="1536"/>
      <c r="AC104" s="1536"/>
      <c r="AD104" s="1536"/>
      <c r="AE104" s="1536"/>
      <c r="AF104" s="1802"/>
      <c r="AG104" s="792"/>
      <c r="AH104" s="792"/>
      <c r="AI104" s="792"/>
      <c r="AJ104" s="792"/>
      <c r="AK104" s="1811">
        <v>11</v>
      </c>
    </row>
    <row s="12668" customFormat="1" customHeight="1" ht="11.549999999999999">
      <c r="A105" s="1157"/>
      <c r="B105" s="1157"/>
      <c r="C105" s="1157"/>
      <c r="D105" s="1157"/>
      <c r="E105" s="1157"/>
      <c r="F105" s="1806"/>
      <c r="G105" s="1806"/>
      <c r="H105" s="521"/>
      <c r="N105" s="1536"/>
      <c r="P105" s="1536"/>
      <c r="Q105" s="1806"/>
      <c r="R105" s="1806"/>
      <c r="S105" s="1536"/>
      <c r="T105" s="1536"/>
      <c r="U105" s="1536"/>
      <c r="V105" s="1536"/>
      <c r="W105" s="1806"/>
      <c r="X105" s="1536"/>
      <c r="Y105" s="1536"/>
      <c r="Z105" s="714"/>
      <c r="AA105" s="1536"/>
      <c r="AB105" s="1536"/>
      <c r="AC105" s="1536"/>
      <c r="AD105" s="1536"/>
      <c r="AE105" s="1536"/>
      <c r="AF105" s="1802"/>
      <c r="AG105" s="792"/>
      <c r="AH105" s="792"/>
      <c r="AI105" s="792"/>
      <c r="AJ105" s="792"/>
      <c r="AK105" s="1811">
        <v>11</v>
      </c>
    </row>
    <row s="12668" customFormat="1" customHeight="1" ht="11.549999999999999">
      <c r="A106" s="1157"/>
      <c r="B106" s="1157"/>
      <c r="C106" s="1157"/>
      <c r="D106" s="1157"/>
      <c r="E106" s="1157"/>
      <c r="F106" s="1806"/>
      <c r="G106" s="1806"/>
      <c r="H106" s="521"/>
      <c r="N106" s="1536"/>
      <c r="P106" s="1536"/>
      <c r="Q106" s="1806"/>
      <c r="R106" s="1806"/>
      <c r="S106" s="1536"/>
      <c r="T106" s="1536"/>
      <c r="U106" s="1536"/>
      <c r="V106" s="1536"/>
      <c r="W106" s="1806"/>
      <c r="X106" s="1536"/>
      <c r="Y106" s="1536"/>
      <c r="Z106" s="714"/>
      <c r="AA106" s="1536"/>
      <c r="AB106" s="1536"/>
      <c r="AC106" s="1536"/>
      <c r="AD106" s="1536"/>
      <c r="AE106" s="1536"/>
      <c r="AF106" s="1802"/>
      <c r="AG106" s="792"/>
      <c r="AH106" s="792"/>
      <c r="AI106" s="792"/>
      <c r="AJ106" s="792"/>
      <c r="AK106" s="1811">
        <v>11</v>
      </c>
    </row>
    <row s="12668" customFormat="1" customHeight="1" ht="11.549999999999999">
      <c r="A107" s="1157"/>
      <c r="B107" s="1157"/>
      <c r="C107" s="1157"/>
      <c r="D107" s="1157"/>
      <c r="E107" s="1157"/>
      <c r="F107" s="1806"/>
      <c r="G107" s="1806"/>
      <c r="H107" s="521"/>
      <c r="N107" s="1536"/>
      <c r="P107" s="1536"/>
      <c r="Q107" s="1806"/>
      <c r="R107" s="1806"/>
      <c r="S107" s="1536"/>
      <c r="T107" s="1536"/>
      <c r="U107" s="1536"/>
      <c r="V107" s="1536"/>
      <c r="W107" s="1806"/>
      <c r="X107" s="1536"/>
      <c r="Y107" s="1536"/>
      <c r="Z107" s="714"/>
      <c r="AA107" s="1536"/>
      <c r="AB107" s="1536"/>
      <c r="AC107" s="1536"/>
      <c r="AD107" s="1536"/>
      <c r="AE107" s="1536"/>
      <c r="AF107" s="1802"/>
      <c r="AG107" s="792"/>
      <c r="AH107" s="792"/>
      <c r="AI107" s="792"/>
      <c r="AJ107" s="792"/>
      <c r="AK107" s="1811">
        <v>11</v>
      </c>
    </row>
    <row s="12668" customFormat="1" customHeight="1" ht="11.549999999999999">
      <c r="A108" s="1157"/>
      <c r="B108" s="1157"/>
      <c r="C108" s="1157"/>
      <c r="D108" s="1157"/>
      <c r="E108" s="1157"/>
      <c r="F108" s="1806"/>
      <c r="G108" s="1806"/>
      <c r="H108" s="521"/>
      <c r="N108" s="1536"/>
      <c r="P108" s="1536"/>
      <c r="Q108" s="1806"/>
      <c r="R108" s="1806"/>
      <c r="S108" s="1536"/>
      <c r="T108" s="1536"/>
      <c r="U108" s="1536"/>
      <c r="V108" s="1536"/>
      <c r="W108" s="1806"/>
      <c r="X108" s="1536"/>
      <c r="Y108" s="1536"/>
      <c r="Z108" s="714"/>
      <c r="AA108" s="1536"/>
      <c r="AB108" s="1536"/>
      <c r="AC108" s="1536"/>
      <c r="AD108" s="1536"/>
      <c r="AE108" s="1536"/>
      <c r="AF108" s="1802"/>
      <c r="AG108" s="792"/>
      <c r="AH108" s="792"/>
      <c r="AI108" s="792"/>
      <c r="AJ108" s="792"/>
      <c r="AK108" s="1811">
        <v>11</v>
      </c>
    </row>
    <row s="12668" customFormat="1" customHeight="1" ht="11.549999999999999">
      <c r="A109" s="1157"/>
      <c r="B109" s="1157"/>
      <c r="C109" s="1157"/>
      <c r="D109" s="1157"/>
      <c r="E109" s="1157"/>
      <c r="F109" s="1806"/>
      <c r="G109" s="1806"/>
      <c r="H109" s="521"/>
      <c r="N109" s="1536"/>
      <c r="P109" s="1536"/>
      <c r="Q109" s="1806"/>
      <c r="R109" s="1806"/>
      <c r="S109" s="1536"/>
      <c r="T109" s="1536"/>
      <c r="U109" s="1536"/>
      <c r="V109" s="1536"/>
      <c r="W109" s="1806"/>
      <c r="X109" s="1536"/>
      <c r="Y109" s="1536"/>
      <c r="Z109" s="714"/>
      <c r="AA109" s="1536"/>
      <c r="AB109" s="1536"/>
      <c r="AC109" s="1536"/>
      <c r="AD109" s="1536"/>
      <c r="AE109" s="1536"/>
      <c r="AF109" s="1802"/>
      <c r="AG109" s="792"/>
      <c r="AH109" s="792"/>
      <c r="AI109" s="792"/>
      <c r="AJ109" s="792"/>
      <c r="AK109" s="1811">
        <v>11</v>
      </c>
    </row>
    <row s="12668" customFormat="1" customHeight="1" ht="11.549999999999999">
      <c r="A110" s="1157"/>
      <c r="B110" s="1157"/>
      <c r="C110" s="1157"/>
      <c r="D110" s="1157"/>
      <c r="E110" s="1157"/>
      <c r="F110" s="1806"/>
      <c r="G110" s="1806"/>
      <c r="H110" s="521"/>
      <c r="N110" s="1536"/>
      <c r="P110" s="1536"/>
      <c r="Q110" s="1806"/>
      <c r="R110" s="1806"/>
      <c r="S110" s="1536"/>
      <c r="T110" s="1536"/>
      <c r="U110" s="1536"/>
      <c r="V110" s="1536"/>
      <c r="W110" s="1806"/>
      <c r="X110" s="1536"/>
      <c r="Y110" s="1536"/>
      <c r="Z110" s="714"/>
      <c r="AA110" s="1536"/>
      <c r="AB110" s="1536"/>
      <c r="AC110" s="1536"/>
      <c r="AD110" s="1536"/>
      <c r="AE110" s="1536"/>
      <c r="AF110" s="1802"/>
      <c r="AG110" s="792"/>
      <c r="AH110" s="792"/>
      <c r="AI110" s="792"/>
      <c r="AJ110" s="792"/>
      <c r="AK110" s="1811">
        <v>11</v>
      </c>
    </row>
    <row s="12668" customFormat="1" customHeight="1" ht="11.549999999999999">
      <c r="A111" s="1157"/>
      <c r="B111" s="1157"/>
      <c r="C111" s="1157"/>
      <c r="D111" s="1157"/>
      <c r="E111" s="1157"/>
      <c r="F111" s="1806"/>
      <c r="G111" s="1806"/>
      <c r="H111" s="521"/>
      <c r="N111" s="1536"/>
      <c r="P111" s="1536"/>
      <c r="Q111" s="1806"/>
      <c r="R111" s="1806"/>
      <c r="S111" s="1536"/>
      <c r="T111" s="1536"/>
      <c r="U111" s="1536"/>
      <c r="V111" s="1536"/>
      <c r="W111" s="1806"/>
      <c r="X111" s="1536"/>
      <c r="Y111" s="1536"/>
      <c r="Z111" s="714"/>
      <c r="AA111" s="1536"/>
      <c r="AB111" s="1536"/>
      <c r="AC111" s="1536"/>
      <c r="AD111" s="1536"/>
      <c r="AE111" s="1536"/>
      <c r="AF111" s="1802"/>
      <c r="AG111" s="792"/>
      <c r="AH111" s="792"/>
      <c r="AI111" s="792"/>
      <c r="AJ111" s="792"/>
      <c r="AK111" s="1811">
        <v>11</v>
      </c>
    </row>
    <row s="12668" customFormat="1" customHeight="1" ht="11.549999999999999">
      <c r="A112" s="1157"/>
      <c r="B112" s="1157"/>
      <c r="C112" s="1157"/>
      <c r="D112" s="1157"/>
      <c r="E112" s="1157"/>
      <c r="F112" s="1806"/>
      <c r="G112" s="1806"/>
      <c r="H112" s="521"/>
      <c r="N112" s="1536"/>
      <c r="P112" s="1536"/>
      <c r="Q112" s="1806"/>
      <c r="R112" s="1806"/>
      <c r="S112" s="1536"/>
      <c r="T112" s="1536"/>
      <c r="U112" s="1536"/>
      <c r="V112" s="1536"/>
      <c r="W112" s="1806"/>
      <c r="X112" s="1536"/>
      <c r="Y112" s="1536"/>
      <c r="Z112" s="714"/>
      <c r="AA112" s="1536"/>
      <c r="AB112" s="1536"/>
      <c r="AC112" s="1536"/>
      <c r="AD112" s="1536"/>
      <c r="AE112" s="1536"/>
      <c r="AF112" s="1802"/>
      <c r="AG112" s="792"/>
      <c r="AH112" s="792"/>
      <c r="AI112" s="792"/>
      <c r="AJ112" s="792"/>
      <c r="AK112" s="1811">
        <v>11</v>
      </c>
    </row>
    <row s="12668" customFormat="1" customHeight="1" ht="11.549999999999999">
      <c r="A113" s="1157"/>
      <c r="B113" s="1157"/>
      <c r="C113" s="1157"/>
      <c r="D113" s="1157"/>
      <c r="E113" s="1157"/>
      <c r="F113" s="1806"/>
      <c r="G113" s="1806"/>
      <c r="H113" s="521"/>
      <c r="N113" s="1536"/>
      <c r="P113" s="1536"/>
      <c r="Q113" s="1806"/>
      <c r="R113" s="1806"/>
      <c r="S113" s="1536"/>
      <c r="T113" s="1536"/>
      <c r="U113" s="1536"/>
      <c r="V113" s="1536"/>
      <c r="W113" s="1806"/>
      <c r="X113" s="1536"/>
      <c r="Y113" s="1536"/>
      <c r="Z113" s="714"/>
      <c r="AA113" s="1536"/>
      <c r="AB113" s="1536"/>
      <c r="AC113" s="1536"/>
      <c r="AD113" s="1536"/>
      <c r="AE113" s="1536"/>
      <c r="AF113" s="1802"/>
      <c r="AG113" s="792"/>
      <c r="AH113" s="792"/>
      <c r="AI113" s="792"/>
      <c r="AJ113" s="792"/>
      <c r="AK113" s="1811">
        <v>11</v>
      </c>
    </row>
    <row s="12668" customFormat="1" customHeight="1" ht="11.549999999999999">
      <c r="A114" s="1157"/>
      <c r="B114" s="1157"/>
      <c r="C114" s="1157"/>
      <c r="D114" s="1157"/>
      <c r="E114" s="1157"/>
      <c r="F114" s="1806"/>
      <c r="G114" s="1806"/>
      <c r="H114" s="521"/>
      <c r="N114" s="1536"/>
      <c r="P114" s="1536"/>
      <c r="Q114" s="1806"/>
      <c r="R114" s="1806"/>
      <c r="S114" s="1536"/>
      <c r="T114" s="1536"/>
      <c r="U114" s="1536"/>
      <c r="V114" s="1536"/>
      <c r="W114" s="1806"/>
      <c r="X114" s="1536"/>
      <c r="Y114" s="1536"/>
      <c r="Z114" s="714"/>
      <c r="AA114" s="1536"/>
      <c r="AB114" s="1536"/>
      <c r="AC114" s="1536"/>
      <c r="AD114" s="1536"/>
      <c r="AE114" s="1536"/>
      <c r="AF114" s="1802"/>
      <c r="AG114" s="792"/>
      <c r="AH114" s="792"/>
      <c r="AI114" s="792"/>
      <c r="AJ114" s="792"/>
      <c r="AK114" s="1811">
        <v>11</v>
      </c>
    </row>
    <row s="12668" customFormat="1" customHeight="1" ht="11.549999999999999">
      <c r="A115" s="1157"/>
      <c r="B115" s="1157"/>
      <c r="C115" s="1157"/>
      <c r="D115" s="1157"/>
      <c r="E115" s="1157"/>
      <c r="F115" s="1806"/>
      <c r="G115" s="1806"/>
      <c r="H115" s="521"/>
      <c r="N115" s="1536"/>
      <c r="P115" s="1536"/>
      <c r="Q115" s="1806"/>
      <c r="R115" s="1806"/>
      <c r="S115" s="1536"/>
      <c r="T115" s="1536"/>
      <c r="U115" s="1536"/>
      <c r="V115" s="1536"/>
      <c r="W115" s="1806"/>
      <c r="X115" s="1536"/>
      <c r="Y115" s="1536"/>
      <c r="Z115" s="714"/>
      <c r="AA115" s="1536"/>
      <c r="AB115" s="1536"/>
      <c r="AC115" s="1536"/>
      <c r="AD115" s="1536"/>
      <c r="AE115" s="1536"/>
      <c r="AF115" s="1802"/>
      <c r="AG115" s="792"/>
      <c r="AH115" s="792"/>
      <c r="AI115" s="792"/>
      <c r="AJ115" s="792"/>
      <c r="AK115" s="1811">
        <v>11</v>
      </c>
    </row>
    <row s="12668" customFormat="1" customHeight="1" ht="11.549999999999999">
      <c r="A116" s="1157"/>
      <c r="B116" s="1157"/>
      <c r="C116" s="1157"/>
      <c r="D116" s="1157"/>
      <c r="E116" s="1157"/>
      <c r="F116" s="1806"/>
      <c r="G116" s="1806"/>
      <c r="H116" s="521"/>
      <c r="N116" s="1536"/>
      <c r="P116" s="1536"/>
      <c r="Q116" s="1806"/>
      <c r="R116" s="1806"/>
      <c r="S116" s="1536"/>
      <c r="T116" s="1536"/>
      <c r="U116" s="1536"/>
      <c r="V116" s="1536"/>
      <c r="W116" s="1806"/>
      <c r="X116" s="1536"/>
      <c r="Y116" s="1536"/>
      <c r="Z116" s="714"/>
      <c r="AA116" s="1536"/>
      <c r="AB116" s="1536"/>
      <c r="AC116" s="1536"/>
      <c r="AD116" s="1536"/>
      <c r="AE116" s="1536"/>
      <c r="AF116" s="1802"/>
      <c r="AG116" s="792"/>
      <c r="AH116" s="792"/>
      <c r="AI116" s="792"/>
      <c r="AJ116" s="792"/>
      <c r="AK116" s="1811">
        <v>11</v>
      </c>
    </row>
    <row s="12668" customFormat="1" customHeight="1" ht="11.549999999999999">
      <c r="A117" s="1157"/>
      <c r="B117" s="1157"/>
      <c r="C117" s="1157"/>
      <c r="D117" s="1157"/>
      <c r="E117" s="1157"/>
      <c r="F117" s="1806"/>
      <c r="G117" s="1806"/>
      <c r="H117" s="521"/>
      <c r="N117" s="1536"/>
      <c r="P117" s="1536"/>
      <c r="Q117" s="1806"/>
      <c r="R117" s="1806"/>
      <c r="S117" s="1536"/>
      <c r="T117" s="1536"/>
      <c r="U117" s="1536"/>
      <c r="V117" s="1536"/>
      <c r="W117" s="1806"/>
      <c r="X117" s="1536"/>
      <c r="Y117" s="1536"/>
      <c r="Z117" s="714"/>
      <c r="AA117" s="1536"/>
      <c r="AB117" s="1536"/>
      <c r="AC117" s="1536"/>
      <c r="AD117" s="1536"/>
      <c r="AE117" s="1536"/>
      <c r="AF117" s="1802"/>
      <c r="AG117" s="792"/>
      <c r="AH117" s="792"/>
      <c r="AI117" s="792"/>
      <c r="AJ117" s="792"/>
      <c r="AK117" s="1811">
        <v>11</v>
      </c>
    </row>
    <row s="12668" customFormat="1" customHeight="1" ht="11.549999999999999">
      <c r="A118" s="1157"/>
      <c r="B118" s="1157"/>
      <c r="C118" s="1157"/>
      <c r="D118" s="1157"/>
      <c r="E118" s="1157"/>
      <c r="F118" s="1806"/>
      <c r="G118" s="1806"/>
      <c r="H118" s="521"/>
      <c r="N118" s="1536"/>
      <c r="P118" s="1536"/>
      <c r="Q118" s="1806"/>
      <c r="R118" s="1806"/>
      <c r="S118" s="1536"/>
      <c r="T118" s="1536"/>
      <c r="U118" s="1536"/>
      <c r="V118" s="1536"/>
      <c r="W118" s="1806"/>
      <c r="X118" s="1536"/>
      <c r="Y118" s="1536"/>
      <c r="Z118" s="714"/>
      <c r="AA118" s="1536"/>
      <c r="AB118" s="1536"/>
      <c r="AC118" s="1536"/>
      <c r="AD118" s="1536"/>
      <c r="AE118" s="1536"/>
      <c r="AF118" s="1802"/>
      <c r="AG118" s="792"/>
      <c r="AH118" s="792"/>
      <c r="AI118" s="792"/>
      <c r="AJ118" s="792"/>
      <c r="AK118" s="1811">
        <v>11</v>
      </c>
    </row>
    <row s="12668" customFormat="1" customHeight="1" ht="11.549999999999999">
      <c r="A119" s="1157"/>
      <c r="B119" s="1157"/>
      <c r="C119" s="1157"/>
      <c r="D119" s="1157"/>
      <c r="E119" s="1157"/>
      <c r="F119" s="1806"/>
      <c r="G119" s="1806"/>
      <c r="H119" s="521"/>
      <c r="N119" s="1536"/>
      <c r="P119" s="1536"/>
      <c r="Q119" s="1806"/>
      <c r="R119" s="1806"/>
      <c r="S119" s="1536"/>
      <c r="T119" s="1536"/>
      <c r="U119" s="1536"/>
      <c r="V119" s="1536"/>
      <c r="W119" s="1806"/>
      <c r="X119" s="1536"/>
      <c r="Y119" s="1536"/>
      <c r="Z119" s="714"/>
      <c r="AA119" s="1536"/>
      <c r="AB119" s="1536"/>
      <c r="AC119" s="1536"/>
      <c r="AD119" s="1536"/>
      <c r="AE119" s="1536"/>
      <c r="AF119" s="1802"/>
      <c r="AG119" s="792"/>
      <c r="AH119" s="792"/>
      <c r="AI119" s="792"/>
      <c r="AJ119" s="792"/>
      <c r="AK119" s="1811">
        <v>11</v>
      </c>
    </row>
    <row s="12668" customFormat="1" customHeight="1" ht="11.549999999999999">
      <c r="A120" s="1157"/>
      <c r="B120" s="1157"/>
      <c r="C120" s="1157"/>
      <c r="D120" s="1157"/>
      <c r="E120" s="1157"/>
      <c r="F120" s="1806"/>
      <c r="G120" s="1806"/>
      <c r="H120" s="521"/>
      <c r="N120" s="1536"/>
      <c r="P120" s="1536"/>
      <c r="Q120" s="1806"/>
      <c r="R120" s="1806"/>
      <c r="S120" s="1536"/>
      <c r="T120" s="1536"/>
      <c r="U120" s="1536"/>
      <c r="V120" s="1536"/>
      <c r="W120" s="1806"/>
      <c r="X120" s="1536"/>
      <c r="Y120" s="1536"/>
      <c r="Z120" s="714"/>
      <c r="AA120" s="1536"/>
      <c r="AB120" s="1536"/>
      <c r="AC120" s="1536"/>
      <c r="AD120" s="1536"/>
      <c r="AE120" s="1536"/>
      <c r="AF120" s="1802"/>
      <c r="AG120" s="792"/>
      <c r="AH120" s="792"/>
      <c r="AI120" s="792"/>
      <c r="AJ120" s="792"/>
      <c r="AK120" s="1811">
        <v>11</v>
      </c>
    </row>
    <row s="12668" customFormat="1" customHeight="1" ht="11.549999999999999">
      <c r="A121" s="1157"/>
      <c r="B121" s="1157"/>
      <c r="C121" s="1157"/>
      <c r="D121" s="1157"/>
      <c r="E121" s="1157"/>
      <c r="F121" s="1806"/>
      <c r="G121" s="1806"/>
      <c r="H121" s="521"/>
      <c r="N121" s="1536"/>
      <c r="P121" s="1536"/>
      <c r="Q121" s="1806"/>
      <c r="R121" s="1806"/>
      <c r="S121" s="1536"/>
      <c r="T121" s="1536"/>
      <c r="U121" s="1536"/>
      <c r="V121" s="1536"/>
      <c r="W121" s="1806"/>
      <c r="X121" s="1536"/>
      <c r="Y121" s="1536"/>
      <c r="Z121" s="714"/>
      <c r="AA121" s="1536"/>
      <c r="AB121" s="1536"/>
      <c r="AC121" s="1536"/>
      <c r="AD121" s="1536"/>
      <c r="AE121" s="1536"/>
      <c r="AF121" s="1802"/>
      <c r="AG121" s="792"/>
      <c r="AH121" s="792"/>
      <c r="AI121" s="792"/>
      <c r="AJ121" s="792"/>
      <c r="AK121" s="1811">
        <v>11</v>
      </c>
    </row>
    <row s="12668" customFormat="1" customHeight="1" ht="11.549999999999999">
      <c r="A122" s="1157"/>
      <c r="B122" s="1157"/>
      <c r="C122" s="1157"/>
      <c r="D122" s="1157"/>
      <c r="E122" s="1157"/>
      <c r="F122" s="1806"/>
      <c r="G122" s="1806"/>
      <c r="H122" s="521"/>
      <c r="N122" s="1536"/>
      <c r="P122" s="1536"/>
      <c r="Q122" s="1806"/>
      <c r="R122" s="1806"/>
      <c r="S122" s="1536"/>
      <c r="T122" s="1536"/>
      <c r="U122" s="1536"/>
      <c r="V122" s="1536"/>
      <c r="W122" s="1806"/>
      <c r="X122" s="1536"/>
      <c r="Y122" s="1536"/>
      <c r="Z122" s="714"/>
      <c r="AA122" s="1536"/>
      <c r="AB122" s="1536"/>
      <c r="AC122" s="1536"/>
      <c r="AD122" s="1536"/>
      <c r="AE122" s="1536"/>
      <c r="AF122" s="1802"/>
      <c r="AG122" s="792"/>
      <c r="AH122" s="792"/>
      <c r="AI122" s="792"/>
      <c r="AJ122" s="792"/>
      <c r="AK122" s="1811">
        <v>11</v>
      </c>
    </row>
    <row s="12668" customFormat="1" customHeight="1" ht="11.549999999999999">
      <c r="A123" s="1157"/>
      <c r="B123" s="1157"/>
      <c r="C123" s="1157"/>
      <c r="D123" s="1157"/>
      <c r="E123" s="1157"/>
      <c r="F123" s="1806"/>
      <c r="G123" s="1806"/>
      <c r="H123" s="521"/>
      <c r="N123" s="1536"/>
      <c r="P123" s="1536"/>
      <c r="Q123" s="1806"/>
      <c r="R123" s="1806"/>
      <c r="S123" s="1536"/>
      <c r="T123" s="1536"/>
      <c r="U123" s="1536"/>
      <c r="V123" s="1536"/>
      <c r="W123" s="1806"/>
      <c r="X123" s="1536"/>
      <c r="Y123" s="1536"/>
      <c r="Z123" s="714"/>
      <c r="AA123" s="1536"/>
      <c r="AB123" s="1536"/>
      <c r="AC123" s="1536"/>
      <c r="AD123" s="1536"/>
      <c r="AE123" s="1536"/>
      <c r="AF123" s="1802"/>
      <c r="AG123" s="792"/>
      <c r="AH123" s="792"/>
      <c r="AI123" s="792"/>
      <c r="AJ123" s="792"/>
      <c r="AK123" s="1811">
        <v>11</v>
      </c>
    </row>
    <row s="12668" customFormat="1" customHeight="1" ht="11.549999999999999">
      <c r="A124" s="1157"/>
      <c r="B124" s="1157"/>
      <c r="C124" s="1157"/>
      <c r="D124" s="1157"/>
      <c r="E124" s="1157"/>
      <c r="F124" s="1806"/>
      <c r="G124" s="1806"/>
      <c r="H124" s="521"/>
      <c r="N124" s="1536"/>
      <c r="P124" s="1536"/>
      <c r="Q124" s="1806"/>
      <c r="R124" s="1806"/>
      <c r="S124" s="1536"/>
      <c r="T124" s="1536"/>
      <c r="U124" s="1536"/>
      <c r="V124" s="1536"/>
      <c r="W124" s="1806"/>
      <c r="X124" s="1536"/>
      <c r="Y124" s="1536"/>
      <c r="Z124" s="714"/>
      <c r="AA124" s="1536"/>
      <c r="AB124" s="1536"/>
      <c r="AC124" s="1536"/>
      <c r="AD124" s="1536"/>
      <c r="AE124" s="1536"/>
      <c r="AF124" s="1802"/>
      <c r="AG124" s="792"/>
      <c r="AH124" s="792"/>
      <c r="AI124" s="792"/>
      <c r="AJ124" s="792"/>
      <c r="AK124" s="1811">
        <v>11</v>
      </c>
    </row>
    <row s="12668" customFormat="1" customHeight="1" ht="11.549999999999999">
      <c r="A125" s="1157"/>
      <c r="B125" s="1157"/>
      <c r="C125" s="1157"/>
      <c r="D125" s="1157"/>
      <c r="E125" s="1157"/>
      <c r="F125" s="1806"/>
      <c r="G125" s="1806"/>
      <c r="H125" s="521"/>
      <c r="N125" s="1536"/>
      <c r="P125" s="1536"/>
      <c r="Q125" s="1806"/>
      <c r="R125" s="1806"/>
      <c r="S125" s="1536"/>
      <c r="T125" s="1536"/>
      <c r="U125" s="1536"/>
      <c r="V125" s="1536"/>
      <c r="W125" s="1806"/>
      <c r="X125" s="1536"/>
      <c r="Y125" s="1536"/>
      <c r="Z125" s="714"/>
      <c r="AA125" s="1536"/>
      <c r="AB125" s="1536"/>
      <c r="AC125" s="1536"/>
      <c r="AD125" s="1536"/>
      <c r="AE125" s="1536"/>
      <c r="AF125" s="1802"/>
      <c r="AG125" s="792"/>
      <c r="AH125" s="792"/>
      <c r="AI125" s="792"/>
      <c r="AJ125" s="792"/>
      <c r="AK125" s="1811">
        <v>11</v>
      </c>
    </row>
    <row s="12668" customFormat="1" customHeight="1" ht="11.549999999999999">
      <c r="A126" s="1157"/>
      <c r="B126" s="1157"/>
      <c r="C126" s="1157"/>
      <c r="D126" s="1157"/>
      <c r="E126" s="1157"/>
      <c r="F126" s="1806"/>
      <c r="G126" s="1806"/>
      <c r="H126" s="521"/>
      <c r="N126" s="1536"/>
      <c r="P126" s="1536"/>
      <c r="Q126" s="1806"/>
      <c r="R126" s="1806"/>
      <c r="S126" s="1536"/>
      <c r="T126" s="1536"/>
      <c r="U126" s="1536"/>
      <c r="V126" s="1536"/>
      <c r="W126" s="1806"/>
      <c r="X126" s="1536"/>
      <c r="Y126" s="1536"/>
      <c r="Z126" s="714"/>
      <c r="AA126" s="1536"/>
      <c r="AB126" s="1536"/>
      <c r="AC126" s="1536"/>
      <c r="AD126" s="1536"/>
      <c r="AE126" s="1536"/>
      <c r="AF126" s="1802"/>
      <c r="AG126" s="792"/>
      <c r="AH126" s="792"/>
      <c r="AI126" s="792"/>
      <c r="AJ126" s="792"/>
      <c r="AK126" s="1811">
        <v>11</v>
      </c>
    </row>
    <row s="12668" customFormat="1" customHeight="1" ht="11.549999999999999">
      <c r="A127" s="1157"/>
      <c r="B127" s="1157"/>
      <c r="C127" s="1157"/>
      <c r="D127" s="1157"/>
      <c r="E127" s="1157"/>
      <c r="F127" s="1806"/>
      <c r="G127" s="1806"/>
      <c r="H127" s="521"/>
      <c r="N127" s="1536"/>
      <c r="P127" s="1536"/>
      <c r="Q127" s="1806"/>
      <c r="R127" s="1806"/>
      <c r="S127" s="1536"/>
      <c r="T127" s="1536"/>
      <c r="U127" s="1536"/>
      <c r="V127" s="1536"/>
      <c r="W127" s="1806"/>
      <c r="X127" s="1536"/>
      <c r="Y127" s="1536"/>
      <c r="Z127" s="714"/>
      <c r="AA127" s="1536"/>
      <c r="AB127" s="1536"/>
      <c r="AC127" s="1536"/>
      <c r="AD127" s="1536"/>
      <c r="AE127" s="1536"/>
      <c r="AF127" s="1802"/>
      <c r="AG127" s="792"/>
      <c r="AH127" s="792"/>
      <c r="AI127" s="792"/>
      <c r="AJ127" s="792"/>
      <c r="AK127" s="1811">
        <v>11</v>
      </c>
    </row>
    <row s="12668" customFormat="1" customHeight="1" ht="11.549999999999999">
      <c r="A128" s="1157"/>
      <c r="B128" s="1157"/>
      <c r="C128" s="1157"/>
      <c r="D128" s="1157"/>
      <c r="E128" s="1157"/>
      <c r="F128" s="1806"/>
      <c r="G128" s="1806"/>
      <c r="H128" s="521"/>
      <c r="N128" s="1536"/>
      <c r="P128" s="1536"/>
      <c r="Q128" s="1806"/>
      <c r="R128" s="1806"/>
      <c r="S128" s="1536"/>
      <c r="T128" s="1536"/>
      <c r="U128" s="1536"/>
      <c r="V128" s="1536"/>
      <c r="W128" s="1806"/>
      <c r="X128" s="1536"/>
      <c r="Y128" s="1536"/>
      <c r="Z128" s="714"/>
      <c r="AA128" s="1536"/>
      <c r="AB128" s="1536"/>
      <c r="AC128" s="1536"/>
      <c r="AD128" s="1536"/>
      <c r="AE128" s="1536"/>
      <c r="AF128" s="1802"/>
      <c r="AG128" s="792"/>
      <c r="AH128" s="792"/>
      <c r="AI128" s="792"/>
      <c r="AJ128" s="792"/>
      <c r="AK128" s="1811">
        <v>11</v>
      </c>
    </row>
    <row s="12668" customFormat="1" customHeight="1" ht="11.549999999999999">
      <c r="A129" s="1157"/>
      <c r="B129" s="1157"/>
      <c r="C129" s="1157"/>
      <c r="D129" s="1157"/>
      <c r="E129" s="1157"/>
      <c r="F129" s="1806"/>
      <c r="G129" s="1806"/>
      <c r="H129" s="521"/>
      <c r="N129" s="1536"/>
      <c r="P129" s="1536"/>
      <c r="Q129" s="1806"/>
      <c r="R129" s="1806"/>
      <c r="S129" s="1536"/>
      <c r="T129" s="1536"/>
      <c r="U129" s="1536"/>
      <c r="V129" s="1536"/>
      <c r="W129" s="1806"/>
      <c r="X129" s="1536"/>
      <c r="Y129" s="1536"/>
      <c r="Z129" s="714"/>
      <c r="AA129" s="1536"/>
      <c r="AB129" s="1536"/>
      <c r="AC129" s="1536"/>
      <c r="AD129" s="1536"/>
      <c r="AE129" s="1536"/>
      <c r="AF129" s="1802"/>
      <c r="AG129" s="792"/>
      <c r="AH129" s="792"/>
      <c r="AI129" s="792"/>
      <c r="AJ129" s="792"/>
      <c r="AK129" s="1811">
        <v>11</v>
      </c>
    </row>
    <row s="12668" customFormat="1" customHeight="1" ht="11.549999999999999">
      <c r="A130" s="1157"/>
      <c r="B130" s="1157"/>
      <c r="C130" s="1157"/>
      <c r="D130" s="1157"/>
      <c r="E130" s="1157"/>
      <c r="F130" s="1806"/>
      <c r="G130" s="1806"/>
      <c r="H130" s="521"/>
      <c r="N130" s="1536"/>
      <c r="P130" s="1536"/>
      <c r="Q130" s="1806"/>
      <c r="R130" s="1806"/>
      <c r="S130" s="1536"/>
      <c r="T130" s="1536"/>
      <c r="U130" s="1536"/>
      <c r="V130" s="1536"/>
      <c r="W130" s="1806"/>
      <c r="X130" s="1536"/>
      <c r="Y130" s="1536"/>
      <c r="Z130" s="714"/>
      <c r="AA130" s="1536"/>
      <c r="AB130" s="1536"/>
      <c r="AC130" s="1536"/>
      <c r="AD130" s="1536"/>
      <c r="AE130" s="1536"/>
      <c r="AF130" s="1802"/>
      <c r="AG130" s="792"/>
      <c r="AH130" s="792"/>
      <c r="AI130" s="792"/>
      <c r="AJ130" s="792"/>
      <c r="AK130" s="1811">
        <v>11</v>
      </c>
    </row>
    <row s="12668" customFormat="1" customHeight="1" ht="11.549999999999999">
      <c r="A131" s="1157"/>
      <c r="B131" s="1157"/>
      <c r="C131" s="1157"/>
      <c r="D131" s="1157"/>
      <c r="E131" s="1157"/>
      <c r="F131" s="1806"/>
      <c r="G131" s="1806"/>
      <c r="H131" s="521"/>
      <c r="N131" s="1536"/>
      <c r="P131" s="1536"/>
      <c r="Q131" s="1806"/>
      <c r="R131" s="1806"/>
      <c r="S131" s="1536"/>
      <c r="T131" s="1536"/>
      <c r="U131" s="1536"/>
      <c r="V131" s="1536"/>
      <c r="W131" s="1806"/>
      <c r="X131" s="1536"/>
      <c r="Y131" s="1536"/>
      <c r="Z131" s="714"/>
      <c r="AA131" s="1536"/>
      <c r="AB131" s="1536"/>
      <c r="AC131" s="1536"/>
      <c r="AD131" s="1536"/>
      <c r="AE131" s="1536"/>
      <c r="AF131" s="1802"/>
      <c r="AG131" s="792"/>
      <c r="AH131" s="792"/>
      <c r="AI131" s="792"/>
      <c r="AJ131" s="792"/>
      <c r="AK131" s="1811">
        <v>11</v>
      </c>
    </row>
    <row s="12668" customFormat="1" customHeight="1" ht="11.549999999999999">
      <c r="A132" s="1157"/>
      <c r="B132" s="1157"/>
      <c r="C132" s="1157"/>
      <c r="D132" s="1157"/>
      <c r="E132" s="1157"/>
      <c r="F132" s="1806"/>
      <c r="G132" s="1806"/>
      <c r="H132" s="521"/>
      <c r="N132" s="1536"/>
      <c r="P132" s="1536"/>
      <c r="Q132" s="1806"/>
      <c r="R132" s="1806"/>
      <c r="S132" s="1536"/>
      <c r="T132" s="1536"/>
      <c r="U132" s="1536"/>
      <c r="V132" s="1536"/>
      <c r="W132" s="1806"/>
      <c r="X132" s="1536"/>
      <c r="Y132" s="1536"/>
      <c r="Z132" s="714"/>
      <c r="AA132" s="1536"/>
      <c r="AB132" s="1536"/>
      <c r="AC132" s="1536"/>
      <c r="AD132" s="1536"/>
      <c r="AE132" s="1536"/>
      <c r="AF132" s="1802"/>
      <c r="AG132" s="792"/>
      <c r="AH132" s="792"/>
      <c r="AI132" s="792"/>
      <c r="AJ132" s="792"/>
      <c r="AK132" s="1811">
        <v>11</v>
      </c>
    </row>
    <row s="12668" customFormat="1" customHeight="1" ht="11.549999999999999">
      <c r="A133" s="1157"/>
      <c r="B133" s="1157"/>
      <c r="C133" s="1157"/>
      <c r="D133" s="1157"/>
      <c r="E133" s="1157"/>
      <c r="F133" s="1806"/>
      <c r="G133" s="1806"/>
      <c r="H133" s="521"/>
      <c r="N133" s="1536"/>
      <c r="P133" s="1536"/>
      <c r="Q133" s="1806"/>
      <c r="R133" s="1806"/>
      <c r="S133" s="1536"/>
      <c r="T133" s="1536"/>
      <c r="U133" s="1536"/>
      <c r="V133" s="1536"/>
      <c r="W133" s="1806"/>
      <c r="X133" s="1536"/>
      <c r="Y133" s="1536"/>
      <c r="Z133" s="714"/>
      <c r="AA133" s="1536"/>
      <c r="AB133" s="1536"/>
      <c r="AC133" s="1536"/>
      <c r="AD133" s="1536"/>
      <c r="AE133" s="1536"/>
      <c r="AF133" s="1802"/>
      <c r="AG133" s="792"/>
      <c r="AH133" s="792"/>
      <c r="AI133" s="792"/>
      <c r="AJ133" s="792"/>
      <c r="AK133" s="1811">
        <v>11</v>
      </c>
    </row>
    <row s="12668" customFormat="1" customHeight="1" ht="11.549999999999999">
      <c r="A134" s="1157"/>
      <c r="B134" s="1157"/>
      <c r="C134" s="1157"/>
      <c r="D134" s="1157"/>
      <c r="E134" s="1157"/>
      <c r="F134" s="1806"/>
      <c r="G134" s="1806"/>
      <c r="H134" s="521"/>
      <c r="N134" s="1536"/>
      <c r="P134" s="1536"/>
      <c r="Q134" s="1806"/>
      <c r="R134" s="1806"/>
      <c r="S134" s="1536"/>
      <c r="T134" s="1536"/>
      <c r="U134" s="1536"/>
      <c r="V134" s="1536"/>
      <c r="W134" s="1806"/>
      <c r="X134" s="1536"/>
      <c r="Y134" s="1536"/>
      <c r="Z134" s="714"/>
      <c r="AA134" s="1536"/>
      <c r="AB134" s="1536"/>
      <c r="AC134" s="1536"/>
      <c r="AD134" s="1536"/>
      <c r="AE134" s="1536"/>
      <c r="AF134" s="1802"/>
      <c r="AG134" s="792"/>
      <c r="AH134" s="792"/>
      <c r="AI134" s="792"/>
      <c r="AJ134" s="792"/>
      <c r="AK134" s="1811">
        <v>11</v>
      </c>
    </row>
    <row s="12668" customFormat="1" customHeight="1" ht="11.549999999999999">
      <c r="A135" s="1157"/>
      <c r="B135" s="1157"/>
      <c r="C135" s="1157"/>
      <c r="D135" s="1157"/>
      <c r="E135" s="1157"/>
      <c r="F135" s="1806"/>
      <c r="G135" s="1806"/>
      <c r="H135" s="521"/>
      <c r="N135" s="1536"/>
      <c r="P135" s="1536"/>
      <c r="Q135" s="1806"/>
      <c r="R135" s="1806"/>
      <c r="S135" s="1536"/>
      <c r="T135" s="1536"/>
      <c r="U135" s="1536"/>
      <c r="V135" s="1536"/>
      <c r="W135" s="1806"/>
      <c r="X135" s="1536"/>
      <c r="Y135" s="1536"/>
      <c r="Z135" s="714"/>
      <c r="AA135" s="1536"/>
      <c r="AB135" s="1536"/>
      <c r="AC135" s="1536"/>
      <c r="AD135" s="1536"/>
      <c r="AE135" s="1536"/>
      <c r="AF135" s="1802"/>
      <c r="AG135" s="792"/>
      <c r="AH135" s="792"/>
      <c r="AI135" s="792"/>
      <c r="AJ135" s="792"/>
      <c r="AK135" s="1811">
        <v>11</v>
      </c>
    </row>
    <row s="12668" customFormat="1" customHeight="1" ht="11.549999999999999">
      <c r="A136" s="1157"/>
      <c r="B136" s="1157"/>
      <c r="C136" s="1157"/>
      <c r="D136" s="1157"/>
      <c r="E136" s="1157"/>
      <c r="F136" s="1806"/>
      <c r="G136" s="1806"/>
      <c r="H136" s="521"/>
      <c r="N136" s="1536"/>
      <c r="P136" s="1536"/>
      <c r="Q136" s="1806"/>
      <c r="R136" s="1806"/>
      <c r="S136" s="1536"/>
      <c r="T136" s="1536"/>
      <c r="U136" s="1536"/>
      <c r="V136" s="1536"/>
      <c r="W136" s="1806"/>
      <c r="X136" s="1536"/>
      <c r="Y136" s="1536"/>
      <c r="Z136" s="714"/>
      <c r="AA136" s="1536"/>
      <c r="AB136" s="1536"/>
      <c r="AC136" s="1536"/>
      <c r="AD136" s="1536"/>
      <c r="AE136" s="1536"/>
      <c r="AF136" s="1802"/>
      <c r="AG136" s="792"/>
      <c r="AH136" s="792"/>
      <c r="AI136" s="792"/>
      <c r="AJ136" s="792"/>
      <c r="AK136" s="1811">
        <v>11</v>
      </c>
    </row>
    <row s="12668" customFormat="1" customHeight="1" ht="11.549999999999999">
      <c r="A137" s="1157"/>
      <c r="B137" s="1157"/>
      <c r="C137" s="1157"/>
      <c r="D137" s="1157"/>
      <c r="E137" s="1157"/>
      <c r="F137" s="1806"/>
      <c r="G137" s="1806"/>
      <c r="H137" s="521"/>
      <c r="N137" s="1536"/>
      <c r="P137" s="1536"/>
      <c r="Q137" s="1806"/>
      <c r="R137" s="1806"/>
      <c r="S137" s="1536"/>
      <c r="T137" s="1536"/>
      <c r="U137" s="1536"/>
      <c r="V137" s="1536"/>
      <c r="W137" s="1806"/>
      <c r="X137" s="1536"/>
      <c r="Y137" s="1536"/>
      <c r="Z137" s="714"/>
      <c r="AA137" s="1536"/>
      <c r="AB137" s="1536"/>
      <c r="AC137" s="1536"/>
      <c r="AD137" s="1536"/>
      <c r="AE137" s="1536"/>
      <c r="AF137" s="1802"/>
      <c r="AG137" s="792"/>
      <c r="AH137" s="792"/>
      <c r="AI137" s="792"/>
      <c r="AJ137" s="792"/>
      <c r="AK137" s="1811">
        <v>11</v>
      </c>
    </row>
    <row s="12668" customFormat="1" customHeight="1" ht="11.549999999999999">
      <c r="A138" s="1157"/>
      <c r="B138" s="1157"/>
      <c r="C138" s="1157"/>
      <c r="D138" s="1157"/>
      <c r="E138" s="1157"/>
      <c r="F138" s="1806"/>
      <c r="G138" s="1806"/>
      <c r="H138" s="521"/>
      <c r="N138" s="1536"/>
      <c r="P138" s="1536"/>
      <c r="Q138" s="1806"/>
      <c r="R138" s="1806"/>
      <c r="S138" s="1536"/>
      <c r="T138" s="1536"/>
      <c r="U138" s="1536"/>
      <c r="V138" s="1536"/>
      <c r="W138" s="1806"/>
      <c r="X138" s="1536"/>
      <c r="Y138" s="1536"/>
      <c r="Z138" s="714"/>
      <c r="AA138" s="1536"/>
      <c r="AB138" s="1536"/>
      <c r="AC138" s="1536"/>
      <c r="AD138" s="1536"/>
      <c r="AE138" s="1536"/>
      <c r="AF138" s="1802"/>
      <c r="AG138" s="792"/>
      <c r="AH138" s="792"/>
      <c r="AI138" s="792"/>
      <c r="AJ138" s="792"/>
      <c r="AK138" s="1811">
        <v>11</v>
      </c>
    </row>
    <row s="12668" customFormat="1" customHeight="1" ht="11.549999999999999">
      <c r="A139" s="1157"/>
      <c r="B139" s="1157"/>
      <c r="C139" s="1157"/>
      <c r="D139" s="1157"/>
      <c r="E139" s="1157"/>
      <c r="F139" s="1806"/>
      <c r="G139" s="1806"/>
      <c r="H139" s="521"/>
      <c r="N139" s="1536"/>
      <c r="P139" s="1536"/>
      <c r="Q139" s="1806"/>
      <c r="R139" s="1806"/>
      <c r="S139" s="1536"/>
      <c r="T139" s="1536"/>
      <c r="U139" s="1536"/>
      <c r="V139" s="1536"/>
      <c r="W139" s="1806"/>
      <c r="X139" s="1536"/>
      <c r="Y139" s="1536"/>
      <c r="Z139" s="714"/>
      <c r="AA139" s="1536"/>
      <c r="AB139" s="1536"/>
      <c r="AC139" s="1536"/>
      <c r="AD139" s="1536"/>
      <c r="AE139" s="1536"/>
      <c r="AF139" s="1802"/>
      <c r="AG139" s="792"/>
      <c r="AH139" s="792"/>
      <c r="AI139" s="792"/>
      <c r="AJ139" s="792"/>
      <c r="AK139" s="1811">
        <v>11</v>
      </c>
    </row>
    <row s="12668" customFormat="1" customHeight="1" ht="11.549999999999999">
      <c r="A140" s="1157"/>
      <c r="B140" s="1157"/>
      <c r="C140" s="1157"/>
      <c r="D140" s="1157"/>
      <c r="E140" s="1157"/>
      <c r="F140" s="1806"/>
      <c r="G140" s="1806"/>
      <c r="H140" s="521"/>
      <c r="N140" s="1536"/>
      <c r="P140" s="1536"/>
      <c r="Q140" s="1806"/>
      <c r="R140" s="1806"/>
      <c r="S140" s="1536"/>
      <c r="T140" s="1536"/>
      <c r="U140" s="1536"/>
      <c r="V140" s="1536"/>
      <c r="W140" s="1806"/>
      <c r="X140" s="1536"/>
      <c r="Y140" s="1536"/>
      <c r="Z140" s="714"/>
      <c r="AA140" s="1536"/>
      <c r="AB140" s="1536"/>
      <c r="AC140" s="1536"/>
      <c r="AD140" s="1536"/>
      <c r="AE140" s="1536"/>
      <c r="AF140" s="1802"/>
      <c r="AG140" s="792"/>
      <c r="AH140" s="792"/>
      <c r="AI140" s="792"/>
      <c r="AJ140" s="792"/>
      <c r="AK140" s="1811">
        <v>11</v>
      </c>
    </row>
    <row s="12668" customFormat="1" customHeight="1" ht="11.549999999999999">
      <c r="A141" s="1157"/>
      <c r="B141" s="1157"/>
      <c r="C141" s="1157"/>
      <c r="D141" s="1157"/>
      <c r="E141" s="1157"/>
      <c r="F141" s="1806"/>
      <c r="G141" s="1806"/>
      <c r="H141" s="521"/>
      <c r="N141" s="1536"/>
      <c r="P141" s="1536"/>
      <c r="Q141" s="1806"/>
      <c r="R141" s="1806"/>
      <c r="S141" s="1536"/>
      <c r="T141" s="1536"/>
      <c r="U141" s="1536"/>
      <c r="V141" s="1536"/>
      <c r="W141" s="1806"/>
      <c r="X141" s="1536"/>
      <c r="Y141" s="1536"/>
      <c r="Z141" s="714"/>
      <c r="AA141" s="1536"/>
      <c r="AB141" s="1536"/>
      <c r="AC141" s="1536"/>
      <c r="AD141" s="1536"/>
      <c r="AE141" s="1536"/>
      <c r="AF141" s="1802"/>
      <c r="AG141" s="792"/>
      <c r="AH141" s="792"/>
      <c r="AI141" s="792"/>
      <c r="AJ141" s="792"/>
      <c r="AK141" s="1811">
        <v>11</v>
      </c>
    </row>
    <row s="12668" customFormat="1" customHeight="1" ht="11.549999999999999">
      <c r="A142" s="1157"/>
      <c r="B142" s="1157"/>
      <c r="C142" s="1157"/>
      <c r="D142" s="1157"/>
      <c r="E142" s="1157"/>
      <c r="F142" s="1806"/>
      <c r="G142" s="1806"/>
      <c r="H142" s="521"/>
      <c r="N142" s="1536"/>
      <c r="P142" s="1536"/>
      <c r="Q142" s="1806"/>
      <c r="R142" s="1806"/>
      <c r="S142" s="1536"/>
      <c r="T142" s="1536"/>
      <c r="U142" s="1536"/>
      <c r="V142" s="1536"/>
      <c r="W142" s="1806"/>
      <c r="X142" s="1536"/>
      <c r="Y142" s="1536"/>
      <c r="Z142" s="714"/>
      <c r="AA142" s="1536"/>
      <c r="AB142" s="1536"/>
      <c r="AC142" s="1536"/>
      <c r="AD142" s="1536"/>
      <c r="AE142" s="1536"/>
      <c r="AF142" s="1802"/>
      <c r="AG142" s="792"/>
      <c r="AH142" s="792"/>
      <c r="AI142" s="792"/>
      <c r="AJ142" s="792"/>
      <c r="AK142" s="1811">
        <v>11</v>
      </c>
    </row>
    <row s="12668" customFormat="1" customHeight="1" ht="11.549999999999999">
      <c r="A143" s="1157"/>
      <c r="B143" s="1157"/>
      <c r="C143" s="1157"/>
      <c r="D143" s="1157"/>
      <c r="E143" s="1157"/>
      <c r="F143" s="1806"/>
      <c r="G143" s="1806"/>
      <c r="H143" s="521"/>
      <c r="N143" s="1536"/>
      <c r="P143" s="1536"/>
      <c r="Q143" s="1806"/>
      <c r="R143" s="1806"/>
      <c r="S143" s="1536"/>
      <c r="T143" s="1536"/>
      <c r="U143" s="1536"/>
      <c r="V143" s="1536"/>
      <c r="W143" s="1806"/>
      <c r="X143" s="1536"/>
      <c r="Y143" s="1536"/>
      <c r="Z143" s="714"/>
      <c r="AA143" s="1536"/>
      <c r="AB143" s="1536"/>
      <c r="AC143" s="1536"/>
      <c r="AD143" s="1536"/>
      <c r="AE143" s="1536"/>
      <c r="AF143" s="1802"/>
      <c r="AG143" s="792"/>
      <c r="AH143" s="792"/>
      <c r="AI143" s="792"/>
      <c r="AJ143" s="792"/>
      <c r="AK143" s="1811">
        <v>11</v>
      </c>
    </row>
    <row s="12668" customFormat="1" customHeight="1" ht="11.549999999999999">
      <c r="A144" s="1157"/>
      <c r="B144" s="1157"/>
      <c r="C144" s="1157"/>
      <c r="D144" s="1157"/>
      <c r="E144" s="1157"/>
      <c r="F144" s="1806"/>
      <c r="G144" s="1806"/>
      <c r="H144" s="521"/>
      <c r="N144" s="1536"/>
      <c r="P144" s="1536"/>
      <c r="Q144" s="1806"/>
      <c r="R144" s="1806"/>
      <c r="S144" s="1536"/>
      <c r="T144" s="1536"/>
      <c r="U144" s="1536"/>
      <c r="V144" s="1536"/>
      <c r="W144" s="1806"/>
      <c r="X144" s="1536"/>
      <c r="Y144" s="1536"/>
      <c r="Z144" s="714"/>
      <c r="AA144" s="1536"/>
      <c r="AB144" s="1536"/>
      <c r="AC144" s="1536"/>
      <c r="AD144" s="1536"/>
      <c r="AE144" s="1536"/>
      <c r="AF144" s="1802"/>
      <c r="AG144" s="792"/>
      <c r="AH144" s="792"/>
      <c r="AI144" s="792"/>
      <c r="AJ144" s="792"/>
      <c r="AK144" s="1811">
        <v>11</v>
      </c>
    </row>
    <row s="12668" customFormat="1" customHeight="1" ht="11.549999999999999">
      <c r="A145" s="1157"/>
      <c r="B145" s="1157"/>
      <c r="C145" s="1157"/>
      <c r="D145" s="1157"/>
      <c r="E145" s="1157"/>
      <c r="F145" s="1806"/>
      <c r="G145" s="1806"/>
      <c r="H145" s="521"/>
      <c r="N145" s="1536"/>
      <c r="P145" s="1536"/>
      <c r="Q145" s="1806"/>
      <c r="R145" s="1806"/>
      <c r="S145" s="1536"/>
      <c r="T145" s="1536"/>
      <c r="U145" s="1536"/>
      <c r="V145" s="1536"/>
      <c r="W145" s="1806"/>
      <c r="X145" s="1536"/>
      <c r="Y145" s="1536"/>
      <c r="Z145" s="714"/>
      <c r="AA145" s="1536"/>
      <c r="AB145" s="1536"/>
      <c r="AC145" s="1536"/>
      <c r="AD145" s="1536"/>
      <c r="AE145" s="1536"/>
      <c r="AF145" s="1802"/>
      <c r="AG145" s="792"/>
      <c r="AH145" s="792"/>
      <c r="AI145" s="792"/>
      <c r="AJ145" s="792"/>
      <c r="AK145" s="1811">
        <v>11</v>
      </c>
    </row>
    <row s="12668" customFormat="1" customHeight="1" ht="11.549999999999999">
      <c r="A146" s="1157"/>
      <c r="B146" s="1157"/>
      <c r="C146" s="1157"/>
      <c r="D146" s="1157"/>
      <c r="E146" s="1157"/>
      <c r="F146" s="1806"/>
      <c r="G146" s="1806"/>
      <c r="H146" s="521"/>
      <c r="N146" s="1536"/>
      <c r="P146" s="1536"/>
      <c r="Q146" s="1806"/>
      <c r="R146" s="1806"/>
      <c r="S146" s="1536"/>
      <c r="T146" s="1536"/>
      <c r="U146" s="1536"/>
      <c r="V146" s="1536"/>
      <c r="W146" s="1806"/>
      <c r="X146" s="1536"/>
      <c r="Y146" s="1536"/>
      <c r="Z146" s="714"/>
      <c r="AA146" s="1536"/>
      <c r="AB146" s="1536"/>
      <c r="AC146" s="1536"/>
      <c r="AD146" s="1536"/>
      <c r="AE146" s="1536"/>
      <c r="AF146" s="1802"/>
      <c r="AG146" s="792"/>
      <c r="AH146" s="792"/>
      <c r="AI146" s="792"/>
      <c r="AJ146" s="792"/>
      <c r="AK146" s="1811">
        <v>11</v>
      </c>
    </row>
    <row s="12668" customFormat="1" customHeight="1" ht="11.549999999999999">
      <c r="A147" s="1157"/>
      <c r="B147" s="1157"/>
      <c r="C147" s="1157"/>
      <c r="D147" s="1157"/>
      <c r="E147" s="1157"/>
      <c r="F147" s="1806"/>
      <c r="G147" s="1806"/>
      <c r="H147" s="521"/>
      <c r="N147" s="1536"/>
      <c r="P147" s="1536"/>
      <c r="Q147" s="1806"/>
      <c r="R147" s="1806"/>
      <c r="S147" s="1536"/>
      <c r="T147" s="1536"/>
      <c r="U147" s="1536"/>
      <c r="V147" s="1536"/>
      <c r="W147" s="1806"/>
      <c r="X147" s="1536"/>
      <c r="Y147" s="1536"/>
      <c r="Z147" s="714"/>
      <c r="AA147" s="1536"/>
      <c r="AB147" s="1536"/>
      <c r="AC147" s="1536"/>
      <c r="AD147" s="1536"/>
      <c r="AE147" s="1536"/>
      <c r="AF147" s="1802"/>
      <c r="AG147" s="792"/>
      <c r="AH147" s="792"/>
      <c r="AI147" s="792"/>
      <c r="AJ147" s="792"/>
      <c r="AK147" s="1811">
        <v>11</v>
      </c>
    </row>
    <row s="12668" customFormat="1" customHeight="1" ht="11.549999999999999">
      <c r="A148" s="1157"/>
      <c r="B148" s="1157"/>
      <c r="C148" s="1157"/>
      <c r="D148" s="1157"/>
      <c r="E148" s="1157"/>
      <c r="F148" s="1806"/>
      <c r="G148" s="1806"/>
      <c r="H148" s="521"/>
      <c r="N148" s="1536"/>
      <c r="P148" s="1536"/>
      <c r="Q148" s="1806"/>
      <c r="R148" s="1806"/>
      <c r="S148" s="1536"/>
      <c r="T148" s="1536"/>
      <c r="U148" s="1536"/>
      <c r="V148" s="1536"/>
      <c r="W148" s="1806"/>
      <c r="X148" s="1536"/>
      <c r="Y148" s="1536"/>
      <c r="Z148" s="714"/>
      <c r="AA148" s="1536"/>
      <c r="AB148" s="1536"/>
      <c r="AC148" s="1536"/>
      <c r="AD148" s="1536"/>
      <c r="AE148" s="1536"/>
      <c r="AF148" s="1802"/>
      <c r="AG148" s="792"/>
      <c r="AH148" s="792"/>
      <c r="AI148" s="792"/>
      <c r="AJ148" s="792"/>
      <c r="AK148" s="1811">
        <v>11</v>
      </c>
    </row>
    <row s="12668" customFormat="1" customHeight="1" ht="11.549999999999999">
      <c r="A149" s="1157"/>
      <c r="B149" s="1157"/>
      <c r="C149" s="1157"/>
      <c r="D149" s="1157"/>
      <c r="E149" s="1157"/>
      <c r="F149" s="1806"/>
      <c r="G149" s="1806"/>
      <c r="H149" s="521"/>
      <c r="N149" s="1536"/>
      <c r="P149" s="1536"/>
      <c r="Q149" s="1806"/>
      <c r="R149" s="1806"/>
      <c r="S149" s="1536"/>
      <c r="T149" s="1536"/>
      <c r="U149" s="1536"/>
      <c r="V149" s="1536"/>
      <c r="W149" s="1806"/>
      <c r="X149" s="1536"/>
      <c r="Y149" s="1536"/>
      <c r="Z149" s="714"/>
      <c r="AA149" s="1536"/>
      <c r="AB149" s="1536"/>
      <c r="AC149" s="1536"/>
      <c r="AD149" s="1536"/>
      <c r="AE149" s="1536"/>
      <c r="AF149" s="1802"/>
      <c r="AG149" s="792"/>
      <c r="AH149" s="792"/>
      <c r="AI149" s="792"/>
      <c r="AJ149" s="792"/>
      <c r="AK149" s="1811">
        <v>11</v>
      </c>
    </row>
    <row s="12668" customFormat="1" customHeight="1" ht="11.549999999999999">
      <c r="A150" s="1157"/>
      <c r="B150" s="1157"/>
      <c r="C150" s="1157"/>
      <c r="D150" s="1157"/>
      <c r="E150" s="1157"/>
      <c r="F150" s="1806"/>
      <c r="G150" s="1806"/>
      <c r="H150" s="521"/>
      <c r="N150" s="1536"/>
      <c r="P150" s="1536"/>
      <c r="Q150" s="1806"/>
      <c r="R150" s="1806"/>
      <c r="S150" s="1536"/>
      <c r="T150" s="1536"/>
      <c r="U150" s="1536"/>
      <c r="V150" s="1536"/>
      <c r="W150" s="1806"/>
      <c r="X150" s="1536"/>
      <c r="Y150" s="1536"/>
      <c r="Z150" s="714"/>
      <c r="AA150" s="1536"/>
      <c r="AB150" s="1536"/>
      <c r="AC150" s="1536"/>
      <c r="AD150" s="1536"/>
      <c r="AE150" s="1536"/>
      <c r="AF150" s="1802"/>
      <c r="AG150" s="792"/>
      <c r="AH150" s="792"/>
      <c r="AI150" s="792"/>
      <c r="AJ150" s="792"/>
      <c r="AK150" s="1811">
        <v>11</v>
      </c>
    </row>
    <row s="12668" customFormat="1" customHeight="1" ht="11.549999999999999">
      <c r="A151" s="1157"/>
      <c r="B151" s="1157"/>
      <c r="C151" s="1157"/>
      <c r="D151" s="1157"/>
      <c r="E151" s="1157"/>
      <c r="F151" s="1806"/>
      <c r="G151" s="1806"/>
      <c r="H151" s="521"/>
      <c r="N151" s="1536"/>
      <c r="P151" s="1536"/>
      <c r="Q151" s="1806"/>
      <c r="R151" s="1806"/>
      <c r="S151" s="1536"/>
      <c r="T151" s="1536"/>
      <c r="U151" s="1536"/>
      <c r="V151" s="1536"/>
      <c r="W151" s="1806"/>
      <c r="X151" s="1536"/>
      <c r="Y151" s="1536"/>
      <c r="Z151" s="714"/>
      <c r="AA151" s="1536"/>
      <c r="AB151" s="1536"/>
      <c r="AC151" s="1536"/>
      <c r="AD151" s="1536"/>
      <c r="AE151" s="1536"/>
      <c r="AF151" s="1802"/>
      <c r="AG151" s="792"/>
      <c r="AH151" s="792"/>
      <c r="AI151" s="792"/>
      <c r="AJ151" s="792"/>
      <c r="AK151" s="1811">
        <v>11</v>
      </c>
    </row>
    <row s="12668" customFormat="1" customHeight="1" ht="11.549999999999999">
      <c r="A152" s="1157"/>
      <c r="B152" s="1157"/>
      <c r="C152" s="1157"/>
      <c r="D152" s="1157"/>
      <c r="E152" s="1157"/>
      <c r="F152" s="1806"/>
      <c r="G152" s="1806"/>
      <c r="H152" s="521"/>
      <c r="N152" s="1536"/>
      <c r="P152" s="1536"/>
      <c r="Q152" s="1806"/>
      <c r="R152" s="1806"/>
      <c r="S152" s="1536"/>
      <c r="T152" s="1536"/>
      <c r="U152" s="1536"/>
      <c r="V152" s="1536"/>
      <c r="W152" s="1806"/>
      <c r="X152" s="1536"/>
      <c r="Y152" s="1536"/>
      <c r="Z152" s="714"/>
      <c r="AA152" s="1536"/>
      <c r="AB152" s="1536"/>
      <c r="AC152" s="1536"/>
      <c r="AD152" s="1536"/>
      <c r="AE152" s="1536"/>
      <c r="AF152" s="1802"/>
      <c r="AG152" s="792"/>
      <c r="AH152" s="792"/>
      <c r="AI152" s="792"/>
      <c r="AJ152" s="792"/>
      <c r="AK152" s="1811">
        <v>11</v>
      </c>
    </row>
    <row s="12668" customFormat="1" customHeight="1" ht="11.549999999999999">
      <c r="A153" s="1157"/>
      <c r="B153" s="1157"/>
      <c r="C153" s="1157"/>
      <c r="D153" s="1157"/>
      <c r="E153" s="1157"/>
      <c r="F153" s="1806"/>
      <c r="G153" s="1806"/>
      <c r="H153" s="521"/>
      <c r="N153" s="1536"/>
      <c r="P153" s="1536"/>
      <c r="Q153" s="1806"/>
      <c r="R153" s="1806"/>
      <c r="S153" s="1536"/>
      <c r="T153" s="1536"/>
      <c r="U153" s="1536"/>
      <c r="V153" s="1536"/>
      <c r="W153" s="1806"/>
      <c r="X153" s="1536"/>
      <c r="Y153" s="1536"/>
      <c r="Z153" s="714"/>
      <c r="AA153" s="1536"/>
      <c r="AB153" s="1536"/>
      <c r="AC153" s="1536"/>
      <c r="AD153" s="1536"/>
      <c r="AE153" s="1536"/>
      <c r="AF153" s="1802"/>
      <c r="AG153" s="792"/>
      <c r="AH153" s="792"/>
      <c r="AI153" s="792"/>
      <c r="AJ153" s="792"/>
      <c r="AK153" s="1811">
        <v>11</v>
      </c>
    </row>
    <row s="12668" customFormat="1" customHeight="1" ht="11.549999999999999">
      <c r="A154" s="1157"/>
      <c r="B154" s="1157"/>
      <c r="C154" s="1157"/>
      <c r="D154" s="1157"/>
      <c r="E154" s="1157"/>
      <c r="F154" s="1806"/>
      <c r="G154" s="1806"/>
      <c r="H154" s="521"/>
      <c r="N154" s="1536"/>
      <c r="P154" s="1536"/>
      <c r="Q154" s="1806"/>
      <c r="R154" s="1806"/>
      <c r="S154" s="1536"/>
      <c r="T154" s="1536"/>
      <c r="U154" s="1536"/>
      <c r="V154" s="1536"/>
      <c r="W154" s="1806"/>
      <c r="X154" s="1536"/>
      <c r="Y154" s="1536"/>
      <c r="Z154" s="714"/>
      <c r="AA154" s="1536"/>
      <c r="AB154" s="1536"/>
      <c r="AC154" s="1536"/>
      <c r="AD154" s="1536"/>
      <c r="AE154" s="1536"/>
      <c r="AF154" s="1802"/>
      <c r="AG154" s="792"/>
      <c r="AH154" s="792"/>
      <c r="AI154" s="792"/>
      <c r="AJ154" s="792"/>
      <c r="AK154" s="1811">
        <v>11</v>
      </c>
    </row>
    <row s="12668" customFormat="1" customHeight="1" ht="11.549999999999999">
      <c r="A155" s="1157"/>
      <c r="B155" s="1157"/>
      <c r="C155" s="1157"/>
      <c r="D155" s="1157"/>
      <c r="E155" s="1157"/>
      <c r="F155" s="1806"/>
      <c r="G155" s="1806"/>
      <c r="H155" s="521"/>
      <c r="N155" s="1536"/>
      <c r="P155" s="1536"/>
      <c r="Q155" s="1806"/>
      <c r="R155" s="1806"/>
      <c r="S155" s="1536"/>
      <c r="T155" s="1536"/>
      <c r="U155" s="1536"/>
      <c r="V155" s="1536"/>
      <c r="W155" s="1806"/>
      <c r="X155" s="1536"/>
      <c r="Y155" s="1536"/>
      <c r="Z155" s="714"/>
      <c r="AA155" s="1536"/>
      <c r="AB155" s="1536"/>
      <c r="AC155" s="1536"/>
      <c r="AD155" s="1536"/>
      <c r="AE155" s="1536"/>
      <c r="AF155" s="1802"/>
      <c r="AG155" s="792"/>
      <c r="AH155" s="792"/>
      <c r="AI155" s="792"/>
      <c r="AJ155" s="792"/>
      <c r="AK155" s="1811">
        <v>11</v>
      </c>
    </row>
    <row s="12668" customFormat="1" customHeight="1" ht="11.549999999999999">
      <c r="A156" s="1157"/>
      <c r="B156" s="1157"/>
      <c r="C156" s="1157"/>
      <c r="D156" s="1157"/>
      <c r="E156" s="1157"/>
      <c r="F156" s="1806"/>
      <c r="G156" s="1806"/>
      <c r="H156" s="521"/>
      <c r="N156" s="1536"/>
      <c r="P156" s="1536"/>
      <c r="Q156" s="1806"/>
      <c r="R156" s="1806"/>
      <c r="S156" s="1536"/>
      <c r="T156" s="1536"/>
      <c r="U156" s="1536"/>
      <c r="V156" s="1536"/>
      <c r="W156" s="1806"/>
      <c r="X156" s="1536"/>
      <c r="Y156" s="1536"/>
      <c r="Z156" s="714"/>
      <c r="AA156" s="1536"/>
      <c r="AB156" s="1536"/>
      <c r="AC156" s="1536"/>
      <c r="AD156" s="1536"/>
      <c r="AE156" s="1536"/>
      <c r="AF156" s="1802"/>
      <c r="AG156" s="792"/>
      <c r="AH156" s="792"/>
      <c r="AI156" s="792"/>
      <c r="AJ156" s="792"/>
      <c r="AK156" s="1811">
        <v>11</v>
      </c>
    </row>
    <row s="12668" customFormat="1" customHeight="1" ht="11.549999999999999">
      <c r="A157" s="1157"/>
      <c r="B157" s="1157"/>
      <c r="C157" s="1157"/>
      <c r="D157" s="1157"/>
      <c r="E157" s="1157"/>
      <c r="F157" s="1806"/>
      <c r="G157" s="1806"/>
      <c r="H157" s="521"/>
      <c r="N157" s="1536"/>
      <c r="P157" s="1536"/>
      <c r="Q157" s="1806"/>
      <c r="R157" s="1806"/>
      <c r="S157" s="1536"/>
      <c r="T157" s="1536"/>
      <c r="U157" s="1536"/>
      <c r="V157" s="1536"/>
      <c r="W157" s="1806"/>
      <c r="X157" s="1536"/>
      <c r="Y157" s="1536"/>
      <c r="Z157" s="714"/>
      <c r="AA157" s="1536"/>
      <c r="AB157" s="1536"/>
      <c r="AC157" s="1536"/>
      <c r="AD157" s="1536"/>
      <c r="AE157" s="1536"/>
      <c r="AF157" s="1802"/>
      <c r="AG157" s="792"/>
      <c r="AH157" s="792"/>
      <c r="AI157" s="792"/>
      <c r="AJ157" s="792"/>
      <c r="AK157" s="1811">
        <v>11</v>
      </c>
    </row>
    <row s="12668" customFormat="1" customHeight="1" ht="11.549999999999999">
      <c r="A158" s="1157"/>
      <c r="B158" s="1157"/>
      <c r="C158" s="1157"/>
      <c r="D158" s="1157"/>
      <c r="E158" s="1157"/>
      <c r="F158" s="1806"/>
      <c r="G158" s="1806"/>
      <c r="H158" s="521"/>
      <c r="N158" s="1536"/>
      <c r="P158" s="1536"/>
      <c r="Q158" s="1806"/>
      <c r="R158" s="1806"/>
      <c r="S158" s="1536"/>
      <c r="T158" s="1536"/>
      <c r="U158" s="1536"/>
      <c r="V158" s="1536"/>
      <c r="W158" s="1806"/>
      <c r="X158" s="1536"/>
      <c r="Y158" s="1536"/>
      <c r="Z158" s="714"/>
      <c r="AA158" s="1536"/>
      <c r="AB158" s="1536"/>
      <c r="AC158" s="1536"/>
      <c r="AD158" s="1536"/>
      <c r="AE158" s="1536"/>
      <c r="AF158" s="1802"/>
      <c r="AG158" s="792"/>
      <c r="AH158" s="792"/>
      <c r="AI158" s="792"/>
      <c r="AJ158" s="792"/>
      <c r="AK158" s="1811">
        <v>11</v>
      </c>
    </row>
    <row s="12668" customFormat="1" customHeight="1" ht="11.549999999999999">
      <c r="A159" s="1157"/>
      <c r="B159" s="1157"/>
      <c r="C159" s="1157"/>
      <c r="D159" s="1157"/>
      <c r="E159" s="1157"/>
      <c r="F159" s="1806"/>
      <c r="G159" s="1806"/>
      <c r="H159" s="521"/>
      <c r="N159" s="1536"/>
      <c r="P159" s="1536"/>
      <c r="Q159" s="1806"/>
      <c r="R159" s="1806"/>
      <c r="S159" s="1536"/>
      <c r="T159" s="1536"/>
      <c r="U159" s="1536"/>
      <c r="V159" s="1536"/>
      <c r="W159" s="1806"/>
      <c r="X159" s="1536"/>
      <c r="Y159" s="1536"/>
      <c r="Z159" s="714"/>
      <c r="AA159" s="1536"/>
      <c r="AB159" s="1536"/>
      <c r="AC159" s="1536"/>
      <c r="AD159" s="1536"/>
      <c r="AE159" s="1536"/>
      <c r="AF159" s="1802"/>
      <c r="AG159" s="792"/>
      <c r="AH159" s="792"/>
      <c r="AI159" s="792"/>
      <c r="AJ159" s="792"/>
      <c r="AK159" s="1811">
        <v>11</v>
      </c>
    </row>
    <row s="12668" customFormat="1" customHeight="1" ht="11.549999999999999">
      <c r="A160" s="1157"/>
      <c r="B160" s="1157"/>
      <c r="C160" s="1157"/>
      <c r="D160" s="1157"/>
      <c r="E160" s="1157"/>
      <c r="F160" s="1806"/>
      <c r="G160" s="1806"/>
      <c r="H160" s="521"/>
      <c r="N160" s="1536"/>
      <c r="P160" s="1536"/>
      <c r="Q160" s="1806"/>
      <c r="R160" s="1806"/>
      <c r="S160" s="1536"/>
      <c r="T160" s="1536"/>
      <c r="U160" s="1536"/>
      <c r="V160" s="1536"/>
      <c r="W160" s="1806"/>
      <c r="X160" s="1536"/>
      <c r="Y160" s="1536"/>
      <c r="Z160" s="714"/>
      <c r="AA160" s="1536"/>
      <c r="AB160" s="1536"/>
      <c r="AC160" s="1536"/>
      <c r="AD160" s="1536"/>
      <c r="AE160" s="1536"/>
      <c r="AF160" s="1802"/>
      <c r="AG160" s="792"/>
      <c r="AH160" s="792"/>
      <c r="AI160" s="792"/>
      <c r="AJ160" s="792"/>
      <c r="AK160" s="1811">
        <v>11</v>
      </c>
    </row>
    <row s="12668" customFormat="1" customHeight="1" ht="11.549999999999999">
      <c r="A161" s="1157"/>
      <c r="B161" s="1157"/>
      <c r="C161" s="1157"/>
      <c r="D161" s="1157"/>
      <c r="E161" s="1157"/>
      <c r="F161" s="1806"/>
      <c r="G161" s="1806"/>
      <c r="H161" s="521"/>
      <c r="N161" s="1536"/>
      <c r="P161" s="1536"/>
      <c r="Q161" s="1806"/>
      <c r="R161" s="1806"/>
      <c r="S161" s="1536"/>
      <c r="T161" s="1536"/>
      <c r="U161" s="1536"/>
      <c r="V161" s="1536"/>
      <c r="W161" s="1806"/>
      <c r="X161" s="1536"/>
      <c r="Y161" s="1536"/>
      <c r="Z161" s="714"/>
      <c r="AA161" s="1536"/>
      <c r="AB161" s="1536"/>
      <c r="AC161" s="1536"/>
      <c r="AD161" s="1536"/>
      <c r="AE161" s="1536"/>
      <c r="AF161" s="1802"/>
      <c r="AG161" s="792"/>
      <c r="AH161" s="792"/>
      <c r="AI161" s="792"/>
      <c r="AJ161" s="792"/>
      <c r="AK161" s="1811">
        <v>11</v>
      </c>
    </row>
    <row s="12668" customFormat="1" customHeight="1" ht="11.549999999999999">
      <c r="A162" s="1157"/>
      <c r="B162" s="1157"/>
      <c r="C162" s="1157"/>
      <c r="D162" s="1157"/>
      <c r="E162" s="1157"/>
      <c r="F162" s="1806"/>
      <c r="G162" s="1806"/>
      <c r="H162" s="521"/>
      <c r="N162" s="1536"/>
      <c r="P162" s="1536"/>
      <c r="Q162" s="1806"/>
      <c r="R162" s="1806"/>
      <c r="S162" s="1536"/>
      <c r="T162" s="1536"/>
      <c r="U162" s="1536"/>
      <c r="V162" s="1536"/>
      <c r="W162" s="1806"/>
      <c r="X162" s="1536"/>
      <c r="Y162" s="1536"/>
      <c r="Z162" s="714"/>
      <c r="AA162" s="1536"/>
      <c r="AB162" s="1536"/>
      <c r="AC162" s="1536"/>
      <c r="AD162" s="1536"/>
      <c r="AE162" s="1536"/>
      <c r="AF162" s="1802"/>
      <c r="AG162" s="792"/>
      <c r="AH162" s="792"/>
      <c r="AI162" s="792"/>
      <c r="AJ162" s="792"/>
      <c r="AK162" s="1811">
        <v>11</v>
      </c>
    </row>
    <row s="12668" customFormat="1" customHeight="1" ht="11.549999999999999">
      <c r="A163" s="1157"/>
      <c r="B163" s="1157"/>
      <c r="C163" s="1157"/>
      <c r="D163" s="1157"/>
      <c r="E163" s="1157"/>
      <c r="F163" s="1806"/>
      <c r="G163" s="1806"/>
      <c r="H163" s="521"/>
      <c r="N163" s="1536"/>
      <c r="P163" s="1536"/>
      <c r="Q163" s="1806"/>
      <c r="R163" s="1806"/>
      <c r="S163" s="1536"/>
      <c r="T163" s="1536"/>
      <c r="U163" s="1536"/>
      <c r="V163" s="1536"/>
      <c r="W163" s="1806"/>
      <c r="X163" s="1536"/>
      <c r="Y163" s="1536"/>
      <c r="Z163" s="714"/>
      <c r="AA163" s="1536"/>
      <c r="AB163" s="1536"/>
      <c r="AC163" s="1536"/>
      <c r="AD163" s="1536"/>
      <c r="AE163" s="1536"/>
      <c r="AF163" s="1802"/>
      <c r="AG163" s="792"/>
      <c r="AH163" s="792"/>
      <c r="AI163" s="792"/>
      <c r="AJ163" s="792"/>
      <c r="AK163" s="1811">
        <v>11</v>
      </c>
    </row>
    <row s="12668" customFormat="1" customHeight="1" ht="11.549999999999999">
      <c r="A164" s="1157"/>
      <c r="B164" s="1157"/>
      <c r="C164" s="1157"/>
      <c r="D164" s="1157"/>
      <c r="E164" s="1157"/>
      <c r="F164" s="1806"/>
      <c r="G164" s="1806"/>
      <c r="H164" s="521"/>
      <c r="N164" s="1536"/>
      <c r="P164" s="1536"/>
      <c r="Q164" s="1806"/>
      <c r="R164" s="1806"/>
      <c r="S164" s="1536"/>
      <c r="T164" s="1536"/>
      <c r="U164" s="1536"/>
      <c r="V164" s="1536"/>
      <c r="W164" s="1806"/>
      <c r="X164" s="1536"/>
      <c r="Y164" s="1536"/>
      <c r="Z164" s="714"/>
      <c r="AA164" s="1536"/>
      <c r="AB164" s="1536"/>
      <c r="AC164" s="1536"/>
      <c r="AD164" s="1536"/>
      <c r="AE164" s="1536"/>
      <c r="AF164" s="1802"/>
      <c r="AG164" s="792"/>
      <c r="AH164" s="792"/>
      <c r="AI164" s="792"/>
      <c r="AJ164" s="792"/>
      <c r="AK164" s="1811">
        <v>11</v>
      </c>
    </row>
    <row s="12668" customFormat="1" customHeight="1" ht="11.549999999999999">
      <c r="A165" s="1157"/>
      <c r="B165" s="1157"/>
      <c r="C165" s="1157"/>
      <c r="D165" s="1157"/>
      <c r="E165" s="1157"/>
      <c r="F165" s="1806"/>
      <c r="G165" s="1806"/>
      <c r="H165" s="521"/>
      <c r="N165" s="1536"/>
      <c r="P165" s="1536"/>
      <c r="Q165" s="1806"/>
      <c r="R165" s="1806"/>
      <c r="S165" s="1536"/>
      <c r="T165" s="1536"/>
      <c r="U165" s="1536"/>
      <c r="V165" s="1536"/>
      <c r="W165" s="1806"/>
      <c r="X165" s="1536"/>
      <c r="Y165" s="1536"/>
      <c r="Z165" s="714"/>
      <c r="AA165" s="1536"/>
      <c r="AB165" s="1536"/>
      <c r="AC165" s="1536"/>
      <c r="AD165" s="1536"/>
      <c r="AE165" s="1536"/>
      <c r="AF165" s="1802"/>
      <c r="AG165" s="792"/>
      <c r="AH165" s="792"/>
      <c r="AI165" s="792"/>
      <c r="AJ165" s="792"/>
      <c r="AK165" s="1811">
        <v>11</v>
      </c>
    </row>
    <row s="12668" customFormat="1" customHeight="1" ht="11.549999999999999">
      <c r="A166" s="1157"/>
      <c r="B166" s="1157"/>
      <c r="C166" s="1157"/>
      <c r="D166" s="1157"/>
      <c r="E166" s="1157"/>
      <c r="F166" s="1806"/>
      <c r="G166" s="1806"/>
      <c r="H166" s="521"/>
      <c r="N166" s="1536"/>
      <c r="P166" s="1536"/>
      <c r="Q166" s="1806"/>
      <c r="R166" s="1806"/>
      <c r="S166" s="1536"/>
      <c r="T166" s="1536"/>
      <c r="U166" s="1536"/>
      <c r="V166" s="1536"/>
      <c r="W166" s="1806"/>
      <c r="X166" s="1536"/>
      <c r="Y166" s="1536"/>
      <c r="Z166" s="714"/>
      <c r="AA166" s="1536"/>
      <c r="AB166" s="1536"/>
      <c r="AC166" s="1536"/>
      <c r="AD166" s="1536"/>
      <c r="AE166" s="1536"/>
      <c r="AF166" s="1802"/>
      <c r="AG166" s="792"/>
      <c r="AH166" s="792"/>
      <c r="AI166" s="792"/>
      <c r="AJ166" s="792"/>
      <c r="AK166" s="1811">
        <v>11</v>
      </c>
    </row>
    <row s="12668" customFormat="1" customHeight="1" ht="11.549999999999999">
      <c r="A167" s="1157"/>
      <c r="B167" s="1157"/>
      <c r="C167" s="1157"/>
      <c r="D167" s="1157"/>
      <c r="E167" s="1157"/>
      <c r="F167" s="1806"/>
      <c r="G167" s="1806"/>
      <c r="H167" s="521"/>
      <c r="N167" s="1536"/>
      <c r="P167" s="1536"/>
      <c r="Q167" s="1806"/>
      <c r="R167" s="1806"/>
      <c r="S167" s="1536"/>
      <c r="T167" s="1536"/>
      <c r="U167" s="1536"/>
      <c r="V167" s="1536"/>
      <c r="W167" s="1806"/>
      <c r="X167" s="1536"/>
      <c r="Y167" s="1536"/>
      <c r="Z167" s="714"/>
      <c r="AA167" s="1536"/>
      <c r="AB167" s="1536"/>
      <c r="AC167" s="1536"/>
      <c r="AD167" s="1536"/>
      <c r="AE167" s="1536"/>
      <c r="AF167" s="1802"/>
      <c r="AG167" s="792"/>
      <c r="AH167" s="792"/>
      <c r="AI167" s="792"/>
      <c r="AJ167" s="792"/>
      <c r="AK167" s="1811">
        <v>11</v>
      </c>
    </row>
    <row s="12668" customFormat="1" customHeight="1" ht="11.549999999999999">
      <c r="A168" s="1157"/>
      <c r="B168" s="1157"/>
      <c r="C168" s="1157"/>
      <c r="D168" s="1157"/>
      <c r="E168" s="1157"/>
      <c r="F168" s="1806"/>
      <c r="G168" s="1806"/>
      <c r="H168" s="521"/>
      <c r="N168" s="1536"/>
      <c r="P168" s="1536"/>
      <c r="Q168" s="1806"/>
      <c r="R168" s="1806"/>
      <c r="S168" s="1536"/>
      <c r="T168" s="1536"/>
      <c r="U168" s="1536"/>
      <c r="V168" s="1536"/>
      <c r="W168" s="1806"/>
      <c r="X168" s="1536"/>
      <c r="Y168" s="1536"/>
      <c r="Z168" s="714"/>
      <c r="AA168" s="1536"/>
      <c r="AB168" s="1536"/>
      <c r="AC168" s="1536"/>
      <c r="AD168" s="1536"/>
      <c r="AE168" s="1536"/>
      <c r="AF168" s="1802"/>
      <c r="AG168" s="792"/>
      <c r="AH168" s="792"/>
      <c r="AI168" s="792"/>
      <c r="AJ168" s="792"/>
      <c r="AK168" s="1811">
        <v>11</v>
      </c>
    </row>
    <row s="12668" customFormat="1" customHeight="1" ht="11.549999999999999">
      <c r="A169" s="1157"/>
      <c r="B169" s="1157"/>
      <c r="C169" s="1157"/>
      <c r="D169" s="1157"/>
      <c r="E169" s="1157"/>
      <c r="F169" s="1806"/>
      <c r="G169" s="1806"/>
      <c r="H169" s="521"/>
      <c r="N169" s="1536"/>
      <c r="P169" s="1536"/>
      <c r="Q169" s="1806"/>
      <c r="R169" s="1806"/>
      <c r="S169" s="1536"/>
      <c r="T169" s="1536"/>
      <c r="U169" s="1536"/>
      <c r="V169" s="1536"/>
      <c r="W169" s="1806"/>
      <c r="X169" s="1536"/>
      <c r="Y169" s="1536"/>
      <c r="Z169" s="714"/>
      <c r="AA169" s="1536"/>
      <c r="AB169" s="1536"/>
      <c r="AC169" s="1536"/>
      <c r="AD169" s="1536"/>
      <c r="AE169" s="1536"/>
      <c r="AF169" s="1802"/>
      <c r="AG169" s="792"/>
      <c r="AH169" s="792"/>
      <c r="AI169" s="792"/>
      <c r="AJ169" s="792"/>
      <c r="AK169" s="1811">
        <v>11</v>
      </c>
    </row>
    <row s="12668" customFormat="1" customHeight="1" ht="11.549999999999999">
      <c r="A170" s="1157"/>
      <c r="B170" s="1157"/>
      <c r="C170" s="1157"/>
      <c r="D170" s="1157"/>
      <c r="E170" s="1157"/>
      <c r="F170" s="1806"/>
      <c r="G170" s="1806"/>
      <c r="H170" s="521"/>
      <c r="N170" s="1536"/>
      <c r="P170" s="1536"/>
      <c r="Q170" s="1806"/>
      <c r="R170" s="1806"/>
      <c r="S170" s="1536"/>
      <c r="T170" s="1536"/>
      <c r="U170" s="1536"/>
      <c r="V170" s="1536"/>
      <c r="W170" s="1806"/>
      <c r="X170" s="1536"/>
      <c r="Y170" s="1536"/>
      <c r="Z170" s="714"/>
      <c r="AA170" s="1536"/>
      <c r="AB170" s="1536"/>
      <c r="AC170" s="1536"/>
      <c r="AD170" s="1536"/>
      <c r="AE170" s="1536"/>
      <c r="AF170" s="1802"/>
      <c r="AG170" s="792"/>
      <c r="AH170" s="792"/>
      <c r="AI170" s="792"/>
      <c r="AJ170" s="792"/>
      <c r="AK170" s="1811">
        <v>11</v>
      </c>
    </row>
    <row s="12668" customFormat="1" customHeight="1" ht="11.549999999999999">
      <c r="A171" s="1157"/>
      <c r="B171" s="1157"/>
      <c r="C171" s="1157"/>
      <c r="D171" s="1157"/>
      <c r="E171" s="1157"/>
      <c r="F171" s="1806"/>
      <c r="G171" s="1806"/>
      <c r="H171" s="521"/>
      <c r="N171" s="1536"/>
      <c r="P171" s="1536"/>
      <c r="Q171" s="1806"/>
      <c r="R171" s="1806"/>
      <c r="S171" s="1536"/>
      <c r="T171" s="1536"/>
      <c r="U171" s="1536"/>
      <c r="V171" s="1536"/>
      <c r="W171" s="1806"/>
      <c r="X171" s="1536"/>
      <c r="Y171" s="1536"/>
      <c r="Z171" s="714"/>
      <c r="AA171" s="1536"/>
      <c r="AB171" s="1536"/>
      <c r="AC171" s="1536"/>
      <c r="AD171" s="1536"/>
      <c r="AE171" s="1536"/>
      <c r="AF171" s="1802"/>
      <c r="AG171" s="792"/>
      <c r="AH171" s="792"/>
      <c r="AI171" s="792"/>
      <c r="AJ171" s="792"/>
      <c r="AK171" s="1811">
        <v>11</v>
      </c>
    </row>
    <row s="12668" customFormat="1" customHeight="1" ht="11.549999999999999">
      <c r="A172" s="1157"/>
      <c r="B172" s="1157"/>
      <c r="C172" s="1157"/>
      <c r="D172" s="1157"/>
      <c r="E172" s="1157"/>
      <c r="F172" s="1806"/>
      <c r="G172" s="1806"/>
      <c r="H172" s="521"/>
      <c r="N172" s="1536"/>
      <c r="P172" s="1536"/>
      <c r="Q172" s="1806"/>
      <c r="R172" s="1806"/>
      <c r="S172" s="1536"/>
      <c r="T172" s="1536"/>
      <c r="U172" s="1536"/>
      <c r="V172" s="1536"/>
      <c r="W172" s="1806"/>
      <c r="X172" s="1536"/>
      <c r="Y172" s="1536"/>
      <c r="Z172" s="714"/>
      <c r="AA172" s="1536"/>
      <c r="AB172" s="1536"/>
      <c r="AC172" s="1536"/>
      <c r="AD172" s="1536"/>
      <c r="AE172" s="1536"/>
      <c r="AF172" s="1802"/>
      <c r="AG172" s="792"/>
      <c r="AH172" s="792"/>
      <c r="AI172" s="792"/>
      <c r="AJ172" s="792"/>
      <c r="AK172" s="1811">
        <v>11</v>
      </c>
    </row>
    <row s="12668" customFormat="1" customHeight="1" ht="11.549999999999999">
      <c r="A173" s="1157"/>
      <c r="B173" s="1157"/>
      <c r="C173" s="1157"/>
      <c r="D173" s="1157"/>
      <c r="E173" s="1157"/>
      <c r="F173" s="1806"/>
      <c r="G173" s="1806"/>
      <c r="H173" s="521"/>
      <c r="N173" s="1536"/>
      <c r="P173" s="1536"/>
      <c r="Q173" s="1806"/>
      <c r="R173" s="1806"/>
      <c r="S173" s="1536"/>
      <c r="T173" s="1536"/>
      <c r="U173" s="1536"/>
      <c r="V173" s="1536"/>
      <c r="W173" s="1806"/>
      <c r="X173" s="1536"/>
      <c r="Y173" s="1536"/>
      <c r="Z173" s="714"/>
      <c r="AA173" s="1536"/>
      <c r="AB173" s="1536"/>
      <c r="AC173" s="1536"/>
      <c r="AD173" s="1536"/>
      <c r="AE173" s="1536"/>
      <c r="AF173" s="1802"/>
      <c r="AG173" s="792"/>
      <c r="AH173" s="792"/>
      <c r="AI173" s="792"/>
      <c r="AJ173" s="792"/>
      <c r="AK173" s="1811">
        <v>11</v>
      </c>
    </row>
    <row s="12668" customFormat="1" customHeight="1" ht="11.549999999999999">
      <c r="A174" s="1157"/>
      <c r="B174" s="1157"/>
      <c r="C174" s="1157"/>
      <c r="D174" s="1157"/>
      <c r="E174" s="1157"/>
      <c r="F174" s="1806"/>
      <c r="G174" s="1806"/>
      <c r="H174" s="521"/>
      <c r="N174" s="1536"/>
      <c r="P174" s="1536"/>
      <c r="Q174" s="1806"/>
      <c r="R174" s="1806"/>
      <c r="S174" s="1536"/>
      <c r="T174" s="1536"/>
      <c r="U174" s="1536"/>
      <c r="V174" s="1536"/>
      <c r="W174" s="1806"/>
      <c r="X174" s="1536"/>
      <c r="Y174" s="1536"/>
      <c r="Z174" s="714"/>
      <c r="AA174" s="1536"/>
      <c r="AB174" s="1536"/>
      <c r="AC174" s="1536"/>
      <c r="AD174" s="1536"/>
      <c r="AE174" s="1536"/>
      <c r="AF174" s="1802"/>
      <c r="AG174" s="792"/>
      <c r="AH174" s="792"/>
      <c r="AI174" s="792"/>
      <c r="AJ174" s="792"/>
      <c r="AK174" s="1811">
        <v>11</v>
      </c>
    </row>
    <row s="12668" customFormat="1" customHeight="1" ht="11.549999999999999">
      <c r="A175" s="1157"/>
      <c r="B175" s="1157"/>
      <c r="C175" s="1157"/>
      <c r="D175" s="1157"/>
      <c r="E175" s="1157"/>
      <c r="F175" s="1806"/>
      <c r="G175" s="1806"/>
      <c r="H175" s="521"/>
      <c r="N175" s="1536"/>
      <c r="P175" s="1536"/>
      <c r="Q175" s="1806"/>
      <c r="R175" s="1806"/>
      <c r="S175" s="1536"/>
      <c r="T175" s="1536"/>
      <c r="U175" s="1536"/>
      <c r="V175" s="1536"/>
      <c r="W175" s="1806"/>
      <c r="X175" s="1536"/>
      <c r="Y175" s="1536"/>
      <c r="Z175" s="714"/>
      <c r="AA175" s="1536"/>
      <c r="AB175" s="1536"/>
      <c r="AC175" s="1536"/>
      <c r="AD175" s="1536"/>
      <c r="AE175" s="1536"/>
      <c r="AF175" s="1802"/>
      <c r="AG175" s="792"/>
      <c r="AH175" s="792"/>
      <c r="AI175" s="792"/>
      <c r="AJ175" s="792"/>
      <c r="AK175" s="1811">
        <v>11</v>
      </c>
    </row>
    <row s="12668" customFormat="1" customHeight="1" ht="11.549999999999999">
      <c r="A176" s="1157"/>
      <c r="B176" s="1157"/>
      <c r="C176" s="1157"/>
      <c r="D176" s="1157"/>
      <c r="E176" s="1157"/>
      <c r="F176" s="1806"/>
      <c r="G176" s="1806"/>
      <c r="H176" s="521"/>
      <c r="N176" s="1536"/>
      <c r="P176" s="1536"/>
      <c r="Q176" s="1806"/>
      <c r="R176" s="1806"/>
      <c r="S176" s="1536"/>
      <c r="T176" s="1536"/>
      <c r="U176" s="1536"/>
      <c r="V176" s="1536"/>
      <c r="W176" s="1806"/>
      <c r="X176" s="1536"/>
      <c r="Y176" s="1536"/>
      <c r="Z176" s="714"/>
      <c r="AA176" s="1536"/>
      <c r="AB176" s="1536"/>
      <c r="AC176" s="1536"/>
      <c r="AD176" s="1536"/>
      <c r="AE176" s="1536"/>
      <c r="AF176" s="1802"/>
      <c r="AG176" s="792"/>
      <c r="AH176" s="792"/>
      <c r="AI176" s="792"/>
      <c r="AJ176" s="792"/>
      <c r="AK176" s="1811">
        <v>11</v>
      </c>
    </row>
    <row s="12668" customFormat="1" customHeight="1" ht="11.549999999999999">
      <c r="A177" s="1157"/>
      <c r="B177" s="1157"/>
      <c r="C177" s="1157"/>
      <c r="D177" s="1157"/>
      <c r="E177" s="1157"/>
      <c r="F177" s="1806"/>
      <c r="G177" s="1806"/>
      <c r="H177" s="521"/>
      <c r="N177" s="1536"/>
      <c r="P177" s="1536"/>
      <c r="Q177" s="1806"/>
      <c r="R177" s="1806"/>
      <c r="S177" s="1536"/>
      <c r="T177" s="1536"/>
      <c r="U177" s="1536"/>
      <c r="V177" s="1536"/>
      <c r="W177" s="1806"/>
      <c r="X177" s="1536"/>
      <c r="Y177" s="1536"/>
      <c r="Z177" s="714"/>
      <c r="AA177" s="1536"/>
      <c r="AB177" s="1536"/>
      <c r="AC177" s="1536"/>
      <c r="AD177" s="1536"/>
      <c r="AE177" s="1536"/>
      <c r="AF177" s="1802"/>
      <c r="AG177" s="792"/>
      <c r="AH177" s="792"/>
      <c r="AI177" s="792"/>
      <c r="AJ177" s="792"/>
      <c r="AK177" s="1811">
        <v>11</v>
      </c>
    </row>
    <row s="12668" customFormat="1" customHeight="1" ht="11.549999999999999">
      <c r="A178" s="1157"/>
      <c r="B178" s="1157"/>
      <c r="C178" s="1157"/>
      <c r="D178" s="1157"/>
      <c r="E178" s="1157"/>
      <c r="F178" s="1806"/>
      <c r="G178" s="1806"/>
      <c r="H178" s="521"/>
      <c r="N178" s="1536"/>
      <c r="P178" s="1536"/>
      <c r="Q178" s="1806"/>
      <c r="R178" s="1806"/>
      <c r="S178" s="1536"/>
      <c r="T178" s="1536"/>
      <c r="U178" s="1536"/>
      <c r="V178" s="1536"/>
      <c r="W178" s="1806"/>
      <c r="X178" s="1536"/>
      <c r="Y178" s="1536"/>
      <c r="Z178" s="714"/>
      <c r="AA178" s="1536"/>
      <c r="AB178" s="1536"/>
      <c r="AC178" s="1536"/>
      <c r="AD178" s="1536"/>
      <c r="AE178" s="1536"/>
      <c r="AF178" s="1802"/>
      <c r="AG178" s="792"/>
      <c r="AH178" s="792"/>
      <c r="AI178" s="792"/>
      <c r="AJ178" s="792"/>
      <c r="AK178" s="1811">
        <v>11</v>
      </c>
    </row>
    <row s="12668" customFormat="1" customHeight="1" ht="11.549999999999999">
      <c r="A179" s="1157"/>
      <c r="B179" s="1157"/>
      <c r="C179" s="1157"/>
      <c r="D179" s="1157"/>
      <c r="E179" s="1157"/>
      <c r="F179" s="1806"/>
      <c r="G179" s="1806"/>
      <c r="H179" s="521"/>
      <c r="N179" s="1536"/>
      <c r="P179" s="1536"/>
      <c r="Q179" s="1806"/>
      <c r="R179" s="1806"/>
      <c r="S179" s="1536"/>
      <c r="T179" s="1536"/>
      <c r="U179" s="1536"/>
      <c r="V179" s="1536"/>
      <c r="W179" s="1806"/>
      <c r="X179" s="1536"/>
      <c r="Y179" s="1536"/>
      <c r="Z179" s="714"/>
      <c r="AA179" s="1536"/>
      <c r="AB179" s="1536"/>
      <c r="AC179" s="1536"/>
      <c r="AD179" s="1536"/>
      <c r="AE179" s="1536"/>
      <c r="AF179" s="1802"/>
      <c r="AG179" s="792"/>
      <c r="AH179" s="792"/>
      <c r="AI179" s="792"/>
      <c r="AJ179" s="792"/>
      <c r="AK179" s="1811">
        <v>11</v>
      </c>
    </row>
    <row s="12668" customFormat="1" customHeight="1" ht="11.549999999999999">
      <c r="A180" s="1157"/>
      <c r="B180" s="1157"/>
      <c r="C180" s="1157"/>
      <c r="D180" s="1157"/>
      <c r="E180" s="1157"/>
      <c r="F180" s="1806"/>
      <c r="G180" s="1806"/>
      <c r="H180" s="521"/>
      <c r="N180" s="1536"/>
      <c r="P180" s="1536"/>
      <c r="Q180" s="1806"/>
      <c r="R180" s="1806"/>
      <c r="S180" s="1536"/>
      <c r="T180" s="1536"/>
      <c r="U180" s="1536"/>
      <c r="V180" s="1536"/>
      <c r="W180" s="1806"/>
      <c r="X180" s="1536"/>
      <c r="Y180" s="1536"/>
      <c r="Z180" s="714"/>
      <c r="AA180" s="1536"/>
      <c r="AB180" s="1536"/>
      <c r="AC180" s="1536"/>
      <c r="AD180" s="1536"/>
      <c r="AE180" s="1536"/>
      <c r="AF180" s="1802"/>
      <c r="AG180" s="792"/>
      <c r="AH180" s="792"/>
      <c r="AI180" s="792"/>
      <c r="AJ180" s="792"/>
      <c r="AK180" s="1811">
        <v>11</v>
      </c>
    </row>
    <row s="12668" customFormat="1" customHeight="1" ht="11.549999999999999">
      <c r="A181" s="1157"/>
      <c r="B181" s="1157"/>
      <c r="C181" s="1157"/>
      <c r="D181" s="1157"/>
      <c r="E181" s="1157"/>
      <c r="F181" s="1806"/>
      <c r="G181" s="1806"/>
      <c r="H181" s="521"/>
      <c r="N181" s="1536"/>
      <c r="P181" s="1536"/>
      <c r="Q181" s="1806"/>
      <c r="R181" s="1806"/>
      <c r="S181" s="1536"/>
      <c r="T181" s="1536"/>
      <c r="U181" s="1536"/>
      <c r="V181" s="1536"/>
      <c r="W181" s="1806"/>
      <c r="X181" s="1536"/>
      <c r="Y181" s="1536"/>
      <c r="Z181" s="714"/>
      <c r="AA181" s="1536"/>
      <c r="AB181" s="1536"/>
      <c r="AC181" s="1536"/>
      <c r="AD181" s="1536"/>
      <c r="AE181" s="1536"/>
      <c r="AF181" s="1802"/>
      <c r="AG181" s="792"/>
      <c r="AH181" s="792"/>
      <c r="AI181" s="792"/>
      <c r="AJ181" s="792"/>
      <c r="AK181" s="1811">
        <v>11</v>
      </c>
    </row>
    <row s="12668" customFormat="1" customHeight="1" ht="11.549999999999999">
      <c r="A182" s="1157"/>
      <c r="B182" s="1157"/>
      <c r="C182" s="1157"/>
      <c r="D182" s="1157"/>
      <c r="E182" s="1157"/>
      <c r="F182" s="1806"/>
      <c r="G182" s="1806"/>
      <c r="H182" s="521"/>
      <c r="N182" s="1536"/>
      <c r="P182" s="1536"/>
      <c r="Q182" s="1806"/>
      <c r="R182" s="1806"/>
      <c r="S182" s="1536"/>
      <c r="T182" s="1536"/>
      <c r="U182" s="1536"/>
      <c r="V182" s="1536"/>
      <c r="W182" s="1806"/>
      <c r="X182" s="1536"/>
      <c r="Y182" s="1536"/>
      <c r="Z182" s="714"/>
      <c r="AA182" s="1536"/>
      <c r="AB182" s="1536"/>
      <c r="AC182" s="1536"/>
      <c r="AD182" s="1536"/>
      <c r="AE182" s="1536"/>
      <c r="AF182" s="1802"/>
      <c r="AG182" s="792"/>
      <c r="AH182" s="792"/>
      <c r="AI182" s="792"/>
      <c r="AJ182" s="792"/>
      <c r="AK182" s="1811">
        <v>11</v>
      </c>
    </row>
    <row s="12668" customFormat="1" customHeight="1" ht="11.549999999999999">
      <c r="A183" s="1157"/>
      <c r="B183" s="1157"/>
      <c r="C183" s="1157"/>
      <c r="D183" s="1157"/>
      <c r="E183" s="1157"/>
      <c r="F183" s="1806"/>
      <c r="G183" s="1806"/>
      <c r="H183" s="521"/>
      <c r="N183" s="1536"/>
      <c r="P183" s="1536"/>
      <c r="Q183" s="1806"/>
      <c r="R183" s="1806"/>
      <c r="S183" s="1536"/>
      <c r="T183" s="1536"/>
      <c r="U183" s="1536"/>
      <c r="V183" s="1536"/>
      <c r="W183" s="1806"/>
      <c r="X183" s="1536"/>
      <c r="Y183" s="1536"/>
      <c r="Z183" s="714"/>
      <c r="AA183" s="1536"/>
      <c r="AB183" s="1536"/>
      <c r="AC183" s="1536"/>
      <c r="AD183" s="1536"/>
      <c r="AE183" s="1536"/>
      <c r="AF183" s="1802"/>
      <c r="AG183" s="792"/>
      <c r="AH183" s="792"/>
      <c r="AI183" s="792"/>
      <c r="AJ183" s="792"/>
      <c r="AK183" s="1811">
        <v>11</v>
      </c>
    </row>
    <row s="12668" customFormat="1" customHeight="1" ht="11.549999999999999">
      <c r="A184" s="1157"/>
      <c r="B184" s="1157"/>
      <c r="C184" s="1157"/>
      <c r="D184" s="1157"/>
      <c r="E184" s="1157"/>
      <c r="F184" s="1806"/>
      <c r="G184" s="1806"/>
      <c r="H184" s="521"/>
      <c r="N184" s="1536"/>
      <c r="P184" s="1536"/>
      <c r="Q184" s="1806"/>
      <c r="R184" s="1806"/>
      <c r="S184" s="1536"/>
      <c r="T184" s="1536"/>
      <c r="U184" s="1536"/>
      <c r="V184" s="1536"/>
      <c r="W184" s="1806"/>
      <c r="X184" s="1536"/>
      <c r="Y184" s="1536"/>
      <c r="Z184" s="714"/>
      <c r="AA184" s="1536"/>
      <c r="AB184" s="1536"/>
      <c r="AC184" s="1536"/>
      <c r="AD184" s="1536"/>
      <c r="AE184" s="1536"/>
      <c r="AF184" s="1802"/>
      <c r="AG184" s="792"/>
      <c r="AH184" s="792"/>
      <c r="AI184" s="792"/>
      <c r="AJ184" s="792"/>
      <c r="AK184" s="1811">
        <v>11</v>
      </c>
    </row>
    <row s="12668" customFormat="1" customHeight="1" ht="11.549999999999999">
      <c r="A185" s="1157"/>
      <c r="B185" s="1157"/>
      <c r="C185" s="1157"/>
      <c r="D185" s="1157"/>
      <c r="E185" s="1157"/>
      <c r="F185" s="1806"/>
      <c r="G185" s="1806"/>
      <c r="H185" s="521"/>
      <c r="N185" s="1536"/>
      <c r="P185" s="1536"/>
      <c r="Q185" s="1806"/>
      <c r="R185" s="1806"/>
      <c r="S185" s="1536"/>
      <c r="T185" s="1536"/>
      <c r="U185" s="1536"/>
      <c r="V185" s="1536"/>
      <c r="W185" s="1806"/>
      <c r="X185" s="1536"/>
      <c r="Y185" s="1536"/>
      <c r="Z185" s="714"/>
      <c r="AA185" s="1536"/>
      <c r="AB185" s="1536"/>
      <c r="AC185" s="1536"/>
      <c r="AD185" s="1536"/>
      <c r="AE185" s="1536"/>
      <c r="AF185" s="1802"/>
      <c r="AG185" s="792"/>
      <c r="AH185" s="792"/>
      <c r="AI185" s="792"/>
      <c r="AJ185" s="792"/>
      <c r="AK185" s="1811">
        <v>11</v>
      </c>
    </row>
    <row s="12668" customFormat="1" customHeight="1" ht="11.549999999999999">
      <c r="A186" s="1157"/>
      <c r="B186" s="1157"/>
      <c r="C186" s="1157"/>
      <c r="D186" s="1157"/>
      <c r="E186" s="1157"/>
      <c r="F186" s="1806"/>
      <c r="G186" s="1806"/>
      <c r="H186" s="521"/>
      <c r="N186" s="1536"/>
      <c r="P186" s="1536"/>
      <c r="Q186" s="1806"/>
      <c r="R186" s="1806"/>
      <c r="S186" s="1536"/>
      <c r="T186" s="1536"/>
      <c r="U186" s="1536"/>
      <c r="V186" s="1536"/>
      <c r="W186" s="1806"/>
      <c r="X186" s="1536"/>
      <c r="Y186" s="1536"/>
      <c r="Z186" s="714"/>
      <c r="AA186" s="1536"/>
      <c r="AB186" s="1536"/>
      <c r="AC186" s="1536"/>
      <c r="AD186" s="1536"/>
      <c r="AE186" s="1536"/>
      <c r="AF186" s="1802"/>
      <c r="AG186" s="792"/>
      <c r="AH186" s="792"/>
      <c r="AI186" s="792"/>
      <c r="AJ186" s="792"/>
      <c r="AK186" s="1811">
        <v>11</v>
      </c>
    </row>
    <row s="12668" customFormat="1" customHeight="1" ht="11.549999999999999">
      <c r="A187" s="1157"/>
      <c r="B187" s="1157"/>
      <c r="C187" s="1157"/>
      <c r="D187" s="1157"/>
      <c r="E187" s="1157"/>
      <c r="F187" s="1806"/>
      <c r="G187" s="1806"/>
      <c r="H187" s="521"/>
      <c r="N187" s="1536"/>
      <c r="P187" s="1536"/>
      <c r="Q187" s="1806"/>
      <c r="R187" s="1806"/>
      <c r="S187" s="1536"/>
      <c r="T187" s="1536"/>
      <c r="U187" s="1536"/>
      <c r="V187" s="1536"/>
      <c r="W187" s="1806"/>
      <c r="X187" s="1536"/>
      <c r="Y187" s="1536"/>
      <c r="Z187" s="714"/>
      <c r="AA187" s="1536"/>
      <c r="AB187" s="1536"/>
      <c r="AC187" s="1536"/>
      <c r="AD187" s="1536"/>
      <c r="AE187" s="1536"/>
      <c r="AF187" s="1802"/>
      <c r="AG187" s="792"/>
      <c r="AH187" s="792"/>
      <c r="AI187" s="792"/>
      <c r="AJ187" s="792"/>
      <c r="AK187" s="1811">
        <v>11</v>
      </c>
    </row>
    <row s="12668" customFormat="1" customHeight="1" ht="11.549999999999999">
      <c r="A188" s="1157"/>
      <c r="B188" s="1157"/>
      <c r="C188" s="1157"/>
      <c r="D188" s="1157"/>
      <c r="E188" s="1157"/>
      <c r="F188" s="1806"/>
      <c r="G188" s="1806"/>
      <c r="H188" s="521"/>
      <c r="N188" s="1536"/>
      <c r="P188" s="1536"/>
      <c r="Q188" s="1806"/>
      <c r="R188" s="1806"/>
      <c r="S188" s="1536"/>
      <c r="T188" s="1536"/>
      <c r="U188" s="1536"/>
      <c r="V188" s="1536"/>
      <c r="W188" s="1806"/>
      <c r="X188" s="1536"/>
      <c r="Y188" s="1536"/>
      <c r="Z188" s="714"/>
      <c r="AA188" s="1536"/>
      <c r="AB188" s="1536"/>
      <c r="AC188" s="1536"/>
      <c r="AD188" s="1536"/>
      <c r="AE188" s="1536"/>
      <c r="AF188" s="1802"/>
      <c r="AG188" s="792"/>
      <c r="AH188" s="792"/>
      <c r="AI188" s="792"/>
      <c r="AJ188" s="792"/>
      <c r="AK188" s="1811">
        <v>11</v>
      </c>
    </row>
    <row s="12668" customFormat="1" customHeight="1" ht="11.549999999999999">
      <c r="A189" s="1157"/>
      <c r="B189" s="1157"/>
      <c r="C189" s="1157"/>
      <c r="D189" s="1157"/>
      <c r="E189" s="1157"/>
      <c r="F189" s="1806"/>
      <c r="G189" s="1806"/>
      <c r="H189" s="521"/>
      <c r="N189" s="1536"/>
      <c r="P189" s="1536"/>
      <c r="Q189" s="1806"/>
      <c r="R189" s="1806"/>
      <c r="S189" s="1536"/>
      <c r="T189" s="1536"/>
      <c r="U189" s="1536"/>
      <c r="V189" s="1536"/>
      <c r="W189" s="1806"/>
      <c r="X189" s="1536"/>
      <c r="Y189" s="1536"/>
      <c r="Z189" s="714"/>
      <c r="AA189" s="1536"/>
      <c r="AB189" s="1536"/>
      <c r="AC189" s="1536"/>
      <c r="AD189" s="1536"/>
      <c r="AE189" s="1536"/>
      <c r="AF189" s="1802"/>
      <c r="AG189" s="792"/>
      <c r="AH189" s="792"/>
      <c r="AI189" s="792"/>
      <c r="AJ189" s="792"/>
      <c r="AK189" s="1811">
        <v>11</v>
      </c>
    </row>
    <row customHeight="1" ht="11.549999999999999">
      <c r="AK190" s="1801">
        <v>11</v>
      </c>
    </row>
    <row customHeight="1" ht="11.549999999999999">
      <c r="AK191" s="1801">
        <v>11</v>
      </c>
    </row>
    <row customHeight="1" ht="11.549999999999999">
      <c r="AK192" s="1801">
        <v>11</v>
      </c>
    </row>
    <row customHeight="1" ht="11.549999999999999">
      <c r="A193" s="1160"/>
      <c r="B193" s="1160"/>
      <c r="C193" s="1160"/>
      <c r="D193" s="1160"/>
      <c r="E193" s="1160"/>
      <c r="F193" s="1801"/>
      <c r="H193" s="1801"/>
      <c r="N193" s="1801"/>
      <c r="P193" s="1801"/>
      <c r="S193" s="1801"/>
      <c r="T193" s="1801"/>
      <c r="U193" s="1801"/>
      <c r="V193" s="1801"/>
      <c r="X193" s="1801"/>
      <c r="Y193" s="1801"/>
      <c r="Z193" s="1801"/>
      <c r="AA193" s="1801"/>
      <c r="AB193" s="1801"/>
      <c r="AC193" s="1801"/>
      <c r="AD193" s="1801"/>
      <c r="AE193" s="1801"/>
      <c r="AF193" s="1801"/>
      <c r="AG193" s="1801"/>
      <c r="AH193" s="1801"/>
      <c r="AI193" s="1801"/>
      <c r="AJ193" s="1801"/>
      <c r="AK193" s="1801">
        <v>11</v>
      </c>
    </row>
    <row customHeight="1" ht="11.549999999999999">
      <c r="A194" s="1160"/>
      <c r="B194" s="1160"/>
      <c r="C194" s="1160"/>
      <c r="D194" s="1160"/>
      <c r="E194" s="1160"/>
      <c r="F194" s="1801"/>
      <c r="H194" s="1801"/>
      <c r="N194" s="1801"/>
      <c r="P194" s="1801"/>
      <c r="S194" s="1801"/>
      <c r="T194" s="1801"/>
      <c r="U194" s="1801"/>
      <c r="V194" s="1801"/>
      <c r="X194" s="1801"/>
      <c r="Y194" s="1801"/>
      <c r="Z194" s="1801"/>
      <c r="AA194" s="1801"/>
      <c r="AB194" s="1801"/>
      <c r="AC194" s="1801"/>
      <c r="AD194" s="1801"/>
      <c r="AE194" s="1801"/>
      <c r="AF194" s="1801"/>
      <c r="AG194" s="1801"/>
      <c r="AH194" s="1801"/>
      <c r="AI194" s="1801"/>
      <c r="AJ194" s="1801"/>
      <c r="AK194" s="1801">
        <v>11</v>
      </c>
    </row>
    <row customHeight="1" ht="11.549999999999999">
      <c r="A195" s="1160"/>
      <c r="B195" s="1160"/>
      <c r="C195" s="1160"/>
      <c r="D195" s="1160"/>
      <c r="E195" s="1160"/>
      <c r="F195" s="1801"/>
      <c r="H195" s="1801"/>
      <c r="N195" s="1801"/>
      <c r="P195" s="1801"/>
      <c r="S195" s="1801"/>
      <c r="T195" s="1801"/>
      <c r="U195" s="1801"/>
      <c r="V195" s="1801"/>
      <c r="X195" s="1801"/>
      <c r="Y195" s="1801"/>
      <c r="Z195" s="1801"/>
      <c r="AA195" s="1801"/>
      <c r="AB195" s="1801"/>
      <c r="AC195" s="1801"/>
      <c r="AD195" s="1801"/>
      <c r="AE195" s="1801"/>
      <c r="AF195" s="1801"/>
      <c r="AG195" s="1801"/>
      <c r="AH195" s="1801"/>
      <c r="AI195" s="1801"/>
      <c r="AJ195" s="1801"/>
      <c r="AK195" s="1801">
        <v>11</v>
      </c>
    </row>
    <row customHeight="1" ht="11.549999999999999">
      <c r="A196" s="1160"/>
      <c r="B196" s="1160"/>
      <c r="C196" s="1160"/>
      <c r="D196" s="1160"/>
      <c r="E196" s="1160"/>
      <c r="F196" s="1801"/>
      <c r="H196" s="1801"/>
      <c r="N196" s="1801"/>
      <c r="P196" s="1801"/>
      <c r="S196" s="1801"/>
      <c r="T196" s="1801"/>
      <c r="U196" s="1801"/>
      <c r="V196" s="1801"/>
      <c r="X196" s="1801"/>
      <c r="Y196" s="1801"/>
      <c r="Z196" s="1801"/>
      <c r="AA196" s="1801"/>
      <c r="AB196" s="1801"/>
      <c r="AC196" s="1801"/>
      <c r="AD196" s="1801"/>
      <c r="AE196" s="1801"/>
      <c r="AF196" s="1801"/>
      <c r="AG196" s="1801"/>
      <c r="AH196" s="1801"/>
      <c r="AI196" s="1801"/>
      <c r="AJ196" s="1801"/>
      <c r="AK196" s="1801">
        <v>11</v>
      </c>
    </row>
    <row customHeight="1" ht="11.549999999999999">
      <c r="A197" s="1160"/>
      <c r="B197" s="1160"/>
      <c r="C197" s="1160"/>
      <c r="D197" s="1160"/>
      <c r="E197" s="1160"/>
      <c r="F197" s="1801"/>
      <c r="H197" s="1801"/>
      <c r="N197" s="1801"/>
      <c r="P197" s="1801"/>
      <c r="S197" s="1801"/>
      <c r="T197" s="1801"/>
      <c r="U197" s="1801"/>
      <c r="V197" s="1801"/>
      <c r="X197" s="1801"/>
      <c r="Y197" s="1801"/>
      <c r="Z197" s="1801"/>
      <c r="AA197" s="1801"/>
      <c r="AB197" s="1801"/>
      <c r="AC197" s="1801"/>
      <c r="AD197" s="1801"/>
      <c r="AE197" s="1801"/>
      <c r="AF197" s="1801"/>
      <c r="AG197" s="1801"/>
      <c r="AH197" s="1801"/>
      <c r="AI197" s="1801"/>
      <c r="AJ197" s="1801"/>
      <c r="AK197" s="1801">
        <v>11</v>
      </c>
    </row>
    <row customHeight="1" ht="11.549999999999999">
      <c r="A198" s="1160"/>
      <c r="B198" s="1160"/>
      <c r="C198" s="1160"/>
      <c r="D198" s="1160"/>
      <c r="E198" s="1160"/>
      <c r="F198" s="1801"/>
      <c r="H198" s="1801"/>
      <c r="N198" s="1801"/>
      <c r="P198" s="1801"/>
      <c r="S198" s="1801"/>
      <c r="T198" s="1801"/>
      <c r="U198" s="1801"/>
      <c r="V198" s="1801"/>
      <c r="X198" s="1801"/>
      <c r="Y198" s="1801"/>
      <c r="Z198" s="1801"/>
      <c r="AA198" s="1801"/>
      <c r="AB198" s="1801"/>
      <c r="AC198" s="1801"/>
      <c r="AD198" s="1801"/>
      <c r="AE198" s="1801"/>
      <c r="AF198" s="1801"/>
      <c r="AG198" s="1801"/>
      <c r="AH198" s="1801"/>
      <c r="AI198" s="1801"/>
      <c r="AJ198" s="1801"/>
      <c r="AK198" s="1801">
        <v>11</v>
      </c>
    </row>
    <row customHeight="1" ht="11.549999999999999">
      <c r="A199" s="1160"/>
      <c r="B199" s="1160"/>
      <c r="C199" s="1160"/>
      <c r="D199" s="1160"/>
      <c r="E199" s="1160"/>
      <c r="F199" s="1801"/>
      <c r="H199" s="1801"/>
      <c r="N199" s="1801"/>
      <c r="P199" s="1801"/>
      <c r="S199" s="1801"/>
      <c r="T199" s="1801"/>
      <c r="U199" s="1801"/>
      <c r="V199" s="1801"/>
      <c r="X199" s="1801"/>
      <c r="Y199" s="1801"/>
      <c r="Z199" s="1801"/>
      <c r="AA199" s="1801"/>
      <c r="AB199" s="1801"/>
      <c r="AC199" s="1801"/>
      <c r="AD199" s="1801"/>
      <c r="AE199" s="1801"/>
      <c r="AF199" s="1801"/>
      <c r="AG199" s="1801"/>
      <c r="AH199" s="1801"/>
      <c r="AI199" s="1801"/>
      <c r="AJ199" s="1801"/>
      <c r="AK199" s="1801">
        <v>11</v>
      </c>
    </row>
    <row customHeight="1" ht="11.549999999999999">
      <c r="A200" s="1160"/>
      <c r="B200" s="1160"/>
      <c r="C200" s="1160"/>
      <c r="D200" s="1160"/>
      <c r="E200" s="1160"/>
      <c r="F200" s="1801"/>
      <c r="H200" s="1801"/>
      <c r="N200" s="1801"/>
      <c r="P200" s="1801"/>
      <c r="S200" s="1801"/>
      <c r="T200" s="1801"/>
      <c r="U200" s="1801"/>
      <c r="V200" s="1801"/>
      <c r="X200" s="1801"/>
      <c r="Y200" s="1801"/>
      <c r="Z200" s="1801"/>
      <c r="AA200" s="1801"/>
      <c r="AB200" s="1801"/>
      <c r="AC200" s="1801"/>
      <c r="AD200" s="1801"/>
      <c r="AE200" s="1801"/>
      <c r="AF200" s="1801"/>
      <c r="AG200" s="1801"/>
      <c r="AH200" s="1801"/>
      <c r="AI200" s="1801"/>
      <c r="AJ200" s="1801"/>
      <c r="AK200" s="1801">
        <v>11</v>
      </c>
    </row>
    <row customHeight="1" ht="11.549999999999999">
      <c r="A201" s="1160"/>
      <c r="B201" s="1160"/>
      <c r="C201" s="1160"/>
      <c r="D201" s="1160"/>
      <c r="E201" s="1160"/>
      <c r="F201" s="1801"/>
      <c r="H201" s="1801"/>
      <c r="N201" s="1801"/>
      <c r="P201" s="1801"/>
      <c r="S201" s="1801"/>
      <c r="T201" s="1801"/>
      <c r="U201" s="1801"/>
      <c r="V201" s="1801"/>
      <c r="X201" s="1801"/>
      <c r="Y201" s="1801"/>
      <c r="Z201" s="1801"/>
      <c r="AA201" s="1801"/>
      <c r="AB201" s="1801"/>
      <c r="AC201" s="1801"/>
      <c r="AD201" s="1801"/>
      <c r="AE201" s="1801"/>
      <c r="AF201" s="1801"/>
      <c r="AG201" s="1801"/>
      <c r="AH201" s="1801"/>
      <c r="AI201" s="1801"/>
      <c r="AJ201" s="1801"/>
      <c r="AK201" s="1801">
        <v>11</v>
      </c>
    </row>
    <row customHeight="1" ht="11.549999999999999">
      <c r="A202" s="1160"/>
      <c r="B202" s="1160"/>
      <c r="C202" s="1160"/>
      <c r="D202" s="1160"/>
      <c r="E202" s="1160"/>
      <c r="F202" s="1801"/>
      <c r="H202" s="1801"/>
      <c r="N202" s="1801"/>
      <c r="P202" s="1801"/>
      <c r="S202" s="1801"/>
      <c r="T202" s="1801"/>
      <c r="U202" s="1801"/>
      <c r="V202" s="1801"/>
      <c r="X202" s="1801"/>
      <c r="Y202" s="1801"/>
      <c r="Z202" s="1801"/>
      <c r="AA202" s="1801"/>
      <c r="AB202" s="1801"/>
      <c r="AC202" s="1801"/>
      <c r="AD202" s="1801"/>
      <c r="AE202" s="1801"/>
      <c r="AF202" s="1801"/>
      <c r="AG202" s="1801"/>
      <c r="AH202" s="1801"/>
      <c r="AI202" s="1801"/>
      <c r="AJ202" s="1801"/>
      <c r="AK202" s="1801">
        <v>11</v>
      </c>
    </row>
    <row customHeight="1" ht="11.549999999999999">
      <c r="A203" s="1160"/>
      <c r="B203" s="1160"/>
      <c r="C203" s="1160"/>
      <c r="D203" s="1160"/>
      <c r="E203" s="1160"/>
      <c r="F203" s="1801"/>
      <c r="H203" s="1801"/>
      <c r="N203" s="1801"/>
      <c r="P203" s="1801"/>
      <c r="S203" s="1801"/>
      <c r="T203" s="1801"/>
      <c r="U203" s="1801"/>
      <c r="V203" s="1801"/>
      <c r="X203" s="1801"/>
      <c r="Y203" s="1801"/>
      <c r="Z203" s="1801"/>
      <c r="AA203" s="1801"/>
      <c r="AB203" s="1801"/>
      <c r="AC203" s="1801"/>
      <c r="AD203" s="1801"/>
      <c r="AE203" s="1801"/>
      <c r="AF203" s="1801"/>
      <c r="AG203" s="1801"/>
      <c r="AH203" s="1801"/>
      <c r="AI203" s="1801"/>
      <c r="AJ203" s="1801"/>
      <c r="AK203" s="1801">
        <v>11</v>
      </c>
    </row>
    <row customHeight="1" ht="12.75" hidden="1">
      <c r="A204" s="1157" t="s">
        <v>85</v>
      </c>
      <c r="B204" s="1157" t="s">
        <v>152</v>
      </c>
      <c r="C204" s="1157" t="s">
        <v>152</v>
      </c>
      <c r="D204" s="1157" t="s">
        <v>152</v>
      </c>
      <c r="E204" s="1157" t="s">
        <v>152</v>
      </c>
      <c r="F204" s="1805">
        <v>16</v>
      </c>
      <c r="G204" s="1806">
        <v>0</v>
      </c>
      <c r="H204" s="1805">
        <v>3</v>
      </c>
      <c r="I204" s="1801">
        <v>7</v>
      </c>
      <c r="J204" s="1801">
        <v>56</v>
      </c>
      <c r="K204" s="1801">
        <v>10</v>
      </c>
      <c r="L204" s="1801">
        <v>40</v>
      </c>
      <c r="M204" s="1801">
        <v>40</v>
      </c>
      <c r="N204" s="1536">
        <v>9</v>
      </c>
      <c r="O204" s="1801">
        <v>102</v>
      </c>
      <c r="P204" s="1536">
        <v>9</v>
      </c>
      <c r="Q204" s="1806">
        <v>5</v>
      </c>
      <c r="R204" s="1806">
        <v>3</v>
      </c>
      <c r="S204" s="1536">
        <v>3</v>
      </c>
      <c r="T204" s="1536">
        <v>3</v>
      </c>
      <c r="U204" s="1536">
        <v>3</v>
      </c>
      <c r="V204" s="1536">
        <v>3</v>
      </c>
      <c r="W204" s="1806">
        <v>10</v>
      </c>
      <c r="X204" s="1536">
        <v>34</v>
      </c>
      <c r="Y204" s="1536">
        <v>9</v>
      </c>
      <c r="Z204" s="714">
        <v>8</v>
      </c>
      <c r="AA204" s="1536">
        <v>8</v>
      </c>
      <c r="AB204" s="1536">
        <v>8</v>
      </c>
      <c r="AC204" s="1536">
        <v>8</v>
      </c>
      <c r="AD204" s="1536">
        <v>8</v>
      </c>
      <c r="AE204" s="1536">
        <v>8</v>
      </c>
      <c r="AF204" s="1802">
        <v>8</v>
      </c>
      <c r="AG204" s="1802">
        <v>8</v>
      </c>
      <c r="AH204" s="1802">
        <v>8</v>
      </c>
      <c r="AI204" s="1802">
        <v>8</v>
      </c>
      <c r="AJ204" s="1802">
        <v>8</v>
      </c>
      <c r="AK204" s="180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1294DA-B52A-AF72-1977-96F4570984FD}"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1913" width="10.57421875" hidden="1"/>
    <col min="5" max="5" style="13390" width="9.140625" hidden="1" customWidth="1"/>
    <col min="6" max="7" style="11992" width="9.140625" hidden="1" customWidth="1"/>
    <col min="8" max="8" style="13391" width="3.00390625" customWidth="1"/>
    <col min="9" max="9" style="11913" width="6.00390625" customWidth="1"/>
    <col min="10" max="10" style="11913" width="63.00390625" customWidth="1"/>
    <col min="11" max="11" style="11913" width="9.00390625" customWidth="1"/>
    <col min="12" max="12" style="11913" width="39.00390625" customWidth="1"/>
    <col min="13" max="13" style="11913" width="89.00390625" customWidth="1"/>
    <col min="14" max="14" style="11913" width="10.00390625" customWidth="1"/>
    <col min="15" max="16" style="12082" width="10.00390625" customWidth="1"/>
    <col min="17" max="22" style="11913" width="10.00390625" customWidth="1"/>
    <col min="23" max="23" style="11913" width="10.57421875" hidden="1"/>
  </cols>
  <sheetData>
    <row customHeight="1" ht="22.5" hidden="1">
      <c r="S1" s="425"/>
      <c r="T1" s="425"/>
      <c r="V1" s="425"/>
      <c r="W1" s="1801" t="s">
        <v>14</v>
      </c>
    </row>
    <row customHeight="1" ht="22.5" hidden="1">
      <c r="B2" s="2223" t="s">
        <v>702</v>
      </c>
      <c r="C2" s="2223" t="s">
        <v>703</v>
      </c>
      <c r="D2" s="2222" t="s">
        <v>642</v>
      </c>
      <c r="E2" s="2228">
        <f>I2-3</f>
        <v>-3</v>
      </c>
      <c r="F2" s="2228">
        <f>J2</f>
        <v>0</v>
      </c>
      <c r="H2" s="1900" t="s">
        <v>437</v>
      </c>
      <c r="I2" s="2194"/>
      <c r="J2" s="1852"/>
      <c r="K2" s="2188" t="s">
        <v>318</v>
      </c>
      <c r="L2" s="1334"/>
      <c r="M2" s="467"/>
      <c r="N2" s="1794"/>
      <c r="P2" s="1801"/>
      <c r="W2" s="1801">
        <v>0</v>
      </c>
    </row>
    <row customHeight="1" ht="14.25" hidden="1">
      <c r="W3" s="1801">
        <v>0</v>
      </c>
    </row>
    <row customHeight="1" ht="6.3">
      <c r="H4" s="546"/>
      <c r="I4" s="627"/>
      <c r="J4" s="627"/>
      <c r="K4" s="627"/>
      <c r="L4" s="255"/>
      <c r="M4" s="255"/>
      <c r="W4" s="1801">
        <v>6</v>
      </c>
    </row>
    <row customHeight="1" ht="50.25">
      <c r="H5" s="546"/>
      <c r="I5" s="2418" t="s">
        <v>704</v>
      </c>
      <c r="J5" s="2418"/>
      <c r="K5" s="2418"/>
      <c r="L5" s="2418"/>
      <c r="M5" s="436"/>
      <c r="W5" s="1801">
        <v>48</v>
      </c>
    </row>
    <row customHeight="1" ht="18">
      <c r="H6" s="546"/>
      <c r="I6" s="2419" t="str">
        <f>IF(org=0,"Не определено",org)</f>
        <v>Филиал "Шатурская ГРЭС" ПАО "Юнипро"</v>
      </c>
      <c r="J6" s="2419"/>
      <c r="K6" s="2419"/>
      <c r="L6" s="2419"/>
      <c r="M6" s="436"/>
      <c r="W6" s="1801">
        <v>17</v>
      </c>
    </row>
    <row customHeight="1" ht="14.699999999999998">
      <c r="H7" s="546"/>
      <c r="I7" s="627"/>
      <c r="J7" s="633"/>
      <c r="K7" s="633"/>
      <c r="L7" s="922"/>
      <c r="M7" s="363"/>
      <c r="W7" s="1801">
        <v>14</v>
      </c>
    </row>
    <row customHeight="1" ht="14.699999999999998">
      <c r="H8" s="546"/>
      <c r="I8" s="2556" t="s">
        <v>312</v>
      </c>
      <c r="J8" s="2557"/>
      <c r="K8" s="2557"/>
      <c r="L8" s="2558"/>
      <c r="M8" s="2559" t="s">
        <v>313</v>
      </c>
      <c r="W8" s="1801">
        <v>14</v>
      </c>
    </row>
    <row customHeight="1" ht="35.699999999999996">
      <c r="E9" s="2221" t="s">
        <v>633</v>
      </c>
      <c r="F9" s="2221" t="s">
        <v>639</v>
      </c>
      <c r="H9" s="546"/>
      <c r="I9" s="2195" t="s">
        <v>91</v>
      </c>
      <c r="J9" s="2196" t="s">
        <v>314</v>
      </c>
      <c r="K9" s="2234" t="s">
        <v>581</v>
      </c>
      <c r="L9" s="2235" t="s">
        <v>315</v>
      </c>
      <c r="M9" s="2559"/>
      <c r="W9" s="1801">
        <v>34</v>
      </c>
    </row>
    <row customHeight="1" ht="35.699999999999996">
      <c r="B10" s="2223" t="s">
        <v>705</v>
      </c>
      <c r="C10" s="2223" t="s">
        <v>706</v>
      </c>
      <c r="D10" s="2222" t="s">
        <v>642</v>
      </c>
      <c r="E10" s="2226" t="s">
        <v>643</v>
      </c>
      <c r="F10" s="2226" t="s">
        <v>643</v>
      </c>
      <c r="H10" s="546"/>
      <c r="I10" s="2194" t="s">
        <v>112</v>
      </c>
      <c r="J10" s="2056" t="s">
        <v>707</v>
      </c>
      <c r="K10" s="2188" t="s">
        <v>318</v>
      </c>
      <c r="L10" s="988"/>
      <c r="M10" s="467" t="s">
        <v>708</v>
      </c>
      <c r="W10" s="1801">
        <v>34</v>
      </c>
    </row>
    <row customHeight="1" ht="50.25">
      <c r="B11" s="2223" t="s">
        <v>709</v>
      </c>
      <c r="C11" s="2223" t="s">
        <v>710</v>
      </c>
      <c r="D11" s="2222" t="s">
        <v>642</v>
      </c>
      <c r="E11" s="2226" t="s">
        <v>643</v>
      </c>
      <c r="F11" s="2226" t="s">
        <v>643</v>
      </c>
      <c r="H11" s="546"/>
      <c r="I11" s="2194" t="s">
        <v>113</v>
      </c>
      <c r="J11" s="2056" t="s">
        <v>711</v>
      </c>
      <c r="K11" s="2188" t="s">
        <v>318</v>
      </c>
      <c r="L11" s="988"/>
      <c r="M11" s="467" t="s">
        <v>708</v>
      </c>
      <c r="W11" s="1801">
        <v>48</v>
      </c>
    </row>
    <row customHeight="1" ht="48.29999999999999">
      <c r="B12" s="2223" t="s">
        <v>712</v>
      </c>
      <c r="C12" s="2223" t="s">
        <v>713</v>
      </c>
      <c r="D12" s="2222" t="s">
        <v>642</v>
      </c>
      <c r="E12" s="2226" t="s">
        <v>643</v>
      </c>
      <c r="F12" s="2226" t="s">
        <v>643</v>
      </c>
      <c r="H12" s="1858"/>
      <c r="I12" s="2194" t="s">
        <v>93</v>
      </c>
      <c r="J12" s="2201" t="s">
        <v>714</v>
      </c>
      <c r="K12" s="2188" t="s">
        <v>318</v>
      </c>
      <c r="L12" s="988"/>
      <c r="M12" s="467" t="s">
        <v>715</v>
      </c>
      <c r="N12" s="1794"/>
      <c r="P12" s="1801"/>
      <c r="W12" s="1801">
        <v>46</v>
      </c>
    </row>
    <row customHeight="1" ht="14.699999999999998">
      <c r="E13" s="513"/>
      <c r="H13" s="546"/>
      <c r="I13" s="517"/>
      <c r="J13" s="821" t="s">
        <v>716</v>
      </c>
      <c r="K13" s="741"/>
      <c r="L13" s="384"/>
      <c r="M13" s="467"/>
      <c r="W13" s="1801">
        <v>14</v>
      </c>
    </row>
    <row customHeight="1" ht="14.699999999999998">
      <c r="E14" s="513"/>
      <c r="H14" s="546"/>
      <c r="I14" s="1227"/>
      <c r="J14" s="1847"/>
      <c r="K14" s="1848"/>
      <c r="L14" s="1849"/>
      <c r="M14" s="2198"/>
      <c r="W14" s="1801">
        <v>14</v>
      </c>
    </row>
    <row customHeight="1" ht="14.699999999999998">
      <c r="I15" s="1851"/>
      <c r="J15" s="2555"/>
      <c r="K15" s="2555"/>
      <c r="L15" s="2555"/>
      <c r="M15" s="2555"/>
      <c r="W15" s="1801">
        <v>14</v>
      </c>
    </row>
    <row customHeight="1" ht="21" hidden="1">
      <c r="A16" s="2200" t="s">
        <v>85</v>
      </c>
      <c r="B16" s="1801">
        <v>9</v>
      </c>
      <c r="C16" s="1801">
        <v>9</v>
      </c>
      <c r="D16" s="1801">
        <v>9</v>
      </c>
      <c r="E16" s="2200" t="s">
        <v>151</v>
      </c>
      <c r="F16" s="2225" t="s">
        <v>151</v>
      </c>
      <c r="G16" s="2227"/>
      <c r="H16" s="514">
        <v>3</v>
      </c>
      <c r="I16" s="1801">
        <v>6</v>
      </c>
      <c r="J16" s="1801">
        <v>63</v>
      </c>
      <c r="K16" s="1801">
        <v>9</v>
      </c>
      <c r="L16" s="1801">
        <v>39</v>
      </c>
      <c r="M16" s="1801">
        <v>89</v>
      </c>
      <c r="N16" s="1801">
        <v>10</v>
      </c>
      <c r="O16" s="1794">
        <v>10</v>
      </c>
      <c r="P16" s="1794">
        <v>10</v>
      </c>
      <c r="Q16" s="1801">
        <v>10</v>
      </c>
      <c r="R16" s="1801">
        <v>10</v>
      </c>
      <c r="S16" s="1801">
        <v>10</v>
      </c>
      <c r="T16" s="1801">
        <v>10</v>
      </c>
      <c r="U16" s="1801">
        <v>10</v>
      </c>
      <c r="V16" s="1801">
        <v>10</v>
      </c>
      <c r="W16" s="180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2160EF-F6BC-6EE4-0CF9-9D2F13D570FC}"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14537" width="10.7109375" hidden="1" customWidth="1"/>
    <col min="2" max="2" style="11992" width="16.8515625" hidden="1" customWidth="1"/>
    <col min="3" max="3" style="11993" width="5.57421875" hidden="1" customWidth="1"/>
    <col min="4" max="4" style="11913" width="3.00390625" customWidth="1"/>
    <col min="5" max="5" style="11913" width="7.00390625" customWidth="1"/>
    <col min="6" max="6" style="11913" width="56.00390625" customWidth="1"/>
    <col min="7" max="7" style="11913" width="10.00390625" customWidth="1"/>
    <col min="8" max="8" style="11913" width="40.7109375" hidden="1" customWidth="1"/>
    <col min="9" max="9" style="11913" width="40.00390625" customWidth="1"/>
    <col min="10" max="10" style="11913" width="102.00390625" customWidth="1"/>
    <col min="11" max="11" style="11992" width="9.00390625" customWidth="1"/>
    <col min="12" max="12" style="11993" width="5.00390625" customWidth="1"/>
    <col min="13" max="13" style="11993" width="3.00390625" customWidth="1"/>
    <col min="14" max="17" style="11992" width="3.00390625" customWidth="1"/>
    <col min="18" max="18" style="11993" width="10.00390625" customWidth="1"/>
    <col min="19" max="19" style="11992" width="34.00390625" customWidth="1"/>
    <col min="20" max="20" style="11992" width="9.00390625" customWidth="1"/>
    <col min="21" max="21" style="14538" width="8.00390625" customWidth="1"/>
    <col min="22" max="26" style="11992" width="8.00390625" customWidth="1"/>
    <col min="27" max="31" style="11877" width="8.00390625" customWidth="1"/>
    <col min="32" max="32" style="11913" width="10.421875" hidden="1" customWidth="1"/>
  </cols>
  <sheetData>
    <row s="11992" customFormat="1" customHeight="1" ht="22.5" hidden="1">
      <c r="A1" s="1157"/>
      <c r="C1" s="1806"/>
      <c r="D1" s="707"/>
      <c r="H1" s="1330">
        <v>4</v>
      </c>
      <c r="I1" s="1330">
        <v>4</v>
      </c>
      <c r="L1" s="1806"/>
      <c r="M1" s="1806"/>
      <c r="R1" s="1806"/>
      <c r="AF1" s="1330" t="s">
        <v>14</v>
      </c>
    </row>
    <row s="11992" customFormat="1" customHeight="1" ht="22.5" hidden="1">
      <c r="A2" s="1157"/>
      <c r="C2" s="1806"/>
      <c r="D2" s="708"/>
      <c r="E2" s="1807"/>
      <c r="F2" s="710"/>
      <c r="G2" s="1809" t="s">
        <v>567</v>
      </c>
      <c r="H2" s="711"/>
      <c r="I2" s="711"/>
      <c r="J2" s="712" t="s">
        <v>717</v>
      </c>
      <c r="K2" s="713"/>
      <c r="L2" s="1806"/>
      <c r="M2" s="1806"/>
      <c r="R2" s="1806"/>
      <c r="U2" s="714"/>
      <c r="AA2" s="1802"/>
      <c r="AB2" s="1802"/>
      <c r="AC2" s="1802"/>
      <c r="AD2" s="1802"/>
      <c r="AE2" s="1802"/>
      <c r="AF2" s="1330">
        <v>0</v>
      </c>
    </row>
    <row customHeight="1" ht="11.25" hidden="1">
      <c r="AF3" s="1801">
        <v>0</v>
      </c>
    </row>
    <row s="11877" customFormat="1" customHeight="1" ht="11.25" hidden="1">
      <c r="A4" s="1157"/>
      <c r="B4" s="1330"/>
      <c r="C4" s="1806"/>
      <c r="D4" s="532"/>
      <c r="J4" s="1802">
        <v>4</v>
      </c>
      <c r="K4" s="1330"/>
      <c r="L4" s="1806"/>
      <c r="M4" s="1806"/>
      <c r="N4" s="1330"/>
      <c r="O4" s="1330"/>
      <c r="P4" s="1330"/>
      <c r="Q4" s="1330"/>
      <c r="R4" s="1806"/>
      <c r="S4" s="1330"/>
      <c r="T4" s="1330"/>
      <c r="U4" s="714"/>
      <c r="V4" s="1330"/>
      <c r="W4" s="1330"/>
      <c r="X4" s="1330"/>
      <c r="Y4" s="1330"/>
      <c r="Z4" s="1330"/>
      <c r="AF4" s="1802">
        <v>0</v>
      </c>
    </row>
    <row customHeight="1" ht="11.549999999999999">
      <c r="AF5" s="1801">
        <v>11</v>
      </c>
    </row>
    <row customHeight="1" ht="31.5">
      <c r="E6" s="2477" t="s">
        <v>718</v>
      </c>
      <c r="F6" s="2477"/>
      <c r="G6" s="2477"/>
      <c r="H6" s="2477"/>
      <c r="I6" s="2477"/>
      <c r="J6" s="726"/>
      <c r="AF6" s="1801">
        <v>30</v>
      </c>
    </row>
    <row customHeight="1" ht="11.549999999999999">
      <c r="E7" s="2419" t="str">
        <f>IF(org=0,"Не определено",org)</f>
        <v>Филиал "Шатурская ГРЭС" ПАО "Юнипро"</v>
      </c>
      <c r="F7" s="2419"/>
      <c r="G7" s="2419"/>
      <c r="H7" s="2419"/>
      <c r="I7" s="2419"/>
      <c r="AF7" s="1801">
        <v>11</v>
      </c>
    </row>
    <row customHeight="1" ht="11.549999999999999">
      <c r="E8" s="1305"/>
      <c r="F8" s="1305"/>
      <c r="G8" s="1305"/>
      <c r="H8" s="1305"/>
      <c r="I8" s="1305"/>
      <c r="AF8" s="1801">
        <v>11</v>
      </c>
    </row>
    <row s="11993" customFormat="1" customHeight="1" ht="4.2">
      <c r="A9" s="1337"/>
      <c r="D9" s="1812"/>
      <c r="H9" s="1059"/>
      <c r="I9" s="1059" t="s">
        <v>120</v>
      </c>
      <c r="AF9" s="1806">
        <v>4</v>
      </c>
    </row>
    <row customHeight="1" ht="11.549999999999999">
      <c r="E10" s="881"/>
      <c r="F10" s="2537" t="s">
        <v>108</v>
      </c>
      <c r="G10" s="2538"/>
      <c r="H10" s="1722" t="str">
        <f>IF(H9="","",INDEX(DIFFERENTIATION_UNMERGE_VD,MATCH(H9,DIFFERENTIATION_ID_DIFF,0)))</f>
        <v/>
      </c>
      <c r="I10" s="1722">
        <f>IF(I9="","",INDEX(DIFFERENTIATION_UNMERGE_VD,MATCH(I9,DIFFERENTIATION_ID_DIFF,0)))</f>
        <v>0</v>
      </c>
      <c r="J10" s="2297"/>
      <c r="AF10" s="1801">
        <v>11</v>
      </c>
    </row>
    <row customHeight="1" ht="11.549999999999999">
      <c r="E11" s="881"/>
      <c r="F11" s="2537" t="s">
        <v>579</v>
      </c>
      <c r="G11" s="2538"/>
      <c r="H11" s="1722" t="str">
        <f>IF(H9="","",INDEX(DIFFERENTIATION_UNMERGE_AREA,MATCH(H9,DIFFERENTIATION_ID_DIFF,0)))</f>
        <v/>
      </c>
      <c r="I11" s="1722" t="str">
        <f>IF(I9="","",INDEX(DIFFERENTIATION_UNMERGE_AREA,MATCH(I9,DIFFERENTIATION_ID_DIFF,0)))</f>
        <v/>
      </c>
      <c r="J11" s="2297"/>
      <c r="AF11" s="1801">
        <v>11</v>
      </c>
    </row>
    <row customHeight="1" ht="1.05">
      <c r="E12" s="1832"/>
      <c r="F12" s="2560" t="s">
        <v>580</v>
      </c>
      <c r="G12" s="2561"/>
      <c r="H12" s="1833" t="str">
        <f>IF(H9="","",INDEX(DIFFERENTIATION_UNMERGE_SYSTEM,MATCH(H9,DIFFERENTIATION_ID_DIFF,0)))</f>
        <v/>
      </c>
      <c r="I12" s="1833" t="str">
        <f>IF(I9="","",INDEX(DIFFERENTIATION_UNMERGE_SYSTEM,MATCH(I9,DIFFERENTIATION_ID_DIFF,0)))</f>
        <v>без дифференциации</v>
      </c>
      <c r="J12" s="2297"/>
      <c r="AF12" s="1801">
        <v>1</v>
      </c>
    </row>
    <row customHeight="1" ht="11.549999999999999">
      <c r="E13" s="2539" t="s">
        <v>312</v>
      </c>
      <c r="F13" s="2540"/>
      <c r="G13" s="2540"/>
      <c r="H13" s="1721"/>
      <c r="I13" s="1721"/>
      <c r="J13" s="2297"/>
      <c r="AF13" s="1801">
        <v>11</v>
      </c>
    </row>
    <row customHeight="1" ht="24">
      <c r="E14" s="1809" t="s">
        <v>91</v>
      </c>
      <c r="F14" s="1804" t="s">
        <v>314</v>
      </c>
      <c r="G14" s="1804" t="s">
        <v>581</v>
      </c>
      <c r="H14" s="1804" t="s">
        <v>315</v>
      </c>
      <c r="I14" s="1804" t="s">
        <v>315</v>
      </c>
      <c r="J14" s="2297"/>
      <c r="AF14" s="1801">
        <v>23</v>
      </c>
    </row>
    <row customHeight="1" ht="19.95">
      <c r="D15" s="1808"/>
      <c r="E15" s="1800" t="s">
        <v>112</v>
      </c>
      <c r="F15" s="877" t="s">
        <v>719</v>
      </c>
      <c r="G15" s="1816" t="s">
        <v>567</v>
      </c>
      <c r="H15" s="727"/>
      <c r="I15" s="727"/>
      <c r="J15" s="459" t="s">
        <v>720</v>
      </c>
      <c r="K15" s="713" t="s">
        <v>645</v>
      </c>
      <c r="AF15" s="1801">
        <v>19</v>
      </c>
    </row>
    <row customHeight="1" ht="35.699999999999996">
      <c r="D16" s="1808"/>
      <c r="E16" s="1800" t="s">
        <v>113</v>
      </c>
      <c r="F16" s="877" t="s">
        <v>721</v>
      </c>
      <c r="G16" s="1816" t="s">
        <v>567</v>
      </c>
      <c r="H16" s="728">
        <f>SUM(H17,H20:H32)</f>
        <v>0</v>
      </c>
      <c r="I16" s="728">
        <f>SUM(I17,I20,I23,I26,I29:I32)</f>
        <v>0</v>
      </c>
      <c r="J16" s="459" t="s">
        <v>722</v>
      </c>
      <c r="K16" s="713" t="s">
        <v>645</v>
      </c>
      <c r="AF16" s="1801">
        <v>34</v>
      </c>
    </row>
    <row customHeight="1" ht="19.95">
      <c r="D17" s="1808"/>
      <c r="E17" s="1834" t="s">
        <v>723</v>
      </c>
      <c r="F17" s="1124" t="s">
        <v>724</v>
      </c>
      <c r="G17" s="1813" t="s">
        <v>567</v>
      </c>
      <c r="H17" s="727"/>
      <c r="I17" s="727"/>
      <c r="J17" s="459" t="s">
        <v>725</v>
      </c>
      <c r="K17" s="713"/>
      <c r="AF17" s="1801">
        <v>19</v>
      </c>
    </row>
    <row customHeight="1" ht="24">
      <c r="D18" s="1808"/>
      <c r="E18" s="1834" t="s">
        <v>726</v>
      </c>
      <c r="F18" s="1820" t="s">
        <v>727</v>
      </c>
      <c r="G18" s="1813" t="s">
        <v>567</v>
      </c>
      <c r="H18" s="727"/>
      <c r="I18" s="727"/>
      <c r="J18" s="459" t="s">
        <v>728</v>
      </c>
      <c r="K18" s="713"/>
      <c r="AF18" s="1801">
        <v>23</v>
      </c>
    </row>
    <row customHeight="1" ht="35.699999999999996">
      <c r="D19" s="1808"/>
      <c r="E19" s="1834" t="s">
        <v>729</v>
      </c>
      <c r="F19" s="1820" t="s">
        <v>730</v>
      </c>
      <c r="G19" s="1813" t="s">
        <v>567</v>
      </c>
      <c r="H19" s="727"/>
      <c r="I19" s="727"/>
      <c r="J19" s="459"/>
      <c r="K19" s="713"/>
      <c r="AF19" s="1801">
        <v>34</v>
      </c>
    </row>
    <row customHeight="1" ht="19.95">
      <c r="D20" s="1808"/>
      <c r="E20" s="1834" t="s">
        <v>319</v>
      </c>
      <c r="F20" s="1124" t="s">
        <v>731</v>
      </c>
      <c r="G20" s="1813" t="s">
        <v>567</v>
      </c>
      <c r="H20" s="727"/>
      <c r="I20" s="727"/>
      <c r="J20" s="459" t="s">
        <v>732</v>
      </c>
      <c r="K20" s="713"/>
      <c r="AF20" s="1801">
        <v>19</v>
      </c>
    </row>
    <row customHeight="1" ht="19.95">
      <c r="D21" s="1808"/>
      <c r="E21" s="1834" t="s">
        <v>733</v>
      </c>
      <c r="F21" s="1820" t="s">
        <v>734</v>
      </c>
      <c r="G21" s="1813" t="s">
        <v>567</v>
      </c>
      <c r="H21" s="727"/>
      <c r="I21" s="727"/>
      <c r="J21" s="459"/>
      <c r="K21" s="713"/>
      <c r="AF21" s="1801">
        <v>19</v>
      </c>
    </row>
    <row customHeight="1" ht="19.95">
      <c r="D22" s="1808"/>
      <c r="E22" s="1834" t="s">
        <v>735</v>
      </c>
      <c r="F22" s="1820" t="s">
        <v>736</v>
      </c>
      <c r="G22" s="1813" t="s">
        <v>567</v>
      </c>
      <c r="H22" s="727"/>
      <c r="I22" s="727"/>
      <c r="J22" s="459"/>
      <c r="K22" s="713"/>
      <c r="AF22" s="1801">
        <v>19</v>
      </c>
    </row>
    <row customHeight="1" ht="24">
      <c r="D23" s="1808"/>
      <c r="E23" s="1834" t="s">
        <v>322</v>
      </c>
      <c r="F23" s="1124" t="s">
        <v>737</v>
      </c>
      <c r="G23" s="1813" t="s">
        <v>567</v>
      </c>
      <c r="H23" s="727"/>
      <c r="I23" s="727"/>
      <c r="J23" s="459" t="s">
        <v>738</v>
      </c>
      <c r="K23" s="713"/>
      <c r="AF23" s="1801">
        <v>23</v>
      </c>
    </row>
    <row customHeight="1" ht="19.95">
      <c r="D24" s="1808"/>
      <c r="E24" s="1834" t="s">
        <v>739</v>
      </c>
      <c r="F24" s="1820" t="s">
        <v>740</v>
      </c>
      <c r="G24" s="1813" t="s">
        <v>567</v>
      </c>
      <c r="H24" s="727"/>
      <c r="I24" s="727"/>
      <c r="J24" s="459"/>
      <c r="K24" s="713"/>
      <c r="AF24" s="1801">
        <v>19</v>
      </c>
    </row>
    <row customHeight="1" ht="35.699999999999996">
      <c r="D25" s="1808"/>
      <c r="E25" s="1834" t="s">
        <v>741</v>
      </c>
      <c r="F25" s="1820" t="s">
        <v>742</v>
      </c>
      <c r="G25" s="1813" t="s">
        <v>567</v>
      </c>
      <c r="H25" s="727"/>
      <c r="I25" s="727"/>
      <c r="J25" s="459"/>
      <c r="K25" s="713"/>
      <c r="AF25" s="1801">
        <v>34</v>
      </c>
    </row>
    <row customHeight="1" ht="24">
      <c r="D26" s="1808"/>
      <c r="E26" s="1834" t="s">
        <v>743</v>
      </c>
      <c r="F26" s="1124" t="s">
        <v>744</v>
      </c>
      <c r="G26" s="1813" t="s">
        <v>567</v>
      </c>
      <c r="H26" s="727"/>
      <c r="I26" s="727"/>
      <c r="J26" s="459" t="s">
        <v>745</v>
      </c>
      <c r="K26" s="713"/>
      <c r="AF26" s="1801">
        <v>23</v>
      </c>
    </row>
    <row customHeight="1" ht="19.95">
      <c r="D27" s="1808"/>
      <c r="E27" s="1845" t="s">
        <v>746</v>
      </c>
      <c r="F27" s="1820" t="s">
        <v>747</v>
      </c>
      <c r="G27" s="1824" t="s">
        <v>567</v>
      </c>
      <c r="H27" s="1846"/>
      <c r="I27" s="1846"/>
      <c r="J27" s="459"/>
      <c r="K27" s="713"/>
      <c r="AF27" s="1801">
        <v>19</v>
      </c>
    </row>
    <row customHeight="1" ht="19.95">
      <c r="D28" s="1808"/>
      <c r="E28" s="1845" t="s">
        <v>748</v>
      </c>
      <c r="F28" s="1820" t="s">
        <v>749</v>
      </c>
      <c r="G28" s="1824" t="s">
        <v>567</v>
      </c>
      <c r="H28" s="1846"/>
      <c r="I28" s="1846"/>
      <c r="J28" s="459"/>
      <c r="K28" s="713"/>
      <c r="AF28" s="1801">
        <v>19</v>
      </c>
    </row>
    <row customHeight="1" ht="19.95">
      <c r="D29" s="1808"/>
      <c r="E29" s="1845" t="s">
        <v>750</v>
      </c>
      <c r="F29" s="1124" t="s">
        <v>751</v>
      </c>
      <c r="G29" s="1824" t="s">
        <v>567</v>
      </c>
      <c r="H29" s="1846"/>
      <c r="I29" s="1846"/>
      <c r="J29" s="459"/>
      <c r="K29" s="713"/>
      <c r="AF29" s="1801">
        <v>19</v>
      </c>
    </row>
    <row customHeight="1" ht="19.95">
      <c r="D30" s="1808"/>
      <c r="E30" s="1845" t="s">
        <v>752</v>
      </c>
      <c r="F30" s="1124" t="s">
        <v>753</v>
      </c>
      <c r="G30" s="1824" t="s">
        <v>567</v>
      </c>
      <c r="H30" s="1846"/>
      <c r="I30" s="1846"/>
      <c r="J30" s="459"/>
      <c r="K30" s="713"/>
      <c r="AF30" s="1801">
        <v>19</v>
      </c>
    </row>
    <row customHeight="1" ht="19.95">
      <c r="D31" s="1808"/>
      <c r="E31" s="1845" t="s">
        <v>754</v>
      </c>
      <c r="F31" s="1124" t="s">
        <v>755</v>
      </c>
      <c r="G31" s="1824" t="s">
        <v>567</v>
      </c>
      <c r="H31" s="1846"/>
      <c r="I31" s="1846"/>
      <c r="J31" s="459"/>
      <c r="K31" s="713"/>
      <c r="AF31" s="1801">
        <v>19</v>
      </c>
    </row>
    <row s="11992" customFormat="1" customHeight="1" ht="35.699999999999996">
      <c r="A32" s="1157"/>
      <c r="C32" s="1806"/>
      <c r="D32" s="1808"/>
      <c r="E32" s="1845" t="s">
        <v>756</v>
      </c>
      <c r="F32" s="1124" t="s">
        <v>757</v>
      </c>
      <c r="G32" s="1814" t="s">
        <v>567</v>
      </c>
      <c r="H32" s="749">
        <f>SUM(H33:H34)</f>
        <v>0</v>
      </c>
      <c r="I32" s="749">
        <f>SUM(I33:I34)</f>
        <v>0</v>
      </c>
      <c r="J32" s="459" t="s">
        <v>758</v>
      </c>
      <c r="K32" s="713"/>
      <c r="L32" s="1806"/>
      <c r="M32" s="1806"/>
      <c r="R32" s="1806"/>
      <c r="U32" s="714"/>
      <c r="AA32" s="1802"/>
      <c r="AB32" s="1802"/>
      <c r="AC32" s="1802"/>
      <c r="AD32" s="1802"/>
      <c r="AE32" s="1802"/>
      <c r="AF32" s="1330">
        <v>34</v>
      </c>
    </row>
    <row s="11993" customFormat="1" customHeight="1" ht="1.05">
      <c r="A33" s="1337"/>
      <c r="D33" s="718"/>
      <c r="E33" s="972" t="str">
        <f>E32&amp;".0"</f>
        <v>2.8.0</v>
      </c>
      <c r="F33" s="1161"/>
      <c r="G33" s="721"/>
      <c r="H33" s="1162"/>
      <c r="I33" s="1162"/>
      <c r="J33" s="1163"/>
      <c r="AF33" s="1806">
        <v>1</v>
      </c>
    </row>
    <row s="11992" customFormat="1" customHeight="1" ht="19.95">
      <c r="A34" s="1157"/>
      <c r="C34" s="1806"/>
      <c r="D34" s="1803"/>
      <c r="E34" s="740"/>
      <c r="F34" s="1836" t="s">
        <v>592</v>
      </c>
      <c r="G34" s="742"/>
      <c r="H34" s="743"/>
      <c r="I34" s="743"/>
      <c r="J34" s="471" t="s">
        <v>759</v>
      </c>
      <c r="K34" s="713"/>
      <c r="L34" s="1806"/>
      <c r="M34" s="1806"/>
      <c r="R34" s="1806"/>
      <c r="U34" s="714"/>
      <c r="AA34" s="1802"/>
      <c r="AB34" s="1802"/>
      <c r="AC34" s="1802"/>
      <c r="AD34" s="1802"/>
      <c r="AE34" s="1802"/>
      <c r="AF34" s="1330">
        <v>19</v>
      </c>
    </row>
    <row customHeight="1" ht="60">
      <c r="D35" s="1808"/>
      <c r="E35" s="1845" t="s">
        <v>760</v>
      </c>
      <c r="F35" s="1124" t="s">
        <v>761</v>
      </c>
      <c r="G35" s="1824" t="s">
        <v>567</v>
      </c>
      <c r="H35" s="1846"/>
      <c r="I35" s="1846"/>
      <c r="J35" s="459" t="s">
        <v>762</v>
      </c>
      <c r="K35" s="713"/>
      <c r="AF35" s="1801">
        <v>57</v>
      </c>
    </row>
    <row s="11992" customFormat="1" customHeight="1" ht="24">
      <c r="A36" s="1159" t="s">
        <v>593</v>
      </c>
      <c r="C36" s="1806"/>
      <c r="D36" s="1808"/>
      <c r="E36" s="1834" t="s">
        <v>93</v>
      </c>
      <c r="F36" s="877" t="s">
        <v>763</v>
      </c>
      <c r="G36" s="1813" t="s">
        <v>567</v>
      </c>
      <c r="H36" s="727"/>
      <c r="I36" s="727"/>
      <c r="J36" s="459" t="s">
        <v>764</v>
      </c>
      <c r="K36" s="713"/>
      <c r="L36" s="1806"/>
      <c r="M36" s="1806"/>
      <c r="R36" s="1806"/>
      <c r="U36" s="714"/>
      <c r="AA36" s="1802"/>
      <c r="AB36" s="1802"/>
      <c r="AC36" s="1802"/>
      <c r="AD36" s="1802"/>
      <c r="AE36" s="1802"/>
      <c r="AF36" s="1330">
        <v>23</v>
      </c>
    </row>
    <row s="11992" customFormat="1" customHeight="1" ht="35.699999999999996">
      <c r="A37" s="1159"/>
      <c r="C37" s="1806"/>
      <c r="D37" s="1808"/>
      <c r="E37" s="1834" t="s">
        <v>336</v>
      </c>
      <c r="F37" s="1124" t="s">
        <v>765</v>
      </c>
      <c r="G37" s="1824"/>
      <c r="H37" s="727"/>
      <c r="I37" s="727"/>
      <c r="J37" s="459"/>
      <c r="K37" s="713"/>
      <c r="L37" s="1806"/>
      <c r="M37" s="1806"/>
      <c r="R37" s="1806"/>
      <c r="U37" s="714"/>
      <c r="AA37" s="1802"/>
      <c r="AB37" s="1802"/>
      <c r="AC37" s="1802"/>
      <c r="AD37" s="1802"/>
      <c r="AE37" s="1802"/>
      <c r="AF37" s="1330">
        <v>34</v>
      </c>
    </row>
    <row s="11992" customFormat="1" customHeight="1" ht="19.95">
      <c r="A38" s="1157"/>
      <c r="C38" s="1806"/>
      <c r="D38" s="745"/>
      <c r="E38" s="1834" t="s">
        <v>94</v>
      </c>
      <c r="F38" s="877" t="s">
        <v>766</v>
      </c>
      <c r="G38" s="1813" t="s">
        <v>567</v>
      </c>
      <c r="H38" s="727"/>
      <c r="I38" s="727"/>
      <c r="J38" s="459" t="s">
        <v>767</v>
      </c>
      <c r="K38" s="713"/>
      <c r="L38" s="1806"/>
      <c r="M38" s="1806"/>
      <c r="R38" s="1806"/>
      <c r="U38" s="714"/>
      <c r="AA38" s="1802"/>
      <c r="AB38" s="1802"/>
      <c r="AC38" s="1802"/>
      <c r="AD38" s="1802"/>
      <c r="AE38" s="1802"/>
      <c r="AF38" s="1330">
        <v>19</v>
      </c>
    </row>
    <row s="11992" customFormat="1" customHeight="1" ht="24">
      <c r="A39" s="1157"/>
      <c r="C39" s="1806"/>
      <c r="D39" s="745"/>
      <c r="E39" s="1834" t="s">
        <v>768</v>
      </c>
      <c r="F39" s="1124" t="s">
        <v>769</v>
      </c>
      <c r="G39" s="1824" t="s">
        <v>567</v>
      </c>
      <c r="H39" s="727"/>
      <c r="I39" s="727"/>
      <c r="J39" s="459" t="s">
        <v>770</v>
      </c>
      <c r="K39" s="713"/>
      <c r="L39" s="1806"/>
      <c r="M39" s="1806"/>
      <c r="R39" s="1806"/>
      <c r="U39" s="714"/>
      <c r="AA39" s="1802"/>
      <c r="AB39" s="1802"/>
      <c r="AC39" s="1802"/>
      <c r="AD39" s="1802"/>
      <c r="AE39" s="1802"/>
      <c r="AF39" s="1330">
        <v>23</v>
      </c>
    </row>
    <row s="11992" customFormat="1" customHeight="1" ht="24">
      <c r="A40" s="1157"/>
      <c r="C40" s="1806"/>
      <c r="D40" s="1808"/>
      <c r="E40" s="1834" t="s">
        <v>771</v>
      </c>
      <c r="F40" s="1820" t="s">
        <v>772</v>
      </c>
      <c r="G40" s="1813" t="s">
        <v>567</v>
      </c>
      <c r="H40" s="727"/>
      <c r="I40" s="727"/>
      <c r="J40" s="459" t="s">
        <v>773</v>
      </c>
      <c r="K40" s="713"/>
      <c r="L40" s="1806"/>
      <c r="M40" s="1806"/>
      <c r="R40" s="1806"/>
      <c r="U40" s="714"/>
      <c r="AA40" s="1802"/>
      <c r="AB40" s="1802"/>
      <c r="AC40" s="1802"/>
      <c r="AD40" s="1802"/>
      <c r="AE40" s="1802"/>
      <c r="AF40" s="1330">
        <v>23</v>
      </c>
    </row>
    <row s="11992" customFormat="1" customHeight="1" ht="24">
      <c r="A41" s="1157"/>
      <c r="C41" s="1806"/>
      <c r="D41" s="1808"/>
      <c r="E41" s="1834" t="s">
        <v>774</v>
      </c>
      <c r="F41" s="1820" t="s">
        <v>775</v>
      </c>
      <c r="G41" s="1813" t="s">
        <v>567</v>
      </c>
      <c r="H41" s="727"/>
      <c r="I41" s="727"/>
      <c r="J41" s="459" t="s">
        <v>776</v>
      </c>
      <c r="K41" s="713"/>
      <c r="L41" s="1806"/>
      <c r="M41" s="1806"/>
      <c r="R41" s="1806"/>
      <c r="U41" s="714"/>
      <c r="AA41" s="1802"/>
      <c r="AB41" s="1802"/>
      <c r="AC41" s="1802"/>
      <c r="AD41" s="1802"/>
      <c r="AE41" s="1802"/>
      <c r="AF41" s="1330">
        <v>23</v>
      </c>
    </row>
    <row s="11992" customFormat="1" customHeight="1" ht="24">
      <c r="A42" s="1157"/>
      <c r="C42" s="1806"/>
      <c r="D42" s="1808"/>
      <c r="E42" s="1834" t="s">
        <v>777</v>
      </c>
      <c r="F42" s="1820" t="s">
        <v>778</v>
      </c>
      <c r="G42" s="1813" t="s">
        <v>567</v>
      </c>
      <c r="H42" s="727"/>
      <c r="I42" s="727"/>
      <c r="J42" s="459" t="s">
        <v>779</v>
      </c>
      <c r="K42" s="713"/>
      <c r="L42" s="1806"/>
      <c r="M42" s="1806"/>
      <c r="R42" s="1806"/>
      <c r="U42" s="714"/>
      <c r="AA42" s="1802"/>
      <c r="AB42" s="1802"/>
      <c r="AC42" s="1802"/>
      <c r="AD42" s="1802"/>
      <c r="AE42" s="1802"/>
      <c r="AF42" s="1330">
        <v>23</v>
      </c>
    </row>
    <row s="11992" customFormat="1" customHeight="1" ht="35.699999999999996">
      <c r="A43" s="1157"/>
      <c r="C43" s="1806" t="s">
        <v>603</v>
      </c>
      <c r="D43" s="1808"/>
      <c r="E43" s="1834" t="s">
        <v>114</v>
      </c>
      <c r="F43" s="877" t="s">
        <v>644</v>
      </c>
      <c r="G43" s="1816" t="s">
        <v>780</v>
      </c>
      <c r="H43" s="571"/>
      <c r="I43" s="571"/>
      <c r="J43" s="459" t="s">
        <v>781</v>
      </c>
      <c r="K43" s="713"/>
      <c r="L43" s="1806"/>
      <c r="M43" s="1806"/>
      <c r="R43" s="1806"/>
      <c r="U43" s="714"/>
      <c r="AA43" s="1802"/>
      <c r="AB43" s="1802"/>
      <c r="AC43" s="1802"/>
      <c r="AD43" s="1802"/>
      <c r="AE43" s="1802"/>
      <c r="AF43" s="1330">
        <v>34</v>
      </c>
    </row>
    <row s="11992" customFormat="1" customHeight="1" ht="35.699999999999996">
      <c r="A44" s="1157"/>
      <c r="C44" s="1806"/>
      <c r="D44" s="1808"/>
      <c r="E44" s="1834" t="s">
        <v>95</v>
      </c>
      <c r="F44" s="877" t="s">
        <v>782</v>
      </c>
      <c r="G44" s="1813" t="s">
        <v>783</v>
      </c>
      <c r="H44" s="715"/>
      <c r="I44" s="715"/>
      <c r="J44" s="459" t="s">
        <v>784</v>
      </c>
      <c r="K44" s="713"/>
      <c r="L44" s="1806"/>
      <c r="M44" s="1806"/>
      <c r="R44" s="1806"/>
      <c r="U44" s="714"/>
      <c r="AA44" s="1802"/>
      <c r="AB44" s="1802"/>
      <c r="AC44" s="1802"/>
      <c r="AD44" s="1802"/>
      <c r="AE44" s="1802"/>
      <c r="AF44" s="1330">
        <v>34</v>
      </c>
    </row>
    <row s="11992" customFormat="1" customHeight="1" ht="24">
      <c r="A45" s="1157"/>
      <c r="C45" s="1806"/>
      <c r="D45" s="1808"/>
      <c r="E45" s="1834" t="s">
        <v>96</v>
      </c>
      <c r="F45" s="877" t="s">
        <v>785</v>
      </c>
      <c r="G45" s="1824" t="s">
        <v>786</v>
      </c>
      <c r="H45" s="715"/>
      <c r="I45" s="715"/>
      <c r="J45" s="459" t="s">
        <v>787</v>
      </c>
      <c r="K45" s="713"/>
      <c r="L45" s="1806"/>
      <c r="M45" s="1806"/>
      <c r="R45" s="1806"/>
      <c r="U45" s="714"/>
      <c r="AA45" s="1802"/>
      <c r="AB45" s="1802"/>
      <c r="AC45" s="1802"/>
      <c r="AD45" s="1802"/>
      <c r="AE45" s="1802"/>
      <c r="AF45" s="1330">
        <v>23</v>
      </c>
    </row>
    <row s="11992" customFormat="1" customHeight="1" ht="19.95">
      <c r="A46" s="1157"/>
      <c r="C46" s="1806"/>
      <c r="D46" s="1808"/>
      <c r="E46" s="1834" t="s">
        <v>115</v>
      </c>
      <c r="F46" s="877" t="s">
        <v>788</v>
      </c>
      <c r="G46" s="1813" t="s">
        <v>605</v>
      </c>
      <c r="H46" s="747"/>
      <c r="I46" s="747"/>
      <c r="J46" s="459"/>
      <c r="K46" s="713"/>
      <c r="L46" s="1806"/>
      <c r="M46" s="1806"/>
      <c r="R46" s="1806"/>
      <c r="U46" s="714"/>
      <c r="AA46" s="1802"/>
      <c r="AB46" s="1802"/>
      <c r="AC46" s="1802"/>
      <c r="AD46" s="1802"/>
      <c r="AE46" s="1802"/>
      <c r="AF46" s="1330">
        <v>19</v>
      </c>
    </row>
    <row customHeight="1" ht="11.549999999999999">
      <c r="D47" s="1808"/>
      <c r="AF47" s="1801">
        <v>11</v>
      </c>
    </row>
    <row s="12668" customFormat="1" customHeight="1" ht="11.549999999999999">
      <c r="A48" s="1157"/>
      <c r="B48" s="1806"/>
      <c r="C48" s="1806"/>
      <c r="D48" s="521"/>
      <c r="K48" s="1330"/>
      <c r="L48" s="1806"/>
      <c r="M48" s="1806"/>
      <c r="N48" s="1330"/>
      <c r="O48" s="1330"/>
      <c r="P48" s="1330"/>
      <c r="Q48" s="1330"/>
      <c r="R48" s="1806"/>
      <c r="S48" s="1330"/>
      <c r="T48" s="1330"/>
      <c r="U48" s="714"/>
      <c r="V48" s="1330"/>
      <c r="W48" s="1330"/>
      <c r="X48" s="1330"/>
      <c r="Y48" s="1330"/>
      <c r="Z48" s="1330"/>
      <c r="AA48" s="1802"/>
      <c r="AB48" s="736"/>
      <c r="AC48" s="736"/>
      <c r="AD48" s="736"/>
      <c r="AE48" s="736"/>
      <c r="AF48" s="1811">
        <v>11</v>
      </c>
    </row>
    <row s="12668" customFormat="1" customHeight="1" ht="11.549999999999999">
      <c r="A49" s="1157"/>
      <c r="B49" s="1806"/>
      <c r="C49" s="1806"/>
      <c r="D49" s="521"/>
      <c r="K49" s="1330"/>
      <c r="L49" s="1806"/>
      <c r="M49" s="1806"/>
      <c r="N49" s="1330"/>
      <c r="O49" s="1330"/>
      <c r="P49" s="1330"/>
      <c r="Q49" s="1330"/>
      <c r="R49" s="1806"/>
      <c r="S49" s="1330"/>
      <c r="T49" s="1330"/>
      <c r="U49" s="714"/>
      <c r="V49" s="1330"/>
      <c r="W49" s="1330"/>
      <c r="X49" s="1330"/>
      <c r="Y49" s="1330"/>
      <c r="Z49" s="1330"/>
      <c r="AA49" s="1802"/>
      <c r="AB49" s="736"/>
      <c r="AC49" s="736"/>
      <c r="AD49" s="736"/>
      <c r="AE49" s="736"/>
      <c r="AF49" s="1811">
        <v>11</v>
      </c>
    </row>
    <row s="12668" customFormat="1" customHeight="1" ht="11.549999999999999">
      <c r="A50" s="1157"/>
      <c r="B50" s="1806"/>
      <c r="C50" s="1806"/>
      <c r="D50" s="521"/>
      <c r="H50" s="736"/>
      <c r="I50" s="736"/>
      <c r="K50" s="1330"/>
      <c r="L50" s="1806"/>
      <c r="M50" s="1806"/>
      <c r="N50" s="1330"/>
      <c r="O50" s="1330"/>
      <c r="P50" s="1330"/>
      <c r="Q50" s="1330"/>
      <c r="R50" s="1806"/>
      <c r="S50" s="1330"/>
      <c r="T50" s="1330"/>
      <c r="U50" s="714"/>
      <c r="V50" s="1330"/>
      <c r="W50" s="1330"/>
      <c r="X50" s="1330"/>
      <c r="Y50" s="1330"/>
      <c r="Z50" s="1330"/>
      <c r="AA50" s="1802"/>
      <c r="AB50" s="736"/>
      <c r="AC50" s="736"/>
      <c r="AD50" s="736"/>
      <c r="AE50" s="736"/>
      <c r="AF50" s="1811">
        <v>11</v>
      </c>
    </row>
    <row s="12668" customFormat="1" customHeight="1" ht="11.549999999999999">
      <c r="A51" s="1157"/>
      <c r="B51" s="1806"/>
      <c r="C51" s="1806"/>
      <c r="D51" s="521"/>
      <c r="K51" s="1330"/>
      <c r="L51" s="1806"/>
      <c r="M51" s="1806"/>
      <c r="N51" s="1330"/>
      <c r="O51" s="1330"/>
      <c r="P51" s="1330"/>
      <c r="Q51" s="1330"/>
      <c r="R51" s="1806"/>
      <c r="S51" s="1330"/>
      <c r="T51" s="1330"/>
      <c r="U51" s="714"/>
      <c r="V51" s="1330"/>
      <c r="W51" s="1330"/>
      <c r="X51" s="1330"/>
      <c r="Y51" s="1330"/>
      <c r="Z51" s="1330"/>
      <c r="AA51" s="1802"/>
      <c r="AB51" s="736"/>
      <c r="AC51" s="736"/>
      <c r="AD51" s="736"/>
      <c r="AE51" s="736"/>
      <c r="AF51" s="1811">
        <v>11</v>
      </c>
    </row>
    <row s="12668" customFormat="1" customHeight="1" ht="11.549999999999999">
      <c r="A52" s="1157"/>
      <c r="B52" s="1806"/>
      <c r="C52" s="1806"/>
      <c r="D52" s="521"/>
      <c r="K52" s="1330"/>
      <c r="L52" s="1806"/>
      <c r="M52" s="1806"/>
      <c r="N52" s="1330"/>
      <c r="O52" s="1330"/>
      <c r="P52" s="1330"/>
      <c r="Q52" s="1330"/>
      <c r="R52" s="1806"/>
      <c r="S52" s="1330"/>
      <c r="T52" s="1330"/>
      <c r="U52" s="714"/>
      <c r="V52" s="1330"/>
      <c r="W52" s="1330"/>
      <c r="X52" s="1330"/>
      <c r="Y52" s="1330"/>
      <c r="Z52" s="1330"/>
      <c r="AA52" s="1802"/>
      <c r="AB52" s="736"/>
      <c r="AC52" s="736"/>
      <c r="AD52" s="736"/>
      <c r="AE52" s="736"/>
      <c r="AF52" s="1811">
        <v>11</v>
      </c>
    </row>
    <row s="12668" customFormat="1" customHeight="1" ht="11.549999999999999">
      <c r="A53" s="1157"/>
      <c r="B53" s="1806"/>
      <c r="C53" s="1806"/>
      <c r="D53" s="521"/>
      <c r="K53" s="1330"/>
      <c r="L53" s="1806"/>
      <c r="M53" s="1806"/>
      <c r="N53" s="1330"/>
      <c r="O53" s="1330"/>
      <c r="P53" s="1330"/>
      <c r="Q53" s="1330"/>
      <c r="R53" s="1806"/>
      <c r="S53" s="1330"/>
      <c r="T53" s="1330"/>
      <c r="U53" s="714"/>
      <c r="V53" s="1330"/>
      <c r="W53" s="1330"/>
      <c r="X53" s="1330"/>
      <c r="Y53" s="1330"/>
      <c r="Z53" s="1330"/>
      <c r="AA53" s="1802"/>
      <c r="AB53" s="736"/>
      <c r="AC53" s="736"/>
      <c r="AD53" s="736"/>
      <c r="AE53" s="736"/>
      <c r="AF53" s="1811">
        <v>11</v>
      </c>
    </row>
    <row s="12668" customFormat="1" customHeight="1" ht="11.549999999999999">
      <c r="A54" s="1157"/>
      <c r="B54" s="1806"/>
      <c r="C54" s="1806"/>
      <c r="D54" s="521"/>
      <c r="K54" s="1330"/>
      <c r="L54" s="1806"/>
      <c r="M54" s="1806"/>
      <c r="N54" s="1330"/>
      <c r="O54" s="1330"/>
      <c r="P54" s="1330"/>
      <c r="Q54" s="1330"/>
      <c r="R54" s="1806"/>
      <c r="S54" s="1330"/>
      <c r="T54" s="1330"/>
      <c r="U54" s="714"/>
      <c r="V54" s="1330"/>
      <c r="W54" s="1330"/>
      <c r="X54" s="1330"/>
      <c r="Y54" s="1330"/>
      <c r="Z54" s="1330"/>
      <c r="AA54" s="1802"/>
      <c r="AB54" s="736"/>
      <c r="AC54" s="736"/>
      <c r="AD54" s="736"/>
      <c r="AE54" s="736"/>
      <c r="AF54" s="1811">
        <v>11</v>
      </c>
    </row>
    <row s="12668" customFormat="1" customHeight="1" ht="11.549999999999999">
      <c r="A55" s="1157"/>
      <c r="B55" s="1806"/>
      <c r="C55" s="1806"/>
      <c r="D55" s="521"/>
      <c r="K55" s="1330"/>
      <c r="L55" s="1806"/>
      <c r="M55" s="1806"/>
      <c r="N55" s="1330"/>
      <c r="O55" s="1330"/>
      <c r="P55" s="1330"/>
      <c r="Q55" s="1330"/>
      <c r="R55" s="1806"/>
      <c r="S55" s="1330"/>
      <c r="T55" s="1330"/>
      <c r="U55" s="714"/>
      <c r="V55" s="1330"/>
      <c r="W55" s="1330"/>
      <c r="X55" s="1330"/>
      <c r="Y55" s="1330"/>
      <c r="Z55" s="1330"/>
      <c r="AA55" s="1802"/>
      <c r="AB55" s="736"/>
      <c r="AC55" s="736"/>
      <c r="AD55" s="736"/>
      <c r="AE55" s="736"/>
      <c r="AF55" s="1811">
        <v>11</v>
      </c>
    </row>
    <row s="12668" customFormat="1" customHeight="1" ht="11.549999999999999">
      <c r="A56" s="1157"/>
      <c r="B56" s="1806"/>
      <c r="C56" s="1806"/>
      <c r="D56" s="521"/>
      <c r="K56" s="1330"/>
      <c r="L56" s="1806"/>
      <c r="M56" s="1806"/>
      <c r="N56" s="1330"/>
      <c r="O56" s="1330"/>
      <c r="P56" s="1330"/>
      <c r="Q56" s="1330"/>
      <c r="R56" s="1806"/>
      <c r="S56" s="1330"/>
      <c r="T56" s="1330"/>
      <c r="U56" s="714"/>
      <c r="V56" s="1330"/>
      <c r="W56" s="1330"/>
      <c r="X56" s="1330"/>
      <c r="Y56" s="1330"/>
      <c r="Z56" s="1330"/>
      <c r="AA56" s="1802"/>
      <c r="AB56" s="736"/>
      <c r="AC56" s="736"/>
      <c r="AD56" s="736"/>
      <c r="AE56" s="736"/>
      <c r="AF56" s="1811">
        <v>11</v>
      </c>
    </row>
    <row s="12668" customFormat="1" customHeight="1" ht="11.549999999999999">
      <c r="A57" s="1157"/>
      <c r="B57" s="1806"/>
      <c r="C57" s="1806"/>
      <c r="D57" s="521"/>
      <c r="K57" s="1330"/>
      <c r="L57" s="1806"/>
      <c r="M57" s="1806"/>
      <c r="N57" s="1330"/>
      <c r="O57" s="1330"/>
      <c r="P57" s="1330"/>
      <c r="Q57" s="1330"/>
      <c r="R57" s="1806"/>
      <c r="S57" s="1330"/>
      <c r="T57" s="1330"/>
      <c r="U57" s="714"/>
      <c r="V57" s="1330"/>
      <c r="W57" s="1330"/>
      <c r="X57" s="1330"/>
      <c r="Y57" s="1330"/>
      <c r="Z57" s="1330"/>
      <c r="AA57" s="1802"/>
      <c r="AB57" s="736"/>
      <c r="AC57" s="736"/>
      <c r="AD57" s="736"/>
      <c r="AE57" s="736"/>
      <c r="AF57" s="1811">
        <v>11</v>
      </c>
    </row>
    <row s="12668" customFormat="1" customHeight="1" ht="11.549999999999999">
      <c r="A58" s="1157"/>
      <c r="B58" s="1806"/>
      <c r="C58" s="1806"/>
      <c r="D58" s="521"/>
      <c r="K58" s="1330"/>
      <c r="L58" s="1806"/>
      <c r="M58" s="1806"/>
      <c r="N58" s="1330"/>
      <c r="O58" s="1330"/>
      <c r="P58" s="1330"/>
      <c r="Q58" s="1330"/>
      <c r="R58" s="1806"/>
      <c r="S58" s="1330"/>
      <c r="T58" s="1330"/>
      <c r="U58" s="714"/>
      <c r="V58" s="1330"/>
      <c r="W58" s="1330"/>
      <c r="X58" s="1330"/>
      <c r="Y58" s="1330"/>
      <c r="Z58" s="1330"/>
      <c r="AA58" s="1802"/>
      <c r="AB58" s="736"/>
      <c r="AC58" s="736"/>
      <c r="AD58" s="736"/>
      <c r="AE58" s="736"/>
      <c r="AF58" s="1811">
        <v>11</v>
      </c>
    </row>
    <row s="12668" customFormat="1" customHeight="1" ht="11.549999999999999">
      <c r="A59" s="1157"/>
      <c r="B59" s="1806"/>
      <c r="C59" s="1806"/>
      <c r="D59" s="521"/>
      <c r="K59" s="1330"/>
      <c r="L59" s="1806"/>
      <c r="M59" s="1806"/>
      <c r="N59" s="1330"/>
      <c r="O59" s="1330"/>
      <c r="P59" s="1330"/>
      <c r="Q59" s="1330"/>
      <c r="R59" s="1806"/>
      <c r="S59" s="1330"/>
      <c r="T59" s="1330"/>
      <c r="U59" s="714"/>
      <c r="V59" s="1330"/>
      <c r="W59" s="1330"/>
      <c r="X59" s="1330"/>
      <c r="Y59" s="1330"/>
      <c r="Z59" s="1330"/>
      <c r="AA59" s="1802"/>
      <c r="AB59" s="736"/>
      <c r="AC59" s="736"/>
      <c r="AD59" s="736"/>
      <c r="AE59" s="736"/>
      <c r="AF59" s="1811">
        <v>11</v>
      </c>
    </row>
    <row s="12668" customFormat="1" customHeight="1" ht="11.549999999999999">
      <c r="A60" s="1157"/>
      <c r="B60" s="1806"/>
      <c r="C60" s="1806"/>
      <c r="D60" s="521"/>
      <c r="K60" s="1330"/>
      <c r="L60" s="1806"/>
      <c r="M60" s="1806"/>
      <c r="N60" s="1330"/>
      <c r="O60" s="1330"/>
      <c r="P60" s="1330"/>
      <c r="Q60" s="1330"/>
      <c r="R60" s="1806"/>
      <c r="S60" s="1330"/>
      <c r="T60" s="1330"/>
      <c r="U60" s="714"/>
      <c r="V60" s="1330"/>
      <c r="W60" s="1330"/>
      <c r="X60" s="1330"/>
      <c r="Y60" s="1330"/>
      <c r="Z60" s="1330"/>
      <c r="AA60" s="1802"/>
      <c r="AB60" s="736"/>
      <c r="AC60" s="736"/>
      <c r="AD60" s="736"/>
      <c r="AE60" s="736"/>
      <c r="AF60" s="1811">
        <v>11</v>
      </c>
    </row>
    <row s="12668" customFormat="1" customHeight="1" ht="11.549999999999999">
      <c r="A61" s="1157"/>
      <c r="B61" s="1806"/>
      <c r="C61" s="1806"/>
      <c r="D61" s="521"/>
      <c r="K61" s="1330"/>
      <c r="L61" s="1806"/>
      <c r="M61" s="1806"/>
      <c r="N61" s="1330"/>
      <c r="O61" s="1330"/>
      <c r="P61" s="1330"/>
      <c r="Q61" s="1330"/>
      <c r="R61" s="1806"/>
      <c r="S61" s="1330"/>
      <c r="T61" s="1330"/>
      <c r="U61" s="714"/>
      <c r="V61" s="1330"/>
      <c r="W61" s="1330"/>
      <c r="X61" s="1330"/>
      <c r="Y61" s="1330"/>
      <c r="Z61" s="1330"/>
      <c r="AA61" s="1802"/>
      <c r="AB61" s="736"/>
      <c r="AC61" s="736"/>
      <c r="AD61" s="736"/>
      <c r="AE61" s="736"/>
      <c r="AF61" s="1811">
        <v>11</v>
      </c>
    </row>
    <row s="12668" customFormat="1" customHeight="1" ht="11.549999999999999">
      <c r="A62" s="1157"/>
      <c r="B62" s="1806"/>
      <c r="C62" s="1806"/>
      <c r="D62" s="521"/>
      <c r="K62" s="1330"/>
      <c r="L62" s="1806"/>
      <c r="M62" s="1806"/>
      <c r="N62" s="1330"/>
      <c r="O62" s="1330"/>
      <c r="P62" s="1330"/>
      <c r="Q62" s="1330"/>
      <c r="R62" s="1806"/>
      <c r="S62" s="1330"/>
      <c r="T62" s="1330"/>
      <c r="U62" s="714"/>
      <c r="V62" s="1330"/>
      <c r="W62" s="1330"/>
      <c r="X62" s="1330"/>
      <c r="Y62" s="1330"/>
      <c r="Z62" s="1330"/>
      <c r="AA62" s="1802"/>
      <c r="AB62" s="736"/>
      <c r="AC62" s="736"/>
      <c r="AD62" s="736"/>
      <c r="AE62" s="736"/>
      <c r="AF62" s="1811">
        <v>11</v>
      </c>
    </row>
    <row s="12668" customFormat="1" customHeight="1" ht="11.549999999999999">
      <c r="A63" s="1157"/>
      <c r="B63" s="1806"/>
      <c r="C63" s="1806"/>
      <c r="D63" s="521"/>
      <c r="K63" s="1330"/>
      <c r="L63" s="1806"/>
      <c r="M63" s="1806"/>
      <c r="N63" s="1330"/>
      <c r="O63" s="1330"/>
      <c r="P63" s="1330"/>
      <c r="Q63" s="1330"/>
      <c r="R63" s="1806"/>
      <c r="S63" s="1330"/>
      <c r="T63" s="1330"/>
      <c r="U63" s="714"/>
      <c r="V63" s="1330"/>
      <c r="W63" s="1330"/>
      <c r="X63" s="1330"/>
      <c r="Y63" s="1330"/>
      <c r="Z63" s="1330"/>
      <c r="AA63" s="1802"/>
      <c r="AB63" s="736"/>
      <c r="AC63" s="736"/>
      <c r="AD63" s="736"/>
      <c r="AE63" s="736"/>
      <c r="AF63" s="1811">
        <v>11</v>
      </c>
    </row>
    <row s="12668" customFormat="1" customHeight="1" ht="11.549999999999999">
      <c r="A64" s="1157"/>
      <c r="B64" s="1806"/>
      <c r="C64" s="1806"/>
      <c r="D64" s="521"/>
      <c r="K64" s="1330"/>
      <c r="L64" s="1806"/>
      <c r="M64" s="1806"/>
      <c r="N64" s="1330"/>
      <c r="O64" s="1330"/>
      <c r="P64" s="1330"/>
      <c r="Q64" s="1330"/>
      <c r="R64" s="1806"/>
      <c r="S64" s="1330"/>
      <c r="T64" s="1330"/>
      <c r="U64" s="714"/>
      <c r="V64" s="1330"/>
      <c r="W64" s="1330"/>
      <c r="X64" s="1330"/>
      <c r="Y64" s="1330"/>
      <c r="Z64" s="1330"/>
      <c r="AA64" s="1802"/>
      <c r="AB64" s="736"/>
      <c r="AC64" s="736"/>
      <c r="AD64" s="736"/>
      <c r="AE64" s="736"/>
      <c r="AF64" s="1811">
        <v>11</v>
      </c>
    </row>
    <row s="12668" customFormat="1" customHeight="1" ht="11.549999999999999">
      <c r="A65" s="1157"/>
      <c r="B65" s="1806"/>
      <c r="C65" s="1806"/>
      <c r="D65" s="521"/>
      <c r="K65" s="1330"/>
      <c r="L65" s="1806"/>
      <c r="M65" s="1806"/>
      <c r="N65" s="1330"/>
      <c r="O65" s="1330"/>
      <c r="P65" s="1330"/>
      <c r="Q65" s="1330"/>
      <c r="R65" s="1806"/>
      <c r="S65" s="1330"/>
      <c r="T65" s="1330"/>
      <c r="U65" s="714"/>
      <c r="V65" s="1330"/>
      <c r="W65" s="1330"/>
      <c r="X65" s="1330"/>
      <c r="Y65" s="1330"/>
      <c r="Z65" s="1330"/>
      <c r="AA65" s="1802"/>
      <c r="AB65" s="736"/>
      <c r="AC65" s="736"/>
      <c r="AD65" s="736"/>
      <c r="AE65" s="736"/>
      <c r="AF65" s="1811">
        <v>11</v>
      </c>
    </row>
    <row s="12668" customFormat="1" customHeight="1" ht="11.549999999999999">
      <c r="A66" s="1157"/>
      <c r="B66" s="1806"/>
      <c r="C66" s="1806"/>
      <c r="D66" s="521"/>
      <c r="K66" s="1330"/>
      <c r="L66" s="1806"/>
      <c r="M66" s="1806"/>
      <c r="N66" s="1330"/>
      <c r="O66" s="1330"/>
      <c r="P66" s="1330"/>
      <c r="Q66" s="1330"/>
      <c r="R66" s="1806"/>
      <c r="S66" s="1330"/>
      <c r="T66" s="1330"/>
      <c r="U66" s="714"/>
      <c r="V66" s="1330"/>
      <c r="W66" s="1330"/>
      <c r="X66" s="1330"/>
      <c r="Y66" s="1330"/>
      <c r="Z66" s="1330"/>
      <c r="AA66" s="1802"/>
      <c r="AB66" s="736"/>
      <c r="AC66" s="736"/>
      <c r="AD66" s="736"/>
      <c r="AE66" s="736"/>
      <c r="AF66" s="1811">
        <v>11</v>
      </c>
    </row>
    <row s="12668" customFormat="1" customHeight="1" ht="11.549999999999999">
      <c r="A67" s="1157"/>
      <c r="B67" s="1806"/>
      <c r="C67" s="1806"/>
      <c r="D67" s="521"/>
      <c r="K67" s="1330"/>
      <c r="L67" s="1806"/>
      <c r="M67" s="1806"/>
      <c r="N67" s="1330"/>
      <c r="O67" s="1330"/>
      <c r="P67" s="1330"/>
      <c r="Q67" s="1330"/>
      <c r="R67" s="1806"/>
      <c r="S67" s="1330"/>
      <c r="T67" s="1330"/>
      <c r="U67" s="714"/>
      <c r="V67" s="1330"/>
      <c r="W67" s="1330"/>
      <c r="X67" s="1330"/>
      <c r="Y67" s="1330"/>
      <c r="Z67" s="1330"/>
      <c r="AA67" s="1802"/>
      <c r="AB67" s="736"/>
      <c r="AC67" s="736"/>
      <c r="AD67" s="736"/>
      <c r="AE67" s="736"/>
      <c r="AF67" s="1811">
        <v>11</v>
      </c>
    </row>
    <row s="12668" customFormat="1" customHeight="1" ht="11.549999999999999">
      <c r="A68" s="1157"/>
      <c r="B68" s="1806"/>
      <c r="C68" s="1806"/>
      <c r="D68" s="521"/>
      <c r="K68" s="1330"/>
      <c r="L68" s="1806"/>
      <c r="M68" s="1806"/>
      <c r="N68" s="1330"/>
      <c r="O68" s="1330"/>
      <c r="P68" s="1330"/>
      <c r="Q68" s="1330"/>
      <c r="R68" s="1806"/>
      <c r="S68" s="1330"/>
      <c r="T68" s="1330"/>
      <c r="U68" s="714"/>
      <c r="V68" s="1330"/>
      <c r="W68" s="1330"/>
      <c r="X68" s="1330"/>
      <c r="Y68" s="1330"/>
      <c r="Z68" s="1330"/>
      <c r="AA68" s="1802"/>
      <c r="AB68" s="736"/>
      <c r="AC68" s="736"/>
      <c r="AD68" s="736"/>
      <c r="AE68" s="736"/>
      <c r="AF68" s="1811">
        <v>11</v>
      </c>
    </row>
    <row s="12668" customFormat="1" customHeight="1" ht="11.549999999999999">
      <c r="A69" s="1157"/>
      <c r="B69" s="1806"/>
      <c r="C69" s="1806"/>
      <c r="D69" s="521"/>
      <c r="K69" s="1330"/>
      <c r="L69" s="1806"/>
      <c r="M69" s="1806"/>
      <c r="N69" s="1330"/>
      <c r="O69" s="1330"/>
      <c r="P69" s="1330"/>
      <c r="Q69" s="1330"/>
      <c r="R69" s="1806"/>
      <c r="S69" s="1330"/>
      <c r="T69" s="1330"/>
      <c r="U69" s="714"/>
      <c r="V69" s="1330"/>
      <c r="W69" s="1330"/>
      <c r="X69" s="1330"/>
      <c r="Y69" s="1330"/>
      <c r="Z69" s="1330"/>
      <c r="AA69" s="1802"/>
      <c r="AB69" s="736"/>
      <c r="AC69" s="736"/>
      <c r="AD69" s="736"/>
      <c r="AE69" s="736"/>
      <c r="AF69" s="1811">
        <v>11</v>
      </c>
    </row>
    <row s="12668" customFormat="1" customHeight="1" ht="11.549999999999999">
      <c r="A70" s="1157"/>
      <c r="B70" s="1806"/>
      <c r="C70" s="1806"/>
      <c r="D70" s="521"/>
      <c r="K70" s="1330"/>
      <c r="L70" s="1806"/>
      <c r="M70" s="1806"/>
      <c r="N70" s="1330"/>
      <c r="O70" s="1330"/>
      <c r="P70" s="1330"/>
      <c r="Q70" s="1330"/>
      <c r="R70" s="1806"/>
      <c r="S70" s="1330"/>
      <c r="T70" s="1330"/>
      <c r="U70" s="714"/>
      <c r="V70" s="1330"/>
      <c r="W70" s="1330"/>
      <c r="X70" s="1330"/>
      <c r="Y70" s="1330"/>
      <c r="Z70" s="1330"/>
      <c r="AA70" s="1802"/>
      <c r="AB70" s="736"/>
      <c r="AC70" s="736"/>
      <c r="AD70" s="736"/>
      <c r="AE70" s="736"/>
      <c r="AF70" s="1811">
        <v>11</v>
      </c>
    </row>
    <row s="12668" customFormat="1" customHeight="1" ht="11.549999999999999">
      <c r="A71" s="1157"/>
      <c r="B71" s="1806"/>
      <c r="C71" s="1806"/>
      <c r="D71" s="521"/>
      <c r="K71" s="1330"/>
      <c r="L71" s="1806"/>
      <c r="M71" s="1806"/>
      <c r="N71" s="1330"/>
      <c r="O71" s="1330"/>
      <c r="P71" s="1330"/>
      <c r="Q71" s="1330"/>
      <c r="R71" s="1806"/>
      <c r="S71" s="1330"/>
      <c r="T71" s="1330"/>
      <c r="U71" s="714"/>
      <c r="V71" s="1330"/>
      <c r="W71" s="1330"/>
      <c r="X71" s="1330"/>
      <c r="Y71" s="1330"/>
      <c r="Z71" s="1330"/>
      <c r="AA71" s="1802"/>
      <c r="AB71" s="736"/>
      <c r="AC71" s="736"/>
      <c r="AD71" s="736"/>
      <c r="AE71" s="736"/>
      <c r="AF71" s="1811">
        <v>11</v>
      </c>
    </row>
    <row s="12668" customFormat="1" customHeight="1" ht="11.549999999999999">
      <c r="A72" s="1157"/>
      <c r="B72" s="1806"/>
      <c r="C72" s="1806"/>
      <c r="D72" s="521"/>
      <c r="K72" s="1330"/>
      <c r="L72" s="1806"/>
      <c r="M72" s="1806"/>
      <c r="N72" s="1330"/>
      <c r="O72" s="1330"/>
      <c r="P72" s="1330"/>
      <c r="Q72" s="1330"/>
      <c r="R72" s="1806"/>
      <c r="S72" s="1330"/>
      <c r="T72" s="1330"/>
      <c r="U72" s="714"/>
      <c r="V72" s="1330"/>
      <c r="W72" s="1330"/>
      <c r="X72" s="1330"/>
      <c r="Y72" s="1330"/>
      <c r="Z72" s="1330"/>
      <c r="AA72" s="1802"/>
      <c r="AB72" s="736"/>
      <c r="AC72" s="736"/>
      <c r="AD72" s="736"/>
      <c r="AE72" s="736"/>
      <c r="AF72" s="1811">
        <v>11</v>
      </c>
    </row>
    <row s="12668" customFormat="1" customHeight="1" ht="11.549999999999999">
      <c r="A73" s="1157"/>
      <c r="B73" s="1806"/>
      <c r="C73" s="1806"/>
      <c r="D73" s="521"/>
      <c r="K73" s="1330"/>
      <c r="L73" s="1806"/>
      <c r="M73" s="1806"/>
      <c r="N73" s="1330"/>
      <c r="O73" s="1330"/>
      <c r="P73" s="1330"/>
      <c r="Q73" s="1330"/>
      <c r="R73" s="1806"/>
      <c r="S73" s="1330"/>
      <c r="T73" s="1330"/>
      <c r="U73" s="714"/>
      <c r="V73" s="1330"/>
      <c r="W73" s="1330"/>
      <c r="X73" s="1330"/>
      <c r="Y73" s="1330"/>
      <c r="Z73" s="1330"/>
      <c r="AA73" s="1802"/>
      <c r="AB73" s="736"/>
      <c r="AC73" s="736"/>
      <c r="AD73" s="736"/>
      <c r="AE73" s="736"/>
      <c r="AF73" s="1811">
        <v>11</v>
      </c>
    </row>
    <row s="12668" customFormat="1" customHeight="1" ht="11.549999999999999">
      <c r="A74" s="1157"/>
      <c r="B74" s="1806"/>
      <c r="C74" s="1806"/>
      <c r="D74" s="521"/>
      <c r="K74" s="1330"/>
      <c r="L74" s="1806"/>
      <c r="M74" s="1806"/>
      <c r="N74" s="1330"/>
      <c r="O74" s="1330"/>
      <c r="P74" s="1330"/>
      <c r="Q74" s="1330"/>
      <c r="R74" s="1806"/>
      <c r="S74" s="1330"/>
      <c r="T74" s="1330"/>
      <c r="U74" s="714"/>
      <c r="V74" s="1330"/>
      <c r="W74" s="1330"/>
      <c r="X74" s="1330"/>
      <c r="Y74" s="1330"/>
      <c r="Z74" s="1330"/>
      <c r="AA74" s="1802"/>
      <c r="AB74" s="736"/>
      <c r="AC74" s="736"/>
      <c r="AD74" s="736"/>
      <c r="AE74" s="736"/>
      <c r="AF74" s="1811">
        <v>11</v>
      </c>
    </row>
    <row s="12668" customFormat="1" customHeight="1" ht="11.549999999999999">
      <c r="A75" s="1157"/>
      <c r="B75" s="1806"/>
      <c r="C75" s="1806"/>
      <c r="D75" s="521"/>
      <c r="K75" s="1330"/>
      <c r="L75" s="1806"/>
      <c r="M75" s="1806"/>
      <c r="N75" s="1330"/>
      <c r="O75" s="1330"/>
      <c r="P75" s="1330"/>
      <c r="Q75" s="1330"/>
      <c r="R75" s="1806"/>
      <c r="S75" s="1330"/>
      <c r="T75" s="1330"/>
      <c r="U75" s="714"/>
      <c r="V75" s="1330"/>
      <c r="W75" s="1330"/>
      <c r="X75" s="1330"/>
      <c r="Y75" s="1330"/>
      <c r="Z75" s="1330"/>
      <c r="AA75" s="1802"/>
      <c r="AB75" s="736"/>
      <c r="AC75" s="736"/>
      <c r="AD75" s="736"/>
      <c r="AE75" s="736"/>
      <c r="AF75" s="1811">
        <v>11</v>
      </c>
    </row>
    <row s="12668" customFormat="1" customHeight="1" ht="11.549999999999999">
      <c r="A76" s="1157"/>
      <c r="B76" s="1806"/>
      <c r="C76" s="1806"/>
      <c r="D76" s="521"/>
      <c r="K76" s="1330"/>
      <c r="L76" s="1806"/>
      <c r="M76" s="1806"/>
      <c r="N76" s="1330"/>
      <c r="O76" s="1330"/>
      <c r="P76" s="1330"/>
      <c r="Q76" s="1330"/>
      <c r="R76" s="1806"/>
      <c r="S76" s="1330"/>
      <c r="T76" s="1330"/>
      <c r="U76" s="714"/>
      <c r="V76" s="1330"/>
      <c r="W76" s="1330"/>
      <c r="X76" s="1330"/>
      <c r="Y76" s="1330"/>
      <c r="Z76" s="1330"/>
      <c r="AA76" s="1802"/>
      <c r="AB76" s="736"/>
      <c r="AC76" s="736"/>
      <c r="AD76" s="736"/>
      <c r="AE76" s="736"/>
      <c r="AF76" s="1811">
        <v>11</v>
      </c>
    </row>
    <row s="12668" customFormat="1" customHeight="1" ht="11.549999999999999">
      <c r="A77" s="1157"/>
      <c r="B77" s="1806"/>
      <c r="C77" s="1806"/>
      <c r="D77" s="521"/>
      <c r="K77" s="1330"/>
      <c r="L77" s="1806"/>
      <c r="M77" s="1806"/>
      <c r="N77" s="1330"/>
      <c r="O77" s="1330"/>
      <c r="P77" s="1330"/>
      <c r="Q77" s="1330"/>
      <c r="R77" s="1806"/>
      <c r="S77" s="1330"/>
      <c r="T77" s="1330"/>
      <c r="U77" s="714"/>
      <c r="V77" s="1330"/>
      <c r="W77" s="1330"/>
      <c r="X77" s="1330"/>
      <c r="Y77" s="1330"/>
      <c r="Z77" s="1330"/>
      <c r="AA77" s="1802"/>
      <c r="AB77" s="736"/>
      <c r="AC77" s="736"/>
      <c r="AD77" s="736"/>
      <c r="AE77" s="736"/>
      <c r="AF77" s="1811">
        <v>11</v>
      </c>
    </row>
    <row s="12668" customFormat="1" customHeight="1" ht="11.549999999999999">
      <c r="A78" s="1157"/>
      <c r="B78" s="1806"/>
      <c r="C78" s="1806"/>
      <c r="D78" s="521"/>
      <c r="K78" s="1330"/>
      <c r="L78" s="1806"/>
      <c r="M78" s="1806"/>
      <c r="N78" s="1330"/>
      <c r="O78" s="1330"/>
      <c r="P78" s="1330"/>
      <c r="Q78" s="1330"/>
      <c r="R78" s="1806"/>
      <c r="S78" s="1330"/>
      <c r="T78" s="1330"/>
      <c r="U78" s="714"/>
      <c r="V78" s="1330"/>
      <c r="W78" s="1330"/>
      <c r="X78" s="1330"/>
      <c r="Y78" s="1330"/>
      <c r="Z78" s="1330"/>
      <c r="AA78" s="1802"/>
      <c r="AB78" s="736"/>
      <c r="AC78" s="736"/>
      <c r="AD78" s="736"/>
      <c r="AE78" s="736"/>
      <c r="AF78" s="1811">
        <v>11</v>
      </c>
    </row>
    <row s="12668" customFormat="1" customHeight="1" ht="11.549999999999999">
      <c r="A79" s="1157"/>
      <c r="B79" s="1806"/>
      <c r="C79" s="1806"/>
      <c r="D79" s="521"/>
      <c r="K79" s="1330"/>
      <c r="L79" s="1806"/>
      <c r="M79" s="1806"/>
      <c r="N79" s="1330"/>
      <c r="O79" s="1330"/>
      <c r="P79" s="1330"/>
      <c r="Q79" s="1330"/>
      <c r="R79" s="1806"/>
      <c r="S79" s="1330"/>
      <c r="T79" s="1330"/>
      <c r="U79" s="714"/>
      <c r="V79" s="1330"/>
      <c r="W79" s="1330"/>
      <c r="X79" s="1330"/>
      <c r="Y79" s="1330"/>
      <c r="Z79" s="1330"/>
      <c r="AA79" s="1802"/>
      <c r="AB79" s="736"/>
      <c r="AC79" s="736"/>
      <c r="AD79" s="736"/>
      <c r="AE79" s="736"/>
      <c r="AF79" s="1811">
        <v>11</v>
      </c>
    </row>
    <row s="12668" customFormat="1" customHeight="1" ht="11.549999999999999">
      <c r="A80" s="1157"/>
      <c r="B80" s="1806"/>
      <c r="C80" s="1806"/>
      <c r="D80" s="521"/>
      <c r="K80" s="1330"/>
      <c r="L80" s="1806"/>
      <c r="M80" s="1806"/>
      <c r="N80" s="1330"/>
      <c r="O80" s="1330"/>
      <c r="P80" s="1330"/>
      <c r="Q80" s="1330"/>
      <c r="R80" s="1806"/>
      <c r="S80" s="1330"/>
      <c r="T80" s="1330"/>
      <c r="U80" s="714"/>
      <c r="V80" s="1330"/>
      <c r="W80" s="1330"/>
      <c r="X80" s="1330"/>
      <c r="Y80" s="1330"/>
      <c r="Z80" s="1330"/>
      <c r="AA80" s="1802"/>
      <c r="AB80" s="736"/>
      <c r="AC80" s="736"/>
      <c r="AD80" s="736"/>
      <c r="AE80" s="736"/>
      <c r="AF80" s="1811">
        <v>11</v>
      </c>
    </row>
    <row s="12668" customFormat="1" customHeight="1" ht="11.549999999999999">
      <c r="A81" s="1157"/>
      <c r="B81" s="1806"/>
      <c r="C81" s="1806"/>
      <c r="D81" s="521"/>
      <c r="K81" s="1330"/>
      <c r="L81" s="1806"/>
      <c r="M81" s="1806"/>
      <c r="N81" s="1330"/>
      <c r="O81" s="1330"/>
      <c r="P81" s="1330"/>
      <c r="Q81" s="1330"/>
      <c r="R81" s="1806"/>
      <c r="S81" s="1330"/>
      <c r="T81" s="1330"/>
      <c r="U81" s="714"/>
      <c r="V81" s="1330"/>
      <c r="W81" s="1330"/>
      <c r="X81" s="1330"/>
      <c r="Y81" s="1330"/>
      <c r="Z81" s="1330"/>
      <c r="AA81" s="1802"/>
      <c r="AB81" s="736"/>
      <c r="AC81" s="736"/>
      <c r="AD81" s="736"/>
      <c r="AE81" s="736"/>
      <c r="AF81" s="1811">
        <v>11</v>
      </c>
    </row>
    <row s="12668" customFormat="1" customHeight="1" ht="11.549999999999999">
      <c r="A82" s="1157"/>
      <c r="B82" s="1806"/>
      <c r="C82" s="1806"/>
      <c r="D82" s="521"/>
      <c r="K82" s="1330"/>
      <c r="L82" s="1806"/>
      <c r="M82" s="1806"/>
      <c r="N82" s="1330"/>
      <c r="O82" s="1330"/>
      <c r="P82" s="1330"/>
      <c r="Q82" s="1330"/>
      <c r="R82" s="1806"/>
      <c r="S82" s="1330"/>
      <c r="T82" s="1330"/>
      <c r="U82" s="714"/>
      <c r="V82" s="1330"/>
      <c r="W82" s="1330"/>
      <c r="X82" s="1330"/>
      <c r="Y82" s="1330"/>
      <c r="Z82" s="1330"/>
      <c r="AA82" s="1802"/>
      <c r="AB82" s="736"/>
      <c r="AC82" s="736"/>
      <c r="AD82" s="736"/>
      <c r="AE82" s="736"/>
      <c r="AF82" s="1811">
        <v>11</v>
      </c>
    </row>
    <row s="12668" customFormat="1" customHeight="1" ht="11.549999999999999">
      <c r="A83" s="1157"/>
      <c r="B83" s="1806"/>
      <c r="C83" s="1806"/>
      <c r="D83" s="521"/>
      <c r="K83" s="1330"/>
      <c r="L83" s="1806"/>
      <c r="M83" s="1806"/>
      <c r="N83" s="1330"/>
      <c r="O83" s="1330"/>
      <c r="P83" s="1330"/>
      <c r="Q83" s="1330"/>
      <c r="R83" s="1806"/>
      <c r="S83" s="1330"/>
      <c r="T83" s="1330"/>
      <c r="U83" s="714"/>
      <c r="V83" s="1330"/>
      <c r="W83" s="1330"/>
      <c r="X83" s="1330"/>
      <c r="Y83" s="1330"/>
      <c r="Z83" s="1330"/>
      <c r="AA83" s="1802"/>
      <c r="AB83" s="736"/>
      <c r="AC83" s="736"/>
      <c r="AD83" s="736"/>
      <c r="AE83" s="736"/>
      <c r="AF83" s="1811">
        <v>11</v>
      </c>
    </row>
    <row s="12668" customFormat="1" customHeight="1" ht="11.549999999999999">
      <c r="A84" s="1157"/>
      <c r="B84" s="1806"/>
      <c r="C84" s="1806"/>
      <c r="D84" s="521"/>
      <c r="K84" s="1330"/>
      <c r="L84" s="1806"/>
      <c r="M84" s="1806"/>
      <c r="N84" s="1330"/>
      <c r="O84" s="1330"/>
      <c r="P84" s="1330"/>
      <c r="Q84" s="1330"/>
      <c r="R84" s="1806"/>
      <c r="S84" s="1330"/>
      <c r="T84" s="1330"/>
      <c r="U84" s="714"/>
      <c r="V84" s="1330"/>
      <c r="W84" s="1330"/>
      <c r="X84" s="1330"/>
      <c r="Y84" s="1330"/>
      <c r="Z84" s="1330"/>
      <c r="AA84" s="1802"/>
      <c r="AB84" s="736"/>
      <c r="AC84" s="736"/>
      <c r="AD84" s="736"/>
      <c r="AE84" s="736"/>
      <c r="AF84" s="1811">
        <v>11</v>
      </c>
    </row>
    <row s="12668" customFormat="1" customHeight="1" ht="11.549999999999999">
      <c r="A85" s="1157"/>
      <c r="B85" s="1806"/>
      <c r="C85" s="1806"/>
      <c r="D85" s="521"/>
      <c r="K85" s="1330"/>
      <c r="L85" s="1806"/>
      <c r="M85" s="1806"/>
      <c r="N85" s="1330"/>
      <c r="O85" s="1330"/>
      <c r="P85" s="1330"/>
      <c r="Q85" s="1330"/>
      <c r="R85" s="1806"/>
      <c r="S85" s="1330"/>
      <c r="T85" s="1330"/>
      <c r="U85" s="714"/>
      <c r="V85" s="1330"/>
      <c r="W85" s="1330"/>
      <c r="X85" s="1330"/>
      <c r="Y85" s="1330"/>
      <c r="Z85" s="1330"/>
      <c r="AA85" s="1802"/>
      <c r="AB85" s="736"/>
      <c r="AC85" s="736"/>
      <c r="AD85" s="736"/>
      <c r="AE85" s="736"/>
      <c r="AF85" s="1811">
        <v>11</v>
      </c>
    </row>
    <row s="12668" customFormat="1" customHeight="1" ht="11.549999999999999">
      <c r="A86" s="1157"/>
      <c r="B86" s="1806"/>
      <c r="C86" s="1806"/>
      <c r="D86" s="521"/>
      <c r="K86" s="1330"/>
      <c r="L86" s="1806"/>
      <c r="M86" s="1806"/>
      <c r="N86" s="1330"/>
      <c r="O86" s="1330"/>
      <c r="P86" s="1330"/>
      <c r="Q86" s="1330"/>
      <c r="R86" s="1806"/>
      <c r="S86" s="1330"/>
      <c r="T86" s="1330"/>
      <c r="U86" s="714"/>
      <c r="V86" s="1330"/>
      <c r="W86" s="1330"/>
      <c r="X86" s="1330"/>
      <c r="Y86" s="1330"/>
      <c r="Z86" s="1330"/>
      <c r="AA86" s="1802"/>
      <c r="AB86" s="736"/>
      <c r="AC86" s="736"/>
      <c r="AD86" s="736"/>
      <c r="AE86" s="736"/>
      <c r="AF86" s="1811">
        <v>11</v>
      </c>
    </row>
    <row s="12668" customFormat="1" customHeight="1" ht="11.549999999999999">
      <c r="A87" s="1157"/>
      <c r="B87" s="1806"/>
      <c r="C87" s="1806"/>
      <c r="D87" s="521"/>
      <c r="K87" s="1330"/>
      <c r="L87" s="1806"/>
      <c r="M87" s="1806"/>
      <c r="N87" s="1330"/>
      <c r="O87" s="1330"/>
      <c r="P87" s="1330"/>
      <c r="Q87" s="1330"/>
      <c r="R87" s="1806"/>
      <c r="S87" s="1330"/>
      <c r="T87" s="1330"/>
      <c r="U87" s="714"/>
      <c r="V87" s="1330"/>
      <c r="W87" s="1330"/>
      <c r="X87" s="1330"/>
      <c r="Y87" s="1330"/>
      <c r="Z87" s="1330"/>
      <c r="AA87" s="1802"/>
      <c r="AB87" s="736"/>
      <c r="AC87" s="736"/>
      <c r="AD87" s="736"/>
      <c r="AE87" s="736"/>
      <c r="AF87" s="1811">
        <v>11</v>
      </c>
    </row>
    <row s="12668" customFormat="1" customHeight="1" ht="11.549999999999999">
      <c r="A88" s="1157"/>
      <c r="B88" s="1806"/>
      <c r="C88" s="1806"/>
      <c r="D88" s="521"/>
      <c r="K88" s="1330"/>
      <c r="L88" s="1806"/>
      <c r="M88" s="1806"/>
      <c r="N88" s="1330"/>
      <c r="O88" s="1330"/>
      <c r="P88" s="1330"/>
      <c r="Q88" s="1330"/>
      <c r="R88" s="1806"/>
      <c r="S88" s="1330"/>
      <c r="T88" s="1330"/>
      <c r="U88" s="714"/>
      <c r="V88" s="1330"/>
      <c r="W88" s="1330"/>
      <c r="X88" s="1330"/>
      <c r="Y88" s="1330"/>
      <c r="Z88" s="1330"/>
      <c r="AA88" s="1802"/>
      <c r="AB88" s="736"/>
      <c r="AC88" s="736"/>
      <c r="AD88" s="736"/>
      <c r="AE88" s="736"/>
      <c r="AF88" s="1811">
        <v>11</v>
      </c>
    </row>
    <row s="12668" customFormat="1" customHeight="1" ht="11.549999999999999">
      <c r="A89" s="1157"/>
      <c r="B89" s="1806"/>
      <c r="C89" s="1806"/>
      <c r="D89" s="521"/>
      <c r="K89" s="1330"/>
      <c r="L89" s="1806"/>
      <c r="M89" s="1806"/>
      <c r="N89" s="1330"/>
      <c r="O89" s="1330"/>
      <c r="P89" s="1330"/>
      <c r="Q89" s="1330"/>
      <c r="R89" s="1806"/>
      <c r="S89" s="1330"/>
      <c r="T89" s="1330"/>
      <c r="U89" s="714"/>
      <c r="V89" s="1330"/>
      <c r="W89" s="1330"/>
      <c r="X89" s="1330"/>
      <c r="Y89" s="1330"/>
      <c r="Z89" s="1330"/>
      <c r="AA89" s="1802"/>
      <c r="AB89" s="736"/>
      <c r="AC89" s="736"/>
      <c r="AD89" s="736"/>
      <c r="AE89" s="736"/>
      <c r="AF89" s="1811">
        <v>11</v>
      </c>
    </row>
    <row s="12668" customFormat="1" customHeight="1" ht="11.549999999999999">
      <c r="A90" s="1157"/>
      <c r="B90" s="1806"/>
      <c r="C90" s="1806"/>
      <c r="D90" s="521"/>
      <c r="K90" s="1330"/>
      <c r="L90" s="1806"/>
      <c r="M90" s="1806"/>
      <c r="N90" s="1330"/>
      <c r="O90" s="1330"/>
      <c r="P90" s="1330"/>
      <c r="Q90" s="1330"/>
      <c r="R90" s="1806"/>
      <c r="S90" s="1330"/>
      <c r="T90" s="1330"/>
      <c r="U90" s="714"/>
      <c r="V90" s="1330"/>
      <c r="W90" s="1330"/>
      <c r="X90" s="1330"/>
      <c r="Y90" s="1330"/>
      <c r="Z90" s="1330"/>
      <c r="AA90" s="1802"/>
      <c r="AB90" s="736"/>
      <c r="AC90" s="736"/>
      <c r="AD90" s="736"/>
      <c r="AE90" s="736"/>
      <c r="AF90" s="1811">
        <v>11</v>
      </c>
    </row>
    <row s="12668" customFormat="1" customHeight="1" ht="11.549999999999999">
      <c r="A91" s="1157"/>
      <c r="B91" s="1806"/>
      <c r="C91" s="1806"/>
      <c r="D91" s="521"/>
      <c r="K91" s="1330"/>
      <c r="L91" s="1806"/>
      <c r="M91" s="1806"/>
      <c r="N91" s="1330"/>
      <c r="O91" s="1330"/>
      <c r="P91" s="1330"/>
      <c r="Q91" s="1330"/>
      <c r="R91" s="1806"/>
      <c r="S91" s="1330"/>
      <c r="T91" s="1330"/>
      <c r="U91" s="714"/>
      <c r="V91" s="1330"/>
      <c r="W91" s="1330"/>
      <c r="X91" s="1330"/>
      <c r="Y91" s="1330"/>
      <c r="Z91" s="1330"/>
      <c r="AA91" s="1802"/>
      <c r="AB91" s="736"/>
      <c r="AC91" s="736"/>
      <c r="AD91" s="736"/>
      <c r="AE91" s="736"/>
      <c r="AF91" s="1811">
        <v>11</v>
      </c>
    </row>
    <row s="12668" customFormat="1" customHeight="1" ht="11.549999999999999">
      <c r="A92" s="1157"/>
      <c r="B92" s="1806"/>
      <c r="C92" s="1806"/>
      <c r="D92" s="521"/>
      <c r="K92" s="1330"/>
      <c r="L92" s="1806"/>
      <c r="M92" s="1806"/>
      <c r="N92" s="1330"/>
      <c r="O92" s="1330"/>
      <c r="P92" s="1330"/>
      <c r="Q92" s="1330"/>
      <c r="R92" s="1806"/>
      <c r="S92" s="1330"/>
      <c r="T92" s="1330"/>
      <c r="U92" s="714"/>
      <c r="V92" s="1330"/>
      <c r="W92" s="1330"/>
      <c r="X92" s="1330"/>
      <c r="Y92" s="1330"/>
      <c r="Z92" s="1330"/>
      <c r="AA92" s="1802"/>
      <c r="AB92" s="736"/>
      <c r="AC92" s="736"/>
      <c r="AD92" s="736"/>
      <c r="AE92" s="736"/>
      <c r="AF92" s="1811">
        <v>11</v>
      </c>
    </row>
    <row s="12668" customFormat="1" customHeight="1" ht="11.549999999999999">
      <c r="A93" s="1157"/>
      <c r="B93" s="1806"/>
      <c r="C93" s="1806"/>
      <c r="D93" s="521"/>
      <c r="K93" s="1330"/>
      <c r="L93" s="1806"/>
      <c r="M93" s="1806"/>
      <c r="N93" s="1330"/>
      <c r="O93" s="1330"/>
      <c r="P93" s="1330"/>
      <c r="Q93" s="1330"/>
      <c r="R93" s="1806"/>
      <c r="S93" s="1330"/>
      <c r="T93" s="1330"/>
      <c r="U93" s="714"/>
      <c r="V93" s="1330"/>
      <c r="W93" s="1330"/>
      <c r="X93" s="1330"/>
      <c r="Y93" s="1330"/>
      <c r="Z93" s="1330"/>
      <c r="AA93" s="1802"/>
      <c r="AB93" s="736"/>
      <c r="AC93" s="736"/>
      <c r="AD93" s="736"/>
      <c r="AE93" s="736"/>
      <c r="AF93" s="1811">
        <v>11</v>
      </c>
    </row>
    <row s="12668" customFormat="1" customHeight="1" ht="11.549999999999999">
      <c r="A94" s="1157"/>
      <c r="B94" s="1806"/>
      <c r="C94" s="1806"/>
      <c r="D94" s="521"/>
      <c r="K94" s="1330"/>
      <c r="L94" s="1806"/>
      <c r="M94" s="1806"/>
      <c r="N94" s="1330"/>
      <c r="O94" s="1330"/>
      <c r="P94" s="1330"/>
      <c r="Q94" s="1330"/>
      <c r="R94" s="1806"/>
      <c r="S94" s="1330"/>
      <c r="T94" s="1330"/>
      <c r="U94" s="714"/>
      <c r="V94" s="1330"/>
      <c r="W94" s="1330"/>
      <c r="X94" s="1330"/>
      <c r="Y94" s="1330"/>
      <c r="Z94" s="1330"/>
      <c r="AA94" s="1802"/>
      <c r="AB94" s="736"/>
      <c r="AC94" s="736"/>
      <c r="AD94" s="736"/>
      <c r="AE94" s="736"/>
      <c r="AF94" s="1811">
        <v>11</v>
      </c>
    </row>
    <row s="12668" customFormat="1" customHeight="1" ht="11.549999999999999">
      <c r="A95" s="1157"/>
      <c r="B95" s="1806"/>
      <c r="C95" s="1806"/>
      <c r="D95" s="521"/>
      <c r="K95" s="1330"/>
      <c r="L95" s="1806"/>
      <c r="M95" s="1806"/>
      <c r="N95" s="1330"/>
      <c r="O95" s="1330"/>
      <c r="P95" s="1330"/>
      <c r="Q95" s="1330"/>
      <c r="R95" s="1806"/>
      <c r="S95" s="1330"/>
      <c r="T95" s="1330"/>
      <c r="U95" s="714"/>
      <c r="V95" s="1330"/>
      <c r="W95" s="1330"/>
      <c r="X95" s="1330"/>
      <c r="Y95" s="1330"/>
      <c r="Z95" s="1330"/>
      <c r="AA95" s="1802"/>
      <c r="AB95" s="736"/>
      <c r="AC95" s="736"/>
      <c r="AD95" s="736"/>
      <c r="AE95" s="736"/>
      <c r="AF95" s="1811">
        <v>11</v>
      </c>
    </row>
    <row s="12668" customFormat="1" customHeight="1" ht="11.549999999999999">
      <c r="A96" s="1157"/>
      <c r="B96" s="1806"/>
      <c r="C96" s="1806"/>
      <c r="D96" s="521"/>
      <c r="K96" s="1330"/>
      <c r="L96" s="1806"/>
      <c r="M96" s="1806"/>
      <c r="N96" s="1330"/>
      <c r="O96" s="1330"/>
      <c r="P96" s="1330"/>
      <c r="Q96" s="1330"/>
      <c r="R96" s="1806"/>
      <c r="S96" s="1330"/>
      <c r="T96" s="1330"/>
      <c r="U96" s="714"/>
      <c r="V96" s="1330"/>
      <c r="W96" s="1330"/>
      <c r="X96" s="1330"/>
      <c r="Y96" s="1330"/>
      <c r="Z96" s="1330"/>
      <c r="AA96" s="1802"/>
      <c r="AB96" s="736"/>
      <c r="AC96" s="736"/>
      <c r="AD96" s="736"/>
      <c r="AE96" s="736"/>
      <c r="AF96" s="1811">
        <v>11</v>
      </c>
    </row>
    <row s="12668" customFormat="1" customHeight="1" ht="11.549999999999999">
      <c r="A97" s="1157"/>
      <c r="B97" s="1806"/>
      <c r="C97" s="1806"/>
      <c r="D97" s="521"/>
      <c r="K97" s="1330"/>
      <c r="L97" s="1806"/>
      <c r="M97" s="1806"/>
      <c r="N97" s="1330"/>
      <c r="O97" s="1330"/>
      <c r="P97" s="1330"/>
      <c r="Q97" s="1330"/>
      <c r="R97" s="1806"/>
      <c r="S97" s="1330"/>
      <c r="T97" s="1330"/>
      <c r="U97" s="714"/>
      <c r="V97" s="1330"/>
      <c r="W97" s="1330"/>
      <c r="X97" s="1330"/>
      <c r="Y97" s="1330"/>
      <c r="Z97" s="1330"/>
      <c r="AA97" s="1802"/>
      <c r="AB97" s="736"/>
      <c r="AC97" s="736"/>
      <c r="AD97" s="736"/>
      <c r="AE97" s="736"/>
      <c r="AF97" s="1811">
        <v>11</v>
      </c>
    </row>
    <row s="12668" customFormat="1" customHeight="1" ht="11.549999999999999">
      <c r="A98" s="1157"/>
      <c r="B98" s="1806"/>
      <c r="C98" s="1806"/>
      <c r="D98" s="521"/>
      <c r="K98" s="1330"/>
      <c r="L98" s="1806"/>
      <c r="M98" s="1806"/>
      <c r="N98" s="1330"/>
      <c r="O98" s="1330"/>
      <c r="P98" s="1330"/>
      <c r="Q98" s="1330"/>
      <c r="R98" s="1806"/>
      <c r="S98" s="1330"/>
      <c r="T98" s="1330"/>
      <c r="U98" s="714"/>
      <c r="V98" s="1330"/>
      <c r="W98" s="1330"/>
      <c r="X98" s="1330"/>
      <c r="Y98" s="1330"/>
      <c r="Z98" s="1330"/>
      <c r="AA98" s="1802"/>
      <c r="AB98" s="736"/>
      <c r="AC98" s="736"/>
      <c r="AD98" s="736"/>
      <c r="AE98" s="736"/>
      <c r="AF98" s="1811">
        <v>11</v>
      </c>
    </row>
    <row s="12668" customFormat="1" customHeight="1" ht="11.549999999999999">
      <c r="A99" s="1157"/>
      <c r="B99" s="1806"/>
      <c r="C99" s="1806"/>
      <c r="D99" s="521"/>
      <c r="K99" s="1330"/>
      <c r="L99" s="1806"/>
      <c r="M99" s="1806"/>
      <c r="N99" s="1330"/>
      <c r="O99" s="1330"/>
      <c r="P99" s="1330"/>
      <c r="Q99" s="1330"/>
      <c r="R99" s="1806"/>
      <c r="S99" s="1330"/>
      <c r="T99" s="1330"/>
      <c r="U99" s="714"/>
      <c r="V99" s="1330"/>
      <c r="W99" s="1330"/>
      <c r="X99" s="1330"/>
      <c r="Y99" s="1330"/>
      <c r="Z99" s="1330"/>
      <c r="AA99" s="1802"/>
      <c r="AB99" s="736"/>
      <c r="AC99" s="736"/>
      <c r="AD99" s="736"/>
      <c r="AE99" s="736"/>
      <c r="AF99" s="1811">
        <v>11</v>
      </c>
    </row>
    <row s="12668" customFormat="1" customHeight="1" ht="11.549999999999999">
      <c r="A100" s="1157"/>
      <c r="B100" s="1806"/>
      <c r="C100" s="1806"/>
      <c r="D100" s="521"/>
      <c r="K100" s="1330"/>
      <c r="L100" s="1806"/>
      <c r="M100" s="1806"/>
      <c r="N100" s="1330"/>
      <c r="O100" s="1330"/>
      <c r="P100" s="1330"/>
      <c r="Q100" s="1330"/>
      <c r="R100" s="1806"/>
      <c r="S100" s="1330"/>
      <c r="T100" s="1330"/>
      <c r="U100" s="714"/>
      <c r="V100" s="1330"/>
      <c r="W100" s="1330"/>
      <c r="X100" s="1330"/>
      <c r="Y100" s="1330"/>
      <c r="Z100" s="1330"/>
      <c r="AA100" s="1802"/>
      <c r="AB100" s="736"/>
      <c r="AC100" s="736"/>
      <c r="AD100" s="736"/>
      <c r="AE100" s="736"/>
      <c r="AF100" s="1811">
        <v>11</v>
      </c>
    </row>
    <row s="12668" customFormat="1" customHeight="1" ht="11.549999999999999">
      <c r="A101" s="1157"/>
      <c r="B101" s="1806"/>
      <c r="C101" s="1806"/>
      <c r="D101" s="521"/>
      <c r="K101" s="1330"/>
      <c r="L101" s="1806"/>
      <c r="M101" s="1806"/>
      <c r="N101" s="1330"/>
      <c r="O101" s="1330"/>
      <c r="P101" s="1330"/>
      <c r="Q101" s="1330"/>
      <c r="R101" s="1806"/>
      <c r="S101" s="1330"/>
      <c r="T101" s="1330"/>
      <c r="U101" s="714"/>
      <c r="V101" s="1330"/>
      <c r="W101" s="1330"/>
      <c r="X101" s="1330"/>
      <c r="Y101" s="1330"/>
      <c r="Z101" s="1330"/>
      <c r="AA101" s="1802"/>
      <c r="AB101" s="736"/>
      <c r="AC101" s="736"/>
      <c r="AD101" s="736"/>
      <c r="AE101" s="736"/>
      <c r="AF101" s="1811">
        <v>11</v>
      </c>
    </row>
    <row s="12668" customFormat="1" customHeight="1" ht="11.549999999999999">
      <c r="A102" s="1157"/>
      <c r="B102" s="1806"/>
      <c r="C102" s="1806"/>
      <c r="D102" s="521"/>
      <c r="K102" s="1330"/>
      <c r="L102" s="1806"/>
      <c r="M102" s="1806"/>
      <c r="N102" s="1330"/>
      <c r="O102" s="1330"/>
      <c r="P102" s="1330"/>
      <c r="Q102" s="1330"/>
      <c r="R102" s="1806"/>
      <c r="S102" s="1330"/>
      <c r="T102" s="1330"/>
      <c r="U102" s="714"/>
      <c r="V102" s="1330"/>
      <c r="W102" s="1330"/>
      <c r="X102" s="1330"/>
      <c r="Y102" s="1330"/>
      <c r="Z102" s="1330"/>
      <c r="AA102" s="1802"/>
      <c r="AB102" s="736"/>
      <c r="AC102" s="736"/>
      <c r="AD102" s="736"/>
      <c r="AE102" s="736"/>
      <c r="AF102" s="1811">
        <v>11</v>
      </c>
    </row>
    <row s="12668" customFormat="1" customHeight="1" ht="11.549999999999999">
      <c r="A103" s="1157"/>
      <c r="B103" s="1806"/>
      <c r="C103" s="1806"/>
      <c r="D103" s="521"/>
      <c r="K103" s="1330"/>
      <c r="L103" s="1806"/>
      <c r="M103" s="1806"/>
      <c r="N103" s="1330"/>
      <c r="O103" s="1330"/>
      <c r="P103" s="1330"/>
      <c r="Q103" s="1330"/>
      <c r="R103" s="1806"/>
      <c r="S103" s="1330"/>
      <c r="T103" s="1330"/>
      <c r="U103" s="714"/>
      <c r="V103" s="1330"/>
      <c r="W103" s="1330"/>
      <c r="X103" s="1330"/>
      <c r="Y103" s="1330"/>
      <c r="Z103" s="1330"/>
      <c r="AA103" s="1802"/>
      <c r="AB103" s="736"/>
      <c r="AC103" s="736"/>
      <c r="AD103" s="736"/>
      <c r="AE103" s="736"/>
      <c r="AF103" s="1811">
        <v>11</v>
      </c>
    </row>
    <row s="12668" customFormat="1" customHeight="1" ht="11.549999999999999">
      <c r="A104" s="1157"/>
      <c r="B104" s="1806"/>
      <c r="C104" s="1806"/>
      <c r="D104" s="521"/>
      <c r="K104" s="1330"/>
      <c r="L104" s="1806"/>
      <c r="M104" s="1806"/>
      <c r="N104" s="1330"/>
      <c r="O104" s="1330"/>
      <c r="P104" s="1330"/>
      <c r="Q104" s="1330"/>
      <c r="R104" s="1806"/>
      <c r="S104" s="1330"/>
      <c r="T104" s="1330"/>
      <c r="U104" s="714"/>
      <c r="V104" s="1330"/>
      <c r="W104" s="1330"/>
      <c r="X104" s="1330"/>
      <c r="Y104" s="1330"/>
      <c r="Z104" s="1330"/>
      <c r="AA104" s="1802"/>
      <c r="AB104" s="736"/>
      <c r="AC104" s="736"/>
      <c r="AD104" s="736"/>
      <c r="AE104" s="736"/>
      <c r="AF104" s="1811">
        <v>11</v>
      </c>
    </row>
    <row s="12668" customFormat="1" customHeight="1" ht="11.549999999999999">
      <c r="A105" s="1157"/>
      <c r="B105" s="1806"/>
      <c r="C105" s="1806"/>
      <c r="D105" s="521"/>
      <c r="K105" s="1330"/>
      <c r="L105" s="1806"/>
      <c r="M105" s="1806"/>
      <c r="N105" s="1330"/>
      <c r="O105" s="1330"/>
      <c r="P105" s="1330"/>
      <c r="Q105" s="1330"/>
      <c r="R105" s="1806"/>
      <c r="S105" s="1330"/>
      <c r="T105" s="1330"/>
      <c r="U105" s="714"/>
      <c r="V105" s="1330"/>
      <c r="W105" s="1330"/>
      <c r="X105" s="1330"/>
      <c r="Y105" s="1330"/>
      <c r="Z105" s="1330"/>
      <c r="AA105" s="1802"/>
      <c r="AB105" s="736"/>
      <c r="AC105" s="736"/>
      <c r="AD105" s="736"/>
      <c r="AE105" s="736"/>
      <c r="AF105" s="1811">
        <v>11</v>
      </c>
    </row>
    <row s="12668" customFormat="1" customHeight="1" ht="11.549999999999999">
      <c r="A106" s="1157"/>
      <c r="B106" s="1806"/>
      <c r="C106" s="1806"/>
      <c r="D106" s="521"/>
      <c r="K106" s="1330"/>
      <c r="L106" s="1806"/>
      <c r="M106" s="1806"/>
      <c r="N106" s="1330"/>
      <c r="O106" s="1330"/>
      <c r="P106" s="1330"/>
      <c r="Q106" s="1330"/>
      <c r="R106" s="1806"/>
      <c r="S106" s="1330"/>
      <c r="T106" s="1330"/>
      <c r="U106" s="714"/>
      <c r="V106" s="1330"/>
      <c r="W106" s="1330"/>
      <c r="X106" s="1330"/>
      <c r="Y106" s="1330"/>
      <c r="Z106" s="1330"/>
      <c r="AA106" s="1802"/>
      <c r="AB106" s="736"/>
      <c r="AC106" s="736"/>
      <c r="AD106" s="736"/>
      <c r="AE106" s="736"/>
      <c r="AF106" s="1811">
        <v>11</v>
      </c>
    </row>
    <row s="12668" customFormat="1" customHeight="1" ht="11.549999999999999">
      <c r="A107" s="1157"/>
      <c r="B107" s="1806"/>
      <c r="C107" s="1806"/>
      <c r="D107" s="521"/>
      <c r="K107" s="1330"/>
      <c r="L107" s="1806"/>
      <c r="M107" s="1806"/>
      <c r="N107" s="1330"/>
      <c r="O107" s="1330"/>
      <c r="P107" s="1330"/>
      <c r="Q107" s="1330"/>
      <c r="R107" s="1806"/>
      <c r="S107" s="1330"/>
      <c r="T107" s="1330"/>
      <c r="U107" s="714"/>
      <c r="V107" s="1330"/>
      <c r="W107" s="1330"/>
      <c r="X107" s="1330"/>
      <c r="Y107" s="1330"/>
      <c r="Z107" s="1330"/>
      <c r="AA107" s="1802"/>
      <c r="AB107" s="736"/>
      <c r="AC107" s="736"/>
      <c r="AD107" s="736"/>
      <c r="AE107" s="736"/>
      <c r="AF107" s="1811">
        <v>11</v>
      </c>
    </row>
    <row s="12668" customFormat="1" customHeight="1" ht="11.549999999999999">
      <c r="A108" s="1157"/>
      <c r="B108" s="1806"/>
      <c r="C108" s="1806"/>
      <c r="D108" s="521"/>
      <c r="K108" s="1330"/>
      <c r="L108" s="1806"/>
      <c r="M108" s="1806"/>
      <c r="N108" s="1330"/>
      <c r="O108" s="1330"/>
      <c r="P108" s="1330"/>
      <c r="Q108" s="1330"/>
      <c r="R108" s="1806"/>
      <c r="S108" s="1330"/>
      <c r="T108" s="1330"/>
      <c r="U108" s="714"/>
      <c r="V108" s="1330"/>
      <c r="W108" s="1330"/>
      <c r="X108" s="1330"/>
      <c r="Y108" s="1330"/>
      <c r="Z108" s="1330"/>
      <c r="AA108" s="1802"/>
      <c r="AB108" s="736"/>
      <c r="AC108" s="736"/>
      <c r="AD108" s="736"/>
      <c r="AE108" s="736"/>
      <c r="AF108" s="1811">
        <v>11</v>
      </c>
    </row>
    <row s="12668" customFormat="1" customHeight="1" ht="11.549999999999999">
      <c r="A109" s="1157"/>
      <c r="B109" s="1806"/>
      <c r="C109" s="1806"/>
      <c r="D109" s="521"/>
      <c r="K109" s="1330"/>
      <c r="L109" s="1806"/>
      <c r="M109" s="1806"/>
      <c r="N109" s="1330"/>
      <c r="O109" s="1330"/>
      <c r="P109" s="1330"/>
      <c r="Q109" s="1330"/>
      <c r="R109" s="1806"/>
      <c r="S109" s="1330"/>
      <c r="T109" s="1330"/>
      <c r="U109" s="714"/>
      <c r="V109" s="1330"/>
      <c r="W109" s="1330"/>
      <c r="X109" s="1330"/>
      <c r="Y109" s="1330"/>
      <c r="Z109" s="1330"/>
      <c r="AA109" s="1802"/>
      <c r="AB109" s="736"/>
      <c r="AC109" s="736"/>
      <c r="AD109" s="736"/>
      <c r="AE109" s="736"/>
      <c r="AF109" s="1811">
        <v>11</v>
      </c>
    </row>
    <row s="12668" customFormat="1" customHeight="1" ht="11.549999999999999">
      <c r="A110" s="1157"/>
      <c r="B110" s="1806"/>
      <c r="C110" s="1806"/>
      <c r="D110" s="521"/>
      <c r="K110" s="1330"/>
      <c r="L110" s="1806"/>
      <c r="M110" s="1806"/>
      <c r="N110" s="1330"/>
      <c r="O110" s="1330"/>
      <c r="P110" s="1330"/>
      <c r="Q110" s="1330"/>
      <c r="R110" s="1806"/>
      <c r="S110" s="1330"/>
      <c r="T110" s="1330"/>
      <c r="U110" s="714"/>
      <c r="V110" s="1330"/>
      <c r="W110" s="1330"/>
      <c r="X110" s="1330"/>
      <c r="Y110" s="1330"/>
      <c r="Z110" s="1330"/>
      <c r="AA110" s="1802"/>
      <c r="AB110" s="736"/>
      <c r="AC110" s="736"/>
      <c r="AD110" s="736"/>
      <c r="AE110" s="736"/>
      <c r="AF110" s="1811">
        <v>11</v>
      </c>
    </row>
    <row s="12668" customFormat="1" customHeight="1" ht="11.549999999999999">
      <c r="A111" s="1157"/>
      <c r="B111" s="1806"/>
      <c r="C111" s="1806"/>
      <c r="D111" s="521"/>
      <c r="K111" s="1330"/>
      <c r="L111" s="1806"/>
      <c r="M111" s="1806"/>
      <c r="N111" s="1330"/>
      <c r="O111" s="1330"/>
      <c r="P111" s="1330"/>
      <c r="Q111" s="1330"/>
      <c r="R111" s="1806"/>
      <c r="S111" s="1330"/>
      <c r="T111" s="1330"/>
      <c r="U111" s="714"/>
      <c r="V111" s="1330"/>
      <c r="W111" s="1330"/>
      <c r="X111" s="1330"/>
      <c r="Y111" s="1330"/>
      <c r="Z111" s="1330"/>
      <c r="AA111" s="1802"/>
      <c r="AB111" s="736"/>
      <c r="AC111" s="736"/>
      <c r="AD111" s="736"/>
      <c r="AE111" s="736"/>
      <c r="AF111" s="1811">
        <v>11</v>
      </c>
    </row>
    <row s="12668" customFormat="1" customHeight="1" ht="11.549999999999999">
      <c r="A112" s="1157"/>
      <c r="B112" s="1806"/>
      <c r="C112" s="1806"/>
      <c r="D112" s="521"/>
      <c r="K112" s="1330"/>
      <c r="L112" s="1806"/>
      <c r="M112" s="1806"/>
      <c r="N112" s="1330"/>
      <c r="O112" s="1330"/>
      <c r="P112" s="1330"/>
      <c r="Q112" s="1330"/>
      <c r="R112" s="1806"/>
      <c r="S112" s="1330"/>
      <c r="T112" s="1330"/>
      <c r="U112" s="714"/>
      <c r="V112" s="1330"/>
      <c r="W112" s="1330"/>
      <c r="X112" s="1330"/>
      <c r="Y112" s="1330"/>
      <c r="Z112" s="1330"/>
      <c r="AA112" s="1802"/>
      <c r="AB112" s="736"/>
      <c r="AC112" s="736"/>
      <c r="AD112" s="736"/>
      <c r="AE112" s="736"/>
      <c r="AF112" s="1811">
        <v>11</v>
      </c>
    </row>
    <row s="12668" customFormat="1" customHeight="1" ht="11.549999999999999">
      <c r="A113" s="1157"/>
      <c r="B113" s="1806"/>
      <c r="C113" s="1806"/>
      <c r="D113" s="521"/>
      <c r="K113" s="1330"/>
      <c r="L113" s="1806"/>
      <c r="M113" s="1806"/>
      <c r="N113" s="1330"/>
      <c r="O113" s="1330"/>
      <c r="P113" s="1330"/>
      <c r="Q113" s="1330"/>
      <c r="R113" s="1806"/>
      <c r="S113" s="1330"/>
      <c r="T113" s="1330"/>
      <c r="U113" s="714"/>
      <c r="V113" s="1330"/>
      <c r="W113" s="1330"/>
      <c r="X113" s="1330"/>
      <c r="Y113" s="1330"/>
      <c r="Z113" s="1330"/>
      <c r="AA113" s="1802"/>
      <c r="AB113" s="736"/>
      <c r="AC113" s="736"/>
      <c r="AD113" s="736"/>
      <c r="AE113" s="736"/>
      <c r="AF113" s="1811">
        <v>11</v>
      </c>
    </row>
    <row s="12668" customFormat="1" customHeight="1" ht="11.549999999999999">
      <c r="A114" s="1157"/>
      <c r="B114" s="1806"/>
      <c r="C114" s="1806"/>
      <c r="D114" s="521"/>
      <c r="K114" s="1330"/>
      <c r="L114" s="1806"/>
      <c r="M114" s="1806"/>
      <c r="N114" s="1330"/>
      <c r="O114" s="1330"/>
      <c r="P114" s="1330"/>
      <c r="Q114" s="1330"/>
      <c r="R114" s="1806"/>
      <c r="S114" s="1330"/>
      <c r="T114" s="1330"/>
      <c r="U114" s="714"/>
      <c r="V114" s="1330"/>
      <c r="W114" s="1330"/>
      <c r="X114" s="1330"/>
      <c r="Y114" s="1330"/>
      <c r="Z114" s="1330"/>
      <c r="AA114" s="1802"/>
      <c r="AB114" s="736"/>
      <c r="AC114" s="736"/>
      <c r="AD114" s="736"/>
      <c r="AE114" s="736"/>
      <c r="AF114" s="1811">
        <v>11</v>
      </c>
    </row>
    <row s="12668" customFormat="1" customHeight="1" ht="11.549999999999999">
      <c r="A115" s="1157"/>
      <c r="B115" s="1806"/>
      <c r="C115" s="1806"/>
      <c r="D115" s="521"/>
      <c r="K115" s="1330"/>
      <c r="L115" s="1806"/>
      <c r="M115" s="1806"/>
      <c r="N115" s="1330"/>
      <c r="O115" s="1330"/>
      <c r="P115" s="1330"/>
      <c r="Q115" s="1330"/>
      <c r="R115" s="1806"/>
      <c r="S115" s="1330"/>
      <c r="T115" s="1330"/>
      <c r="U115" s="714"/>
      <c r="V115" s="1330"/>
      <c r="W115" s="1330"/>
      <c r="X115" s="1330"/>
      <c r="Y115" s="1330"/>
      <c r="Z115" s="1330"/>
      <c r="AA115" s="1802"/>
      <c r="AB115" s="736"/>
      <c r="AC115" s="736"/>
      <c r="AD115" s="736"/>
      <c r="AE115" s="736"/>
      <c r="AF115" s="1811">
        <v>11</v>
      </c>
    </row>
    <row s="12668" customFormat="1" customHeight="1" ht="11.549999999999999">
      <c r="A116" s="1157"/>
      <c r="B116" s="1806"/>
      <c r="C116" s="1806"/>
      <c r="D116" s="521"/>
      <c r="K116" s="1330"/>
      <c r="L116" s="1806"/>
      <c r="M116" s="1806"/>
      <c r="N116" s="1330"/>
      <c r="O116" s="1330"/>
      <c r="P116" s="1330"/>
      <c r="Q116" s="1330"/>
      <c r="R116" s="1806"/>
      <c r="S116" s="1330"/>
      <c r="T116" s="1330"/>
      <c r="U116" s="714"/>
      <c r="V116" s="1330"/>
      <c r="W116" s="1330"/>
      <c r="X116" s="1330"/>
      <c r="Y116" s="1330"/>
      <c r="Z116" s="1330"/>
      <c r="AA116" s="1802"/>
      <c r="AB116" s="736"/>
      <c r="AC116" s="736"/>
      <c r="AD116" s="736"/>
      <c r="AE116" s="736"/>
      <c r="AF116" s="1811">
        <v>11</v>
      </c>
    </row>
    <row s="12668" customFormat="1" customHeight="1" ht="11.549999999999999">
      <c r="A117" s="1157"/>
      <c r="B117" s="1806"/>
      <c r="C117" s="1806"/>
      <c r="D117" s="521"/>
      <c r="K117" s="1330"/>
      <c r="L117" s="1806"/>
      <c r="M117" s="1806"/>
      <c r="N117" s="1330"/>
      <c r="O117" s="1330"/>
      <c r="P117" s="1330"/>
      <c r="Q117" s="1330"/>
      <c r="R117" s="1806"/>
      <c r="S117" s="1330"/>
      <c r="T117" s="1330"/>
      <c r="U117" s="714"/>
      <c r="V117" s="1330"/>
      <c r="W117" s="1330"/>
      <c r="X117" s="1330"/>
      <c r="Y117" s="1330"/>
      <c r="Z117" s="1330"/>
      <c r="AA117" s="1802"/>
      <c r="AB117" s="736"/>
      <c r="AC117" s="736"/>
      <c r="AD117" s="736"/>
      <c r="AE117" s="736"/>
      <c r="AF117" s="1811">
        <v>11</v>
      </c>
    </row>
    <row s="12668" customFormat="1" customHeight="1" ht="11.549999999999999">
      <c r="A118" s="1157"/>
      <c r="B118" s="1806"/>
      <c r="C118" s="1806"/>
      <c r="D118" s="521"/>
      <c r="K118" s="1330"/>
      <c r="L118" s="1806"/>
      <c r="M118" s="1806"/>
      <c r="N118" s="1330"/>
      <c r="O118" s="1330"/>
      <c r="P118" s="1330"/>
      <c r="Q118" s="1330"/>
      <c r="R118" s="1806"/>
      <c r="S118" s="1330"/>
      <c r="T118" s="1330"/>
      <c r="U118" s="714"/>
      <c r="V118" s="1330"/>
      <c r="W118" s="1330"/>
      <c r="X118" s="1330"/>
      <c r="Y118" s="1330"/>
      <c r="Z118" s="1330"/>
      <c r="AA118" s="1802"/>
      <c r="AB118" s="736"/>
      <c r="AC118" s="736"/>
      <c r="AD118" s="736"/>
      <c r="AE118" s="736"/>
      <c r="AF118" s="1811">
        <v>11</v>
      </c>
    </row>
    <row s="12668" customFormat="1" customHeight="1" ht="11.549999999999999">
      <c r="A119" s="1157"/>
      <c r="B119" s="1806"/>
      <c r="C119" s="1806"/>
      <c r="D119" s="521"/>
      <c r="K119" s="1330"/>
      <c r="L119" s="1806"/>
      <c r="M119" s="1806"/>
      <c r="N119" s="1330"/>
      <c r="O119" s="1330"/>
      <c r="P119" s="1330"/>
      <c r="Q119" s="1330"/>
      <c r="R119" s="1806"/>
      <c r="S119" s="1330"/>
      <c r="T119" s="1330"/>
      <c r="U119" s="714"/>
      <c r="V119" s="1330"/>
      <c r="W119" s="1330"/>
      <c r="X119" s="1330"/>
      <c r="Y119" s="1330"/>
      <c r="Z119" s="1330"/>
      <c r="AA119" s="1802"/>
      <c r="AB119" s="736"/>
      <c r="AC119" s="736"/>
      <c r="AD119" s="736"/>
      <c r="AE119" s="736"/>
      <c r="AF119" s="1811">
        <v>11</v>
      </c>
    </row>
    <row s="12668" customFormat="1" customHeight="1" ht="11.549999999999999">
      <c r="A120" s="1157"/>
      <c r="B120" s="1806"/>
      <c r="C120" s="1806"/>
      <c r="D120" s="521"/>
      <c r="K120" s="1330"/>
      <c r="L120" s="1806"/>
      <c r="M120" s="1806"/>
      <c r="N120" s="1330"/>
      <c r="O120" s="1330"/>
      <c r="P120" s="1330"/>
      <c r="Q120" s="1330"/>
      <c r="R120" s="1806"/>
      <c r="S120" s="1330"/>
      <c r="T120" s="1330"/>
      <c r="U120" s="714"/>
      <c r="V120" s="1330"/>
      <c r="W120" s="1330"/>
      <c r="X120" s="1330"/>
      <c r="Y120" s="1330"/>
      <c r="Z120" s="1330"/>
      <c r="AA120" s="1802"/>
      <c r="AB120" s="736"/>
      <c r="AC120" s="736"/>
      <c r="AD120" s="736"/>
      <c r="AE120" s="736"/>
      <c r="AF120" s="1811">
        <v>11</v>
      </c>
    </row>
    <row s="12668" customFormat="1" customHeight="1" ht="11.549999999999999">
      <c r="A121" s="1157"/>
      <c r="B121" s="1806"/>
      <c r="C121" s="1806"/>
      <c r="D121" s="521"/>
      <c r="K121" s="1330"/>
      <c r="L121" s="1806"/>
      <c r="M121" s="1806"/>
      <c r="N121" s="1330"/>
      <c r="O121" s="1330"/>
      <c r="P121" s="1330"/>
      <c r="Q121" s="1330"/>
      <c r="R121" s="1806"/>
      <c r="S121" s="1330"/>
      <c r="T121" s="1330"/>
      <c r="U121" s="714"/>
      <c r="V121" s="1330"/>
      <c r="W121" s="1330"/>
      <c r="X121" s="1330"/>
      <c r="Y121" s="1330"/>
      <c r="Z121" s="1330"/>
      <c r="AA121" s="1802"/>
      <c r="AB121" s="736"/>
      <c r="AC121" s="736"/>
      <c r="AD121" s="736"/>
      <c r="AE121" s="736"/>
      <c r="AF121" s="1811">
        <v>11</v>
      </c>
    </row>
    <row s="12668" customFormat="1" customHeight="1" ht="11.549999999999999">
      <c r="A122" s="1157"/>
      <c r="B122" s="1806"/>
      <c r="C122" s="1806"/>
      <c r="D122" s="521"/>
      <c r="K122" s="1330"/>
      <c r="L122" s="1806"/>
      <c r="M122" s="1806"/>
      <c r="N122" s="1330"/>
      <c r="O122" s="1330"/>
      <c r="P122" s="1330"/>
      <c r="Q122" s="1330"/>
      <c r="R122" s="1806"/>
      <c r="S122" s="1330"/>
      <c r="T122" s="1330"/>
      <c r="U122" s="714"/>
      <c r="V122" s="1330"/>
      <c r="W122" s="1330"/>
      <c r="X122" s="1330"/>
      <c r="Y122" s="1330"/>
      <c r="Z122" s="1330"/>
      <c r="AA122" s="1802"/>
      <c r="AB122" s="736"/>
      <c r="AC122" s="736"/>
      <c r="AD122" s="736"/>
      <c r="AE122" s="736"/>
      <c r="AF122" s="1811">
        <v>11</v>
      </c>
    </row>
    <row s="12668" customFormat="1" customHeight="1" ht="11.549999999999999">
      <c r="A123" s="1157"/>
      <c r="B123" s="1806"/>
      <c r="C123" s="1806"/>
      <c r="D123" s="521"/>
      <c r="K123" s="1330"/>
      <c r="L123" s="1806"/>
      <c r="M123" s="1806"/>
      <c r="N123" s="1330"/>
      <c r="O123" s="1330"/>
      <c r="P123" s="1330"/>
      <c r="Q123" s="1330"/>
      <c r="R123" s="1806"/>
      <c r="S123" s="1330"/>
      <c r="T123" s="1330"/>
      <c r="U123" s="714"/>
      <c r="V123" s="1330"/>
      <c r="W123" s="1330"/>
      <c r="X123" s="1330"/>
      <c r="Y123" s="1330"/>
      <c r="Z123" s="1330"/>
      <c r="AA123" s="1802"/>
      <c r="AB123" s="736"/>
      <c r="AC123" s="736"/>
      <c r="AD123" s="736"/>
      <c r="AE123" s="736"/>
      <c r="AF123" s="1811">
        <v>11</v>
      </c>
    </row>
    <row s="12668" customFormat="1" customHeight="1" ht="11.549999999999999">
      <c r="A124" s="1157"/>
      <c r="B124" s="1806"/>
      <c r="C124" s="1806"/>
      <c r="D124" s="521"/>
      <c r="K124" s="1330"/>
      <c r="L124" s="1806"/>
      <c r="M124" s="1806"/>
      <c r="N124" s="1330"/>
      <c r="O124" s="1330"/>
      <c r="P124" s="1330"/>
      <c r="Q124" s="1330"/>
      <c r="R124" s="1806"/>
      <c r="S124" s="1330"/>
      <c r="T124" s="1330"/>
      <c r="U124" s="714"/>
      <c r="V124" s="1330"/>
      <c r="W124" s="1330"/>
      <c r="X124" s="1330"/>
      <c r="Y124" s="1330"/>
      <c r="Z124" s="1330"/>
      <c r="AA124" s="1802"/>
      <c r="AB124" s="736"/>
      <c r="AC124" s="736"/>
      <c r="AD124" s="736"/>
      <c r="AE124" s="736"/>
      <c r="AF124" s="1811">
        <v>11</v>
      </c>
    </row>
    <row s="12668" customFormat="1" customHeight="1" ht="11.549999999999999">
      <c r="A125" s="1157"/>
      <c r="B125" s="1806"/>
      <c r="C125" s="1806"/>
      <c r="D125" s="521"/>
      <c r="K125" s="1330"/>
      <c r="L125" s="1806"/>
      <c r="M125" s="1806"/>
      <c r="N125" s="1330"/>
      <c r="O125" s="1330"/>
      <c r="P125" s="1330"/>
      <c r="Q125" s="1330"/>
      <c r="R125" s="1806"/>
      <c r="S125" s="1330"/>
      <c r="T125" s="1330"/>
      <c r="U125" s="714"/>
      <c r="V125" s="1330"/>
      <c r="W125" s="1330"/>
      <c r="X125" s="1330"/>
      <c r="Y125" s="1330"/>
      <c r="Z125" s="1330"/>
      <c r="AA125" s="1802"/>
      <c r="AB125" s="736"/>
      <c r="AC125" s="736"/>
      <c r="AD125" s="736"/>
      <c r="AE125" s="736"/>
      <c r="AF125" s="1811">
        <v>11</v>
      </c>
    </row>
    <row s="12668" customFormat="1" customHeight="1" ht="11.549999999999999">
      <c r="A126" s="1157"/>
      <c r="B126" s="1806"/>
      <c r="C126" s="1806"/>
      <c r="D126" s="521"/>
      <c r="K126" s="1330"/>
      <c r="L126" s="1806"/>
      <c r="M126" s="1806"/>
      <c r="N126" s="1330"/>
      <c r="O126" s="1330"/>
      <c r="P126" s="1330"/>
      <c r="Q126" s="1330"/>
      <c r="R126" s="1806"/>
      <c r="S126" s="1330"/>
      <c r="T126" s="1330"/>
      <c r="U126" s="714"/>
      <c r="V126" s="1330"/>
      <c r="W126" s="1330"/>
      <c r="X126" s="1330"/>
      <c r="Y126" s="1330"/>
      <c r="Z126" s="1330"/>
      <c r="AA126" s="1802"/>
      <c r="AB126" s="736"/>
      <c r="AC126" s="736"/>
      <c r="AD126" s="736"/>
      <c r="AE126" s="736"/>
      <c r="AF126" s="1811">
        <v>11</v>
      </c>
    </row>
    <row s="12668" customFormat="1" customHeight="1" ht="11.549999999999999">
      <c r="A127" s="1157"/>
      <c r="B127" s="1806"/>
      <c r="C127" s="1806"/>
      <c r="D127" s="521"/>
      <c r="K127" s="1330"/>
      <c r="L127" s="1806"/>
      <c r="M127" s="1806"/>
      <c r="N127" s="1330"/>
      <c r="O127" s="1330"/>
      <c r="P127" s="1330"/>
      <c r="Q127" s="1330"/>
      <c r="R127" s="1806"/>
      <c r="S127" s="1330"/>
      <c r="T127" s="1330"/>
      <c r="U127" s="714"/>
      <c r="V127" s="1330"/>
      <c r="W127" s="1330"/>
      <c r="X127" s="1330"/>
      <c r="Y127" s="1330"/>
      <c r="Z127" s="1330"/>
      <c r="AA127" s="1802"/>
      <c r="AB127" s="736"/>
      <c r="AC127" s="736"/>
      <c r="AD127" s="736"/>
      <c r="AE127" s="736"/>
      <c r="AF127" s="1811">
        <v>11</v>
      </c>
    </row>
    <row s="12668" customFormat="1" customHeight="1" ht="11.549999999999999">
      <c r="A128" s="1157"/>
      <c r="B128" s="1806"/>
      <c r="C128" s="1806"/>
      <c r="D128" s="521"/>
      <c r="K128" s="1330"/>
      <c r="L128" s="1806"/>
      <c r="M128" s="1806"/>
      <c r="N128" s="1330"/>
      <c r="O128" s="1330"/>
      <c r="P128" s="1330"/>
      <c r="Q128" s="1330"/>
      <c r="R128" s="1806"/>
      <c r="S128" s="1330"/>
      <c r="T128" s="1330"/>
      <c r="U128" s="714"/>
      <c r="V128" s="1330"/>
      <c r="W128" s="1330"/>
      <c r="X128" s="1330"/>
      <c r="Y128" s="1330"/>
      <c r="Z128" s="1330"/>
      <c r="AA128" s="1802"/>
      <c r="AB128" s="736"/>
      <c r="AC128" s="736"/>
      <c r="AD128" s="736"/>
      <c r="AE128" s="736"/>
      <c r="AF128" s="1811">
        <v>11</v>
      </c>
    </row>
    <row s="12668" customFormat="1" customHeight="1" ht="11.549999999999999">
      <c r="A129" s="1157"/>
      <c r="B129" s="1806"/>
      <c r="C129" s="1806"/>
      <c r="D129" s="521"/>
      <c r="K129" s="1330"/>
      <c r="L129" s="1806"/>
      <c r="M129" s="1806"/>
      <c r="N129" s="1330"/>
      <c r="O129" s="1330"/>
      <c r="P129" s="1330"/>
      <c r="Q129" s="1330"/>
      <c r="R129" s="1806"/>
      <c r="S129" s="1330"/>
      <c r="T129" s="1330"/>
      <c r="U129" s="714"/>
      <c r="V129" s="1330"/>
      <c r="W129" s="1330"/>
      <c r="X129" s="1330"/>
      <c r="Y129" s="1330"/>
      <c r="Z129" s="1330"/>
      <c r="AA129" s="1802"/>
      <c r="AB129" s="736"/>
      <c r="AC129" s="736"/>
      <c r="AD129" s="736"/>
      <c r="AE129" s="736"/>
      <c r="AF129" s="1811">
        <v>11</v>
      </c>
    </row>
    <row s="12668" customFormat="1" customHeight="1" ht="11.549999999999999">
      <c r="A130" s="1157"/>
      <c r="B130" s="1806"/>
      <c r="C130" s="1806"/>
      <c r="D130" s="521"/>
      <c r="K130" s="1330"/>
      <c r="L130" s="1806"/>
      <c r="M130" s="1806"/>
      <c r="N130" s="1330"/>
      <c r="O130" s="1330"/>
      <c r="P130" s="1330"/>
      <c r="Q130" s="1330"/>
      <c r="R130" s="1806"/>
      <c r="S130" s="1330"/>
      <c r="T130" s="1330"/>
      <c r="U130" s="714"/>
      <c r="V130" s="1330"/>
      <c r="W130" s="1330"/>
      <c r="X130" s="1330"/>
      <c r="Y130" s="1330"/>
      <c r="Z130" s="1330"/>
      <c r="AA130" s="1802"/>
      <c r="AB130" s="736"/>
      <c r="AC130" s="736"/>
      <c r="AD130" s="736"/>
      <c r="AE130" s="736"/>
      <c r="AF130" s="1811">
        <v>11</v>
      </c>
    </row>
    <row s="12668" customFormat="1" customHeight="1" ht="11.549999999999999">
      <c r="A131" s="1157"/>
      <c r="B131" s="1806"/>
      <c r="C131" s="1806"/>
      <c r="D131" s="521"/>
      <c r="K131" s="1330"/>
      <c r="L131" s="1806"/>
      <c r="M131" s="1806"/>
      <c r="N131" s="1330"/>
      <c r="O131" s="1330"/>
      <c r="P131" s="1330"/>
      <c r="Q131" s="1330"/>
      <c r="R131" s="1806"/>
      <c r="S131" s="1330"/>
      <c r="T131" s="1330"/>
      <c r="U131" s="714"/>
      <c r="V131" s="1330"/>
      <c r="W131" s="1330"/>
      <c r="X131" s="1330"/>
      <c r="Y131" s="1330"/>
      <c r="Z131" s="1330"/>
      <c r="AA131" s="1802"/>
      <c r="AB131" s="736"/>
      <c r="AC131" s="736"/>
      <c r="AD131" s="736"/>
      <c r="AE131" s="736"/>
      <c r="AF131" s="1811">
        <v>11</v>
      </c>
    </row>
    <row s="12668" customFormat="1" customHeight="1" ht="11.549999999999999">
      <c r="A132" s="1157"/>
      <c r="B132" s="1806"/>
      <c r="C132" s="1806"/>
      <c r="D132" s="521"/>
      <c r="K132" s="1330"/>
      <c r="L132" s="1806"/>
      <c r="M132" s="1806"/>
      <c r="N132" s="1330"/>
      <c r="O132" s="1330"/>
      <c r="P132" s="1330"/>
      <c r="Q132" s="1330"/>
      <c r="R132" s="1806"/>
      <c r="S132" s="1330"/>
      <c r="T132" s="1330"/>
      <c r="U132" s="714"/>
      <c r="V132" s="1330"/>
      <c r="W132" s="1330"/>
      <c r="X132" s="1330"/>
      <c r="Y132" s="1330"/>
      <c r="Z132" s="1330"/>
      <c r="AA132" s="1802"/>
      <c r="AB132" s="736"/>
      <c r="AC132" s="736"/>
      <c r="AD132" s="736"/>
      <c r="AE132" s="736"/>
      <c r="AF132" s="1811">
        <v>11</v>
      </c>
    </row>
    <row s="12668" customFormat="1" customHeight="1" ht="11.549999999999999">
      <c r="A133" s="1157"/>
      <c r="B133" s="1806"/>
      <c r="C133" s="1806"/>
      <c r="D133" s="521"/>
      <c r="K133" s="1330"/>
      <c r="L133" s="1806"/>
      <c r="M133" s="1806"/>
      <c r="N133" s="1330"/>
      <c r="O133" s="1330"/>
      <c r="P133" s="1330"/>
      <c r="Q133" s="1330"/>
      <c r="R133" s="1806"/>
      <c r="S133" s="1330"/>
      <c r="T133" s="1330"/>
      <c r="U133" s="714"/>
      <c r="V133" s="1330"/>
      <c r="W133" s="1330"/>
      <c r="X133" s="1330"/>
      <c r="Y133" s="1330"/>
      <c r="Z133" s="1330"/>
      <c r="AA133" s="1802"/>
      <c r="AB133" s="736"/>
      <c r="AC133" s="736"/>
      <c r="AD133" s="736"/>
      <c r="AE133" s="736"/>
      <c r="AF133" s="1811">
        <v>11</v>
      </c>
    </row>
    <row s="12668" customFormat="1" customHeight="1" ht="11.549999999999999">
      <c r="A134" s="1157"/>
      <c r="B134" s="1806"/>
      <c r="C134" s="1806"/>
      <c r="D134" s="521"/>
      <c r="K134" s="1330"/>
      <c r="L134" s="1806"/>
      <c r="M134" s="1806"/>
      <c r="N134" s="1330"/>
      <c r="O134" s="1330"/>
      <c r="P134" s="1330"/>
      <c r="Q134" s="1330"/>
      <c r="R134" s="1806"/>
      <c r="S134" s="1330"/>
      <c r="T134" s="1330"/>
      <c r="U134" s="714"/>
      <c r="V134" s="1330"/>
      <c r="W134" s="1330"/>
      <c r="X134" s="1330"/>
      <c r="Y134" s="1330"/>
      <c r="Z134" s="1330"/>
      <c r="AA134" s="1802"/>
      <c r="AB134" s="736"/>
      <c r="AC134" s="736"/>
      <c r="AD134" s="736"/>
      <c r="AE134" s="736"/>
      <c r="AF134" s="1811">
        <v>11</v>
      </c>
    </row>
    <row s="12668" customFormat="1" customHeight="1" ht="11.549999999999999">
      <c r="A135" s="1157"/>
      <c r="B135" s="1806"/>
      <c r="C135" s="1806"/>
      <c r="D135" s="521"/>
      <c r="K135" s="1330"/>
      <c r="L135" s="1806"/>
      <c r="M135" s="1806"/>
      <c r="N135" s="1330"/>
      <c r="O135" s="1330"/>
      <c r="P135" s="1330"/>
      <c r="Q135" s="1330"/>
      <c r="R135" s="1806"/>
      <c r="S135" s="1330"/>
      <c r="T135" s="1330"/>
      <c r="U135" s="714"/>
      <c r="V135" s="1330"/>
      <c r="W135" s="1330"/>
      <c r="X135" s="1330"/>
      <c r="Y135" s="1330"/>
      <c r="Z135" s="1330"/>
      <c r="AA135" s="1802"/>
      <c r="AB135" s="736"/>
      <c r="AC135" s="736"/>
      <c r="AD135" s="736"/>
      <c r="AE135" s="736"/>
      <c r="AF135" s="1811">
        <v>11</v>
      </c>
    </row>
    <row s="12668" customFormat="1" customHeight="1" ht="11.549999999999999">
      <c r="A136" s="1157"/>
      <c r="B136" s="1806"/>
      <c r="C136" s="1806"/>
      <c r="D136" s="521"/>
      <c r="K136" s="1330"/>
      <c r="L136" s="1806"/>
      <c r="M136" s="1806"/>
      <c r="N136" s="1330"/>
      <c r="O136" s="1330"/>
      <c r="P136" s="1330"/>
      <c r="Q136" s="1330"/>
      <c r="R136" s="1806"/>
      <c r="S136" s="1330"/>
      <c r="T136" s="1330"/>
      <c r="U136" s="714"/>
      <c r="V136" s="1330"/>
      <c r="W136" s="1330"/>
      <c r="X136" s="1330"/>
      <c r="Y136" s="1330"/>
      <c r="Z136" s="1330"/>
      <c r="AA136" s="1802"/>
      <c r="AB136" s="736"/>
      <c r="AC136" s="736"/>
      <c r="AD136" s="736"/>
      <c r="AE136" s="736"/>
      <c r="AF136" s="1811">
        <v>11</v>
      </c>
    </row>
    <row s="12668" customFormat="1" customHeight="1" ht="11.549999999999999">
      <c r="A137" s="1157"/>
      <c r="B137" s="1806"/>
      <c r="C137" s="1806"/>
      <c r="D137" s="521"/>
      <c r="K137" s="1330"/>
      <c r="L137" s="1806"/>
      <c r="M137" s="1806"/>
      <c r="N137" s="1330"/>
      <c r="O137" s="1330"/>
      <c r="P137" s="1330"/>
      <c r="Q137" s="1330"/>
      <c r="R137" s="1806"/>
      <c r="S137" s="1330"/>
      <c r="T137" s="1330"/>
      <c r="U137" s="714"/>
      <c r="V137" s="1330"/>
      <c r="W137" s="1330"/>
      <c r="X137" s="1330"/>
      <c r="Y137" s="1330"/>
      <c r="Z137" s="1330"/>
      <c r="AA137" s="1802"/>
      <c r="AB137" s="736"/>
      <c r="AC137" s="736"/>
      <c r="AD137" s="736"/>
      <c r="AE137" s="736"/>
      <c r="AF137" s="1811">
        <v>11</v>
      </c>
    </row>
    <row s="12668" customFormat="1" customHeight="1" ht="11.549999999999999">
      <c r="A138" s="1157"/>
      <c r="B138" s="1806"/>
      <c r="C138" s="1806"/>
      <c r="D138" s="521"/>
      <c r="K138" s="1330"/>
      <c r="L138" s="1806"/>
      <c r="M138" s="1806"/>
      <c r="N138" s="1330"/>
      <c r="O138" s="1330"/>
      <c r="P138" s="1330"/>
      <c r="Q138" s="1330"/>
      <c r="R138" s="1806"/>
      <c r="S138" s="1330"/>
      <c r="T138" s="1330"/>
      <c r="U138" s="714"/>
      <c r="V138" s="1330"/>
      <c r="W138" s="1330"/>
      <c r="X138" s="1330"/>
      <c r="Y138" s="1330"/>
      <c r="Z138" s="1330"/>
      <c r="AA138" s="1802"/>
      <c r="AB138" s="736"/>
      <c r="AC138" s="736"/>
      <c r="AD138" s="736"/>
      <c r="AE138" s="736"/>
      <c r="AF138" s="1811">
        <v>11</v>
      </c>
    </row>
    <row s="12668" customFormat="1" customHeight="1" ht="11.549999999999999">
      <c r="A139" s="1157"/>
      <c r="B139" s="1806"/>
      <c r="C139" s="1806"/>
      <c r="D139" s="521"/>
      <c r="K139" s="1330"/>
      <c r="L139" s="1806"/>
      <c r="M139" s="1806"/>
      <c r="N139" s="1330"/>
      <c r="O139" s="1330"/>
      <c r="P139" s="1330"/>
      <c r="Q139" s="1330"/>
      <c r="R139" s="1806"/>
      <c r="S139" s="1330"/>
      <c r="T139" s="1330"/>
      <c r="U139" s="714"/>
      <c r="V139" s="1330"/>
      <c r="W139" s="1330"/>
      <c r="X139" s="1330"/>
      <c r="Y139" s="1330"/>
      <c r="Z139" s="1330"/>
      <c r="AA139" s="1802"/>
      <c r="AB139" s="736"/>
      <c r="AC139" s="736"/>
      <c r="AD139" s="736"/>
      <c r="AE139" s="736"/>
      <c r="AF139" s="1811">
        <v>11</v>
      </c>
    </row>
    <row s="12668" customFormat="1" customHeight="1" ht="11.549999999999999">
      <c r="A140" s="1157"/>
      <c r="B140" s="1806"/>
      <c r="C140" s="1806"/>
      <c r="D140" s="521"/>
      <c r="K140" s="1330"/>
      <c r="L140" s="1806"/>
      <c r="M140" s="1806"/>
      <c r="N140" s="1330"/>
      <c r="O140" s="1330"/>
      <c r="P140" s="1330"/>
      <c r="Q140" s="1330"/>
      <c r="R140" s="1806"/>
      <c r="S140" s="1330"/>
      <c r="T140" s="1330"/>
      <c r="U140" s="714"/>
      <c r="V140" s="1330"/>
      <c r="W140" s="1330"/>
      <c r="X140" s="1330"/>
      <c r="Y140" s="1330"/>
      <c r="Z140" s="1330"/>
      <c r="AA140" s="1802"/>
      <c r="AB140" s="736"/>
      <c r="AC140" s="736"/>
      <c r="AD140" s="736"/>
      <c r="AE140" s="736"/>
      <c r="AF140" s="1811">
        <v>11</v>
      </c>
    </row>
    <row s="12668" customFormat="1" customHeight="1" ht="11.549999999999999">
      <c r="A141" s="1157"/>
      <c r="B141" s="1806"/>
      <c r="C141" s="1806"/>
      <c r="D141" s="521"/>
      <c r="K141" s="1330"/>
      <c r="L141" s="1806"/>
      <c r="M141" s="1806"/>
      <c r="N141" s="1330"/>
      <c r="O141" s="1330"/>
      <c r="P141" s="1330"/>
      <c r="Q141" s="1330"/>
      <c r="R141" s="1806"/>
      <c r="S141" s="1330"/>
      <c r="T141" s="1330"/>
      <c r="U141" s="714"/>
      <c r="V141" s="1330"/>
      <c r="W141" s="1330"/>
      <c r="X141" s="1330"/>
      <c r="Y141" s="1330"/>
      <c r="Z141" s="1330"/>
      <c r="AA141" s="1802"/>
      <c r="AB141" s="736"/>
      <c r="AC141" s="736"/>
      <c r="AD141" s="736"/>
      <c r="AE141" s="736"/>
      <c r="AF141" s="1811">
        <v>11</v>
      </c>
    </row>
    <row s="12668" customFormat="1" customHeight="1" ht="11.549999999999999">
      <c r="A142" s="1157"/>
      <c r="B142" s="1806"/>
      <c r="C142" s="1806"/>
      <c r="D142" s="521"/>
      <c r="K142" s="1330"/>
      <c r="L142" s="1806"/>
      <c r="M142" s="1806"/>
      <c r="N142" s="1330"/>
      <c r="O142" s="1330"/>
      <c r="P142" s="1330"/>
      <c r="Q142" s="1330"/>
      <c r="R142" s="1806"/>
      <c r="S142" s="1330"/>
      <c r="T142" s="1330"/>
      <c r="U142" s="714"/>
      <c r="V142" s="1330"/>
      <c r="W142" s="1330"/>
      <c r="X142" s="1330"/>
      <c r="Y142" s="1330"/>
      <c r="Z142" s="1330"/>
      <c r="AA142" s="1802"/>
      <c r="AB142" s="736"/>
      <c r="AC142" s="736"/>
      <c r="AD142" s="736"/>
      <c r="AE142" s="736"/>
      <c r="AF142" s="1811">
        <v>11</v>
      </c>
    </row>
    <row s="12668" customFormat="1" customHeight="1" ht="11.549999999999999">
      <c r="A143" s="1157"/>
      <c r="B143" s="1806"/>
      <c r="C143" s="1806"/>
      <c r="D143" s="521"/>
      <c r="K143" s="1330"/>
      <c r="L143" s="1806"/>
      <c r="M143" s="1806"/>
      <c r="N143" s="1330"/>
      <c r="O143" s="1330"/>
      <c r="P143" s="1330"/>
      <c r="Q143" s="1330"/>
      <c r="R143" s="1806"/>
      <c r="S143" s="1330"/>
      <c r="T143" s="1330"/>
      <c r="U143" s="714"/>
      <c r="V143" s="1330"/>
      <c r="W143" s="1330"/>
      <c r="X143" s="1330"/>
      <c r="Y143" s="1330"/>
      <c r="Z143" s="1330"/>
      <c r="AA143" s="1802"/>
      <c r="AB143" s="736"/>
      <c r="AC143" s="736"/>
      <c r="AD143" s="736"/>
      <c r="AE143" s="736"/>
      <c r="AF143" s="1811">
        <v>11</v>
      </c>
    </row>
    <row s="12668" customFormat="1" customHeight="1" ht="11.549999999999999">
      <c r="A144" s="1157"/>
      <c r="B144" s="1806"/>
      <c r="C144" s="1806"/>
      <c r="D144" s="521"/>
      <c r="K144" s="1330"/>
      <c r="L144" s="1806"/>
      <c r="M144" s="1806"/>
      <c r="N144" s="1330"/>
      <c r="O144" s="1330"/>
      <c r="P144" s="1330"/>
      <c r="Q144" s="1330"/>
      <c r="R144" s="1806"/>
      <c r="S144" s="1330"/>
      <c r="T144" s="1330"/>
      <c r="U144" s="714"/>
      <c r="V144" s="1330"/>
      <c r="W144" s="1330"/>
      <c r="X144" s="1330"/>
      <c r="Y144" s="1330"/>
      <c r="Z144" s="1330"/>
      <c r="AA144" s="1802"/>
      <c r="AB144" s="736"/>
      <c r="AC144" s="736"/>
      <c r="AD144" s="736"/>
      <c r="AE144" s="736"/>
      <c r="AF144" s="1811">
        <v>11</v>
      </c>
    </row>
    <row s="12668" customFormat="1" customHeight="1" ht="11.549999999999999">
      <c r="A145" s="1157"/>
      <c r="B145" s="1806"/>
      <c r="C145" s="1806"/>
      <c r="D145" s="521"/>
      <c r="K145" s="1330"/>
      <c r="L145" s="1806"/>
      <c r="M145" s="1806"/>
      <c r="N145" s="1330"/>
      <c r="O145" s="1330"/>
      <c r="P145" s="1330"/>
      <c r="Q145" s="1330"/>
      <c r="R145" s="1806"/>
      <c r="S145" s="1330"/>
      <c r="T145" s="1330"/>
      <c r="U145" s="714"/>
      <c r="V145" s="1330"/>
      <c r="W145" s="1330"/>
      <c r="X145" s="1330"/>
      <c r="Y145" s="1330"/>
      <c r="Z145" s="1330"/>
      <c r="AA145" s="1802"/>
      <c r="AB145" s="736"/>
      <c r="AC145" s="736"/>
      <c r="AD145" s="736"/>
      <c r="AE145" s="736"/>
      <c r="AF145" s="1811">
        <v>11</v>
      </c>
    </row>
    <row s="12668" customFormat="1" customHeight="1" ht="11.549999999999999">
      <c r="A146" s="1157"/>
      <c r="B146" s="1806"/>
      <c r="C146" s="1806"/>
      <c r="D146" s="521"/>
      <c r="K146" s="1330"/>
      <c r="L146" s="1806"/>
      <c r="M146" s="1806"/>
      <c r="N146" s="1330"/>
      <c r="O146" s="1330"/>
      <c r="P146" s="1330"/>
      <c r="Q146" s="1330"/>
      <c r="R146" s="1806"/>
      <c r="S146" s="1330"/>
      <c r="T146" s="1330"/>
      <c r="U146" s="714"/>
      <c r="V146" s="1330"/>
      <c r="W146" s="1330"/>
      <c r="X146" s="1330"/>
      <c r="Y146" s="1330"/>
      <c r="Z146" s="1330"/>
      <c r="AA146" s="1802"/>
      <c r="AB146" s="736"/>
      <c r="AC146" s="736"/>
      <c r="AD146" s="736"/>
      <c r="AE146" s="736"/>
      <c r="AF146" s="1811">
        <v>11</v>
      </c>
    </row>
    <row s="12668" customFormat="1" customHeight="1" ht="11.549999999999999">
      <c r="A147" s="1157"/>
      <c r="B147" s="1806"/>
      <c r="C147" s="1806"/>
      <c r="D147" s="521"/>
      <c r="K147" s="1330"/>
      <c r="L147" s="1806"/>
      <c r="M147" s="1806"/>
      <c r="N147" s="1330"/>
      <c r="O147" s="1330"/>
      <c r="P147" s="1330"/>
      <c r="Q147" s="1330"/>
      <c r="R147" s="1806"/>
      <c r="S147" s="1330"/>
      <c r="T147" s="1330"/>
      <c r="U147" s="714"/>
      <c r="V147" s="1330"/>
      <c r="W147" s="1330"/>
      <c r="X147" s="1330"/>
      <c r="Y147" s="1330"/>
      <c r="Z147" s="1330"/>
      <c r="AA147" s="1802"/>
      <c r="AB147" s="736"/>
      <c r="AC147" s="736"/>
      <c r="AD147" s="736"/>
      <c r="AE147" s="736"/>
      <c r="AF147" s="1811">
        <v>11</v>
      </c>
    </row>
    <row s="12668" customFormat="1" customHeight="1" ht="11.549999999999999">
      <c r="A148" s="1157"/>
      <c r="B148" s="1806"/>
      <c r="C148" s="1806"/>
      <c r="D148" s="521"/>
      <c r="K148" s="1330"/>
      <c r="L148" s="1806"/>
      <c r="M148" s="1806"/>
      <c r="N148" s="1330"/>
      <c r="O148" s="1330"/>
      <c r="P148" s="1330"/>
      <c r="Q148" s="1330"/>
      <c r="R148" s="1806"/>
      <c r="S148" s="1330"/>
      <c r="T148" s="1330"/>
      <c r="U148" s="714"/>
      <c r="V148" s="1330"/>
      <c r="W148" s="1330"/>
      <c r="X148" s="1330"/>
      <c r="Y148" s="1330"/>
      <c r="Z148" s="1330"/>
      <c r="AA148" s="1802"/>
      <c r="AB148" s="736"/>
      <c r="AC148" s="736"/>
      <c r="AD148" s="736"/>
      <c r="AE148" s="736"/>
      <c r="AF148" s="1811">
        <v>11</v>
      </c>
    </row>
    <row s="12668" customFormat="1" customHeight="1" ht="11.549999999999999">
      <c r="A149" s="1157"/>
      <c r="B149" s="1806"/>
      <c r="C149" s="1806"/>
      <c r="D149" s="521"/>
      <c r="K149" s="1330"/>
      <c r="L149" s="1806"/>
      <c r="M149" s="1806"/>
      <c r="N149" s="1330"/>
      <c r="O149" s="1330"/>
      <c r="P149" s="1330"/>
      <c r="Q149" s="1330"/>
      <c r="R149" s="1806"/>
      <c r="S149" s="1330"/>
      <c r="T149" s="1330"/>
      <c r="U149" s="714"/>
      <c r="V149" s="1330"/>
      <c r="W149" s="1330"/>
      <c r="X149" s="1330"/>
      <c r="Y149" s="1330"/>
      <c r="Z149" s="1330"/>
      <c r="AA149" s="1802"/>
      <c r="AB149" s="736"/>
      <c r="AC149" s="736"/>
      <c r="AD149" s="736"/>
      <c r="AE149" s="736"/>
      <c r="AF149" s="1811">
        <v>11</v>
      </c>
    </row>
    <row s="12668" customFormat="1" customHeight="1" ht="11.549999999999999">
      <c r="A150" s="1157"/>
      <c r="B150" s="1806"/>
      <c r="C150" s="1806"/>
      <c r="D150" s="521"/>
      <c r="K150" s="1330"/>
      <c r="L150" s="1806"/>
      <c r="M150" s="1806"/>
      <c r="N150" s="1330"/>
      <c r="O150" s="1330"/>
      <c r="P150" s="1330"/>
      <c r="Q150" s="1330"/>
      <c r="R150" s="1806"/>
      <c r="S150" s="1330"/>
      <c r="T150" s="1330"/>
      <c r="U150" s="714"/>
      <c r="V150" s="1330"/>
      <c r="W150" s="1330"/>
      <c r="X150" s="1330"/>
      <c r="Y150" s="1330"/>
      <c r="Z150" s="1330"/>
      <c r="AA150" s="1802"/>
      <c r="AB150" s="736"/>
      <c r="AC150" s="736"/>
      <c r="AD150" s="736"/>
      <c r="AE150" s="736"/>
      <c r="AF150" s="1811">
        <v>11</v>
      </c>
    </row>
    <row s="12668" customFormat="1" customHeight="1" ht="11.549999999999999">
      <c r="A151" s="1157"/>
      <c r="B151" s="1806"/>
      <c r="C151" s="1806"/>
      <c r="D151" s="521"/>
      <c r="K151" s="1330"/>
      <c r="L151" s="1806"/>
      <c r="M151" s="1806"/>
      <c r="N151" s="1330"/>
      <c r="O151" s="1330"/>
      <c r="P151" s="1330"/>
      <c r="Q151" s="1330"/>
      <c r="R151" s="1806"/>
      <c r="S151" s="1330"/>
      <c r="T151" s="1330"/>
      <c r="U151" s="714"/>
      <c r="V151" s="1330"/>
      <c r="W151" s="1330"/>
      <c r="X151" s="1330"/>
      <c r="Y151" s="1330"/>
      <c r="Z151" s="1330"/>
      <c r="AA151" s="1802"/>
      <c r="AB151" s="736"/>
      <c r="AC151" s="736"/>
      <c r="AD151" s="736"/>
      <c r="AE151" s="736"/>
      <c r="AF151" s="1811">
        <v>11</v>
      </c>
    </row>
    <row s="12668" customFormat="1" customHeight="1" ht="11.549999999999999">
      <c r="A152" s="1157"/>
      <c r="B152" s="1806"/>
      <c r="C152" s="1806"/>
      <c r="D152" s="521"/>
      <c r="K152" s="1330"/>
      <c r="L152" s="1806"/>
      <c r="M152" s="1806"/>
      <c r="N152" s="1330"/>
      <c r="O152" s="1330"/>
      <c r="P152" s="1330"/>
      <c r="Q152" s="1330"/>
      <c r="R152" s="1806"/>
      <c r="S152" s="1330"/>
      <c r="T152" s="1330"/>
      <c r="U152" s="714"/>
      <c r="V152" s="1330"/>
      <c r="W152" s="1330"/>
      <c r="X152" s="1330"/>
      <c r="Y152" s="1330"/>
      <c r="Z152" s="1330"/>
      <c r="AA152" s="1802"/>
      <c r="AB152" s="736"/>
      <c r="AC152" s="736"/>
      <c r="AD152" s="736"/>
      <c r="AE152" s="736"/>
      <c r="AF152" s="1811">
        <v>11</v>
      </c>
    </row>
    <row s="12668" customFormat="1" customHeight="1" ht="11.549999999999999">
      <c r="A153" s="1157"/>
      <c r="B153" s="1806"/>
      <c r="C153" s="1806"/>
      <c r="D153" s="521"/>
      <c r="K153" s="1330"/>
      <c r="L153" s="1806"/>
      <c r="M153" s="1806"/>
      <c r="N153" s="1330"/>
      <c r="O153" s="1330"/>
      <c r="P153" s="1330"/>
      <c r="Q153" s="1330"/>
      <c r="R153" s="1806"/>
      <c r="S153" s="1330"/>
      <c r="T153" s="1330"/>
      <c r="U153" s="714"/>
      <c r="V153" s="1330"/>
      <c r="W153" s="1330"/>
      <c r="X153" s="1330"/>
      <c r="Y153" s="1330"/>
      <c r="Z153" s="1330"/>
      <c r="AA153" s="1802"/>
      <c r="AB153" s="736"/>
      <c r="AC153" s="736"/>
      <c r="AD153" s="736"/>
      <c r="AE153" s="736"/>
      <c r="AF153" s="1811">
        <v>11</v>
      </c>
    </row>
    <row s="12668" customFormat="1" customHeight="1" ht="11.549999999999999">
      <c r="A154" s="1157"/>
      <c r="B154" s="1806"/>
      <c r="C154" s="1806"/>
      <c r="D154" s="521"/>
      <c r="K154" s="1330"/>
      <c r="L154" s="1806"/>
      <c r="M154" s="1806"/>
      <c r="N154" s="1330"/>
      <c r="O154" s="1330"/>
      <c r="P154" s="1330"/>
      <c r="Q154" s="1330"/>
      <c r="R154" s="1806"/>
      <c r="S154" s="1330"/>
      <c r="T154" s="1330"/>
      <c r="U154" s="714"/>
      <c r="V154" s="1330"/>
      <c r="W154" s="1330"/>
      <c r="X154" s="1330"/>
      <c r="Y154" s="1330"/>
      <c r="Z154" s="1330"/>
      <c r="AA154" s="1802"/>
      <c r="AB154" s="736"/>
      <c r="AC154" s="736"/>
      <c r="AD154" s="736"/>
      <c r="AE154" s="736"/>
      <c r="AF154" s="1811">
        <v>11</v>
      </c>
    </row>
    <row s="12668" customFormat="1" customHeight="1" ht="11.549999999999999">
      <c r="A155" s="1157"/>
      <c r="B155" s="1806"/>
      <c r="C155" s="1806"/>
      <c r="D155" s="521"/>
      <c r="K155" s="1330"/>
      <c r="L155" s="1806"/>
      <c r="M155" s="1806"/>
      <c r="N155" s="1330"/>
      <c r="O155" s="1330"/>
      <c r="P155" s="1330"/>
      <c r="Q155" s="1330"/>
      <c r="R155" s="1806"/>
      <c r="S155" s="1330"/>
      <c r="T155" s="1330"/>
      <c r="U155" s="714"/>
      <c r="V155" s="1330"/>
      <c r="W155" s="1330"/>
      <c r="X155" s="1330"/>
      <c r="Y155" s="1330"/>
      <c r="Z155" s="1330"/>
      <c r="AA155" s="1802"/>
      <c r="AB155" s="736"/>
      <c r="AC155" s="736"/>
      <c r="AD155" s="736"/>
      <c r="AE155" s="736"/>
      <c r="AF155" s="1811">
        <v>11</v>
      </c>
    </row>
    <row s="12668" customFormat="1" customHeight="1" ht="11.549999999999999">
      <c r="A156" s="1157"/>
      <c r="B156" s="1806"/>
      <c r="C156" s="1806"/>
      <c r="D156" s="521"/>
      <c r="K156" s="1330"/>
      <c r="L156" s="1806"/>
      <c r="M156" s="1806"/>
      <c r="N156" s="1330"/>
      <c r="O156" s="1330"/>
      <c r="P156" s="1330"/>
      <c r="Q156" s="1330"/>
      <c r="R156" s="1806"/>
      <c r="S156" s="1330"/>
      <c r="T156" s="1330"/>
      <c r="U156" s="714"/>
      <c r="V156" s="1330"/>
      <c r="W156" s="1330"/>
      <c r="X156" s="1330"/>
      <c r="Y156" s="1330"/>
      <c r="Z156" s="1330"/>
      <c r="AA156" s="1802"/>
      <c r="AB156" s="736"/>
      <c r="AC156" s="736"/>
      <c r="AD156" s="736"/>
      <c r="AE156" s="736"/>
      <c r="AF156" s="1811">
        <v>11</v>
      </c>
    </row>
    <row s="12668" customFormat="1" customHeight="1" ht="11.549999999999999">
      <c r="A157" s="1157"/>
      <c r="B157" s="1806"/>
      <c r="C157" s="1806"/>
      <c r="D157" s="521"/>
      <c r="K157" s="1330"/>
      <c r="L157" s="1806"/>
      <c r="M157" s="1806"/>
      <c r="N157" s="1330"/>
      <c r="O157" s="1330"/>
      <c r="P157" s="1330"/>
      <c r="Q157" s="1330"/>
      <c r="R157" s="1806"/>
      <c r="S157" s="1330"/>
      <c r="T157" s="1330"/>
      <c r="U157" s="714"/>
      <c r="V157" s="1330"/>
      <c r="W157" s="1330"/>
      <c r="X157" s="1330"/>
      <c r="Y157" s="1330"/>
      <c r="Z157" s="1330"/>
      <c r="AA157" s="1802"/>
      <c r="AB157" s="736"/>
      <c r="AC157" s="736"/>
      <c r="AD157" s="736"/>
      <c r="AE157" s="736"/>
      <c r="AF157" s="1811">
        <v>11</v>
      </c>
    </row>
    <row s="12668" customFormat="1" customHeight="1" ht="11.549999999999999">
      <c r="A158" s="1157"/>
      <c r="B158" s="1806"/>
      <c r="C158" s="1806"/>
      <c r="D158" s="521"/>
      <c r="K158" s="1330"/>
      <c r="L158" s="1806"/>
      <c r="M158" s="1806"/>
      <c r="N158" s="1330"/>
      <c r="O158" s="1330"/>
      <c r="P158" s="1330"/>
      <c r="Q158" s="1330"/>
      <c r="R158" s="1806"/>
      <c r="S158" s="1330"/>
      <c r="T158" s="1330"/>
      <c r="U158" s="714"/>
      <c r="V158" s="1330"/>
      <c r="W158" s="1330"/>
      <c r="X158" s="1330"/>
      <c r="Y158" s="1330"/>
      <c r="Z158" s="1330"/>
      <c r="AA158" s="1802"/>
      <c r="AB158" s="736"/>
      <c r="AC158" s="736"/>
      <c r="AD158" s="736"/>
      <c r="AE158" s="736"/>
      <c r="AF158" s="1811">
        <v>11</v>
      </c>
    </row>
    <row s="12668" customFormat="1" customHeight="1" ht="11.549999999999999">
      <c r="A159" s="1157"/>
      <c r="B159" s="1806"/>
      <c r="C159" s="1806"/>
      <c r="D159" s="521"/>
      <c r="K159" s="1330"/>
      <c r="L159" s="1806"/>
      <c r="M159" s="1806"/>
      <c r="N159" s="1330"/>
      <c r="O159" s="1330"/>
      <c r="P159" s="1330"/>
      <c r="Q159" s="1330"/>
      <c r="R159" s="1806"/>
      <c r="S159" s="1330"/>
      <c r="T159" s="1330"/>
      <c r="U159" s="714"/>
      <c r="V159" s="1330"/>
      <c r="W159" s="1330"/>
      <c r="X159" s="1330"/>
      <c r="Y159" s="1330"/>
      <c r="Z159" s="1330"/>
      <c r="AA159" s="1802"/>
      <c r="AB159" s="736"/>
      <c r="AC159" s="736"/>
      <c r="AD159" s="736"/>
      <c r="AE159" s="736"/>
      <c r="AF159" s="1811">
        <v>11</v>
      </c>
    </row>
    <row s="12668" customFormat="1" customHeight="1" ht="11.549999999999999">
      <c r="A160" s="1157"/>
      <c r="B160" s="1806"/>
      <c r="C160" s="1806"/>
      <c r="D160" s="521"/>
      <c r="K160" s="1330"/>
      <c r="L160" s="1806"/>
      <c r="M160" s="1806"/>
      <c r="N160" s="1330"/>
      <c r="O160" s="1330"/>
      <c r="P160" s="1330"/>
      <c r="Q160" s="1330"/>
      <c r="R160" s="1806"/>
      <c r="S160" s="1330"/>
      <c r="T160" s="1330"/>
      <c r="U160" s="714"/>
      <c r="V160" s="1330"/>
      <c r="W160" s="1330"/>
      <c r="X160" s="1330"/>
      <c r="Y160" s="1330"/>
      <c r="Z160" s="1330"/>
      <c r="AA160" s="1802"/>
      <c r="AB160" s="736"/>
      <c r="AC160" s="736"/>
      <c r="AD160" s="736"/>
      <c r="AE160" s="736"/>
      <c r="AF160" s="1811">
        <v>11</v>
      </c>
    </row>
    <row s="12668" customFormat="1" customHeight="1" ht="11.549999999999999">
      <c r="A161" s="1157"/>
      <c r="B161" s="1806"/>
      <c r="C161" s="1806"/>
      <c r="D161" s="521"/>
      <c r="K161" s="1330"/>
      <c r="L161" s="1806"/>
      <c r="M161" s="1806"/>
      <c r="N161" s="1330"/>
      <c r="O161" s="1330"/>
      <c r="P161" s="1330"/>
      <c r="Q161" s="1330"/>
      <c r="R161" s="1806"/>
      <c r="S161" s="1330"/>
      <c r="T161" s="1330"/>
      <c r="U161" s="714"/>
      <c r="V161" s="1330"/>
      <c r="W161" s="1330"/>
      <c r="X161" s="1330"/>
      <c r="Y161" s="1330"/>
      <c r="Z161" s="1330"/>
      <c r="AA161" s="1802"/>
      <c r="AB161" s="736"/>
      <c r="AC161" s="736"/>
      <c r="AD161" s="736"/>
      <c r="AE161" s="736"/>
      <c r="AF161" s="1811">
        <v>11</v>
      </c>
    </row>
    <row s="12668" customFormat="1" customHeight="1" ht="11.549999999999999">
      <c r="A162" s="1157"/>
      <c r="B162" s="1806"/>
      <c r="C162" s="1806"/>
      <c r="D162" s="521"/>
      <c r="K162" s="1330"/>
      <c r="L162" s="1806"/>
      <c r="M162" s="1806"/>
      <c r="N162" s="1330"/>
      <c r="O162" s="1330"/>
      <c r="P162" s="1330"/>
      <c r="Q162" s="1330"/>
      <c r="R162" s="1806"/>
      <c r="S162" s="1330"/>
      <c r="T162" s="1330"/>
      <c r="U162" s="714"/>
      <c r="V162" s="1330"/>
      <c r="W162" s="1330"/>
      <c r="X162" s="1330"/>
      <c r="Y162" s="1330"/>
      <c r="Z162" s="1330"/>
      <c r="AA162" s="1802"/>
      <c r="AB162" s="736"/>
      <c r="AC162" s="736"/>
      <c r="AD162" s="736"/>
      <c r="AE162" s="736"/>
      <c r="AF162" s="1811">
        <v>11</v>
      </c>
    </row>
    <row s="12668" customFormat="1" customHeight="1" ht="11.549999999999999">
      <c r="A163" s="1157"/>
      <c r="B163" s="1806"/>
      <c r="C163" s="1806"/>
      <c r="D163" s="521"/>
      <c r="K163" s="1330"/>
      <c r="L163" s="1806"/>
      <c r="M163" s="1806"/>
      <c r="N163" s="1330"/>
      <c r="O163" s="1330"/>
      <c r="P163" s="1330"/>
      <c r="Q163" s="1330"/>
      <c r="R163" s="1806"/>
      <c r="S163" s="1330"/>
      <c r="T163" s="1330"/>
      <c r="U163" s="714"/>
      <c r="V163" s="1330"/>
      <c r="W163" s="1330"/>
      <c r="X163" s="1330"/>
      <c r="Y163" s="1330"/>
      <c r="Z163" s="1330"/>
      <c r="AA163" s="1802"/>
      <c r="AB163" s="736"/>
      <c r="AC163" s="736"/>
      <c r="AD163" s="736"/>
      <c r="AE163" s="736"/>
      <c r="AF163" s="1811">
        <v>11</v>
      </c>
    </row>
    <row s="12668" customFormat="1" customHeight="1" ht="11.549999999999999">
      <c r="A164" s="1157"/>
      <c r="B164" s="1806"/>
      <c r="C164" s="1806"/>
      <c r="D164" s="521"/>
      <c r="K164" s="1330"/>
      <c r="L164" s="1806"/>
      <c r="M164" s="1806"/>
      <c r="N164" s="1330"/>
      <c r="O164" s="1330"/>
      <c r="P164" s="1330"/>
      <c r="Q164" s="1330"/>
      <c r="R164" s="1806"/>
      <c r="S164" s="1330"/>
      <c r="T164" s="1330"/>
      <c r="U164" s="714"/>
      <c r="V164" s="1330"/>
      <c r="W164" s="1330"/>
      <c r="X164" s="1330"/>
      <c r="Y164" s="1330"/>
      <c r="Z164" s="1330"/>
      <c r="AA164" s="1802"/>
      <c r="AB164" s="736"/>
      <c r="AC164" s="736"/>
      <c r="AD164" s="736"/>
      <c r="AE164" s="736"/>
      <c r="AF164" s="1811">
        <v>11</v>
      </c>
    </row>
    <row s="12668" customFormat="1" customHeight="1" ht="11.549999999999999">
      <c r="A165" s="1157"/>
      <c r="B165" s="1806"/>
      <c r="C165" s="1806"/>
      <c r="D165" s="521"/>
      <c r="K165" s="1330"/>
      <c r="L165" s="1806"/>
      <c r="M165" s="1806"/>
      <c r="N165" s="1330"/>
      <c r="O165" s="1330"/>
      <c r="P165" s="1330"/>
      <c r="Q165" s="1330"/>
      <c r="R165" s="1806"/>
      <c r="S165" s="1330"/>
      <c r="T165" s="1330"/>
      <c r="U165" s="714"/>
      <c r="V165" s="1330"/>
      <c r="W165" s="1330"/>
      <c r="X165" s="1330"/>
      <c r="Y165" s="1330"/>
      <c r="Z165" s="1330"/>
      <c r="AA165" s="1802"/>
      <c r="AB165" s="736"/>
      <c r="AC165" s="736"/>
      <c r="AD165" s="736"/>
      <c r="AE165" s="736"/>
      <c r="AF165" s="1811">
        <v>11</v>
      </c>
    </row>
    <row s="12668" customFormat="1" customHeight="1" ht="11.549999999999999">
      <c r="A166" s="1157"/>
      <c r="B166" s="1806"/>
      <c r="C166" s="1806"/>
      <c r="D166" s="521"/>
      <c r="K166" s="1330"/>
      <c r="L166" s="1806"/>
      <c r="M166" s="1806"/>
      <c r="N166" s="1330"/>
      <c r="O166" s="1330"/>
      <c r="P166" s="1330"/>
      <c r="Q166" s="1330"/>
      <c r="R166" s="1806"/>
      <c r="S166" s="1330"/>
      <c r="T166" s="1330"/>
      <c r="U166" s="714"/>
      <c r="V166" s="1330"/>
      <c r="W166" s="1330"/>
      <c r="X166" s="1330"/>
      <c r="Y166" s="1330"/>
      <c r="Z166" s="1330"/>
      <c r="AA166" s="1802"/>
      <c r="AB166" s="736"/>
      <c r="AC166" s="736"/>
      <c r="AD166" s="736"/>
      <c r="AE166" s="736"/>
      <c r="AF166" s="1811">
        <v>11</v>
      </c>
    </row>
    <row s="12668" customFormat="1" customHeight="1" ht="11.549999999999999">
      <c r="A167" s="1157"/>
      <c r="B167" s="1806"/>
      <c r="C167" s="1806"/>
      <c r="D167" s="521"/>
      <c r="K167" s="1330"/>
      <c r="L167" s="1806"/>
      <c r="M167" s="1806"/>
      <c r="N167" s="1330"/>
      <c r="O167" s="1330"/>
      <c r="P167" s="1330"/>
      <c r="Q167" s="1330"/>
      <c r="R167" s="1806"/>
      <c r="S167" s="1330"/>
      <c r="T167" s="1330"/>
      <c r="U167" s="714"/>
      <c r="V167" s="1330"/>
      <c r="W167" s="1330"/>
      <c r="X167" s="1330"/>
      <c r="Y167" s="1330"/>
      <c r="Z167" s="1330"/>
      <c r="AA167" s="1802"/>
      <c r="AB167" s="736"/>
      <c r="AC167" s="736"/>
      <c r="AD167" s="736"/>
      <c r="AE167" s="736"/>
      <c r="AF167" s="1811">
        <v>11</v>
      </c>
    </row>
    <row s="12668" customFormat="1" customHeight="1" ht="11.549999999999999">
      <c r="A168" s="1157"/>
      <c r="B168" s="1806"/>
      <c r="C168" s="1806"/>
      <c r="D168" s="521"/>
      <c r="K168" s="1330"/>
      <c r="L168" s="1806"/>
      <c r="M168" s="1806"/>
      <c r="N168" s="1330"/>
      <c r="O168" s="1330"/>
      <c r="P168" s="1330"/>
      <c r="Q168" s="1330"/>
      <c r="R168" s="1806"/>
      <c r="S168" s="1330"/>
      <c r="T168" s="1330"/>
      <c r="U168" s="714"/>
      <c r="V168" s="1330"/>
      <c r="W168" s="1330"/>
      <c r="X168" s="1330"/>
      <c r="Y168" s="1330"/>
      <c r="Z168" s="1330"/>
      <c r="AA168" s="1802"/>
      <c r="AB168" s="736"/>
      <c r="AC168" s="736"/>
      <c r="AD168" s="736"/>
      <c r="AE168" s="736"/>
      <c r="AF168" s="1811">
        <v>11</v>
      </c>
    </row>
    <row s="12668" customFormat="1" customHeight="1" ht="11.549999999999999">
      <c r="A169" s="1157"/>
      <c r="B169" s="1806"/>
      <c r="C169" s="1806"/>
      <c r="D169" s="521"/>
      <c r="K169" s="1330"/>
      <c r="L169" s="1806"/>
      <c r="M169" s="1806"/>
      <c r="N169" s="1330"/>
      <c r="O169" s="1330"/>
      <c r="P169" s="1330"/>
      <c r="Q169" s="1330"/>
      <c r="R169" s="1806"/>
      <c r="S169" s="1330"/>
      <c r="T169" s="1330"/>
      <c r="U169" s="714"/>
      <c r="V169" s="1330"/>
      <c r="W169" s="1330"/>
      <c r="X169" s="1330"/>
      <c r="Y169" s="1330"/>
      <c r="Z169" s="1330"/>
      <c r="AA169" s="1802"/>
      <c r="AB169" s="736"/>
      <c r="AC169" s="736"/>
      <c r="AD169" s="736"/>
      <c r="AE169" s="736"/>
      <c r="AF169" s="1811">
        <v>11</v>
      </c>
    </row>
    <row s="12668" customFormat="1" customHeight="1" ht="11.549999999999999">
      <c r="A170" s="1157"/>
      <c r="B170" s="1806"/>
      <c r="C170" s="1806"/>
      <c r="D170" s="521"/>
      <c r="K170" s="1330"/>
      <c r="L170" s="1806"/>
      <c r="M170" s="1806"/>
      <c r="N170" s="1330"/>
      <c r="O170" s="1330"/>
      <c r="P170" s="1330"/>
      <c r="Q170" s="1330"/>
      <c r="R170" s="1806"/>
      <c r="S170" s="1330"/>
      <c r="T170" s="1330"/>
      <c r="U170" s="714"/>
      <c r="V170" s="1330"/>
      <c r="W170" s="1330"/>
      <c r="X170" s="1330"/>
      <c r="Y170" s="1330"/>
      <c r="Z170" s="1330"/>
      <c r="AA170" s="1802"/>
      <c r="AB170" s="736"/>
      <c r="AC170" s="736"/>
      <c r="AD170" s="736"/>
      <c r="AE170" s="736"/>
      <c r="AF170" s="1811">
        <v>11</v>
      </c>
    </row>
    <row s="12668" customFormat="1" customHeight="1" ht="11.549999999999999">
      <c r="A171" s="1157"/>
      <c r="B171" s="1806"/>
      <c r="C171" s="1806"/>
      <c r="D171" s="521"/>
      <c r="K171" s="1330"/>
      <c r="L171" s="1806"/>
      <c r="M171" s="1806"/>
      <c r="N171" s="1330"/>
      <c r="O171" s="1330"/>
      <c r="P171" s="1330"/>
      <c r="Q171" s="1330"/>
      <c r="R171" s="1806"/>
      <c r="S171" s="1330"/>
      <c r="T171" s="1330"/>
      <c r="U171" s="714"/>
      <c r="V171" s="1330"/>
      <c r="W171" s="1330"/>
      <c r="X171" s="1330"/>
      <c r="Y171" s="1330"/>
      <c r="Z171" s="1330"/>
      <c r="AA171" s="1802"/>
      <c r="AB171" s="736"/>
      <c r="AC171" s="736"/>
      <c r="AD171" s="736"/>
      <c r="AE171" s="736"/>
      <c r="AF171" s="1811">
        <v>11</v>
      </c>
    </row>
    <row s="12668" customFormat="1" customHeight="1" ht="11.549999999999999">
      <c r="A172" s="1157"/>
      <c r="B172" s="1806"/>
      <c r="C172" s="1806"/>
      <c r="D172" s="521"/>
      <c r="K172" s="1330"/>
      <c r="L172" s="1806"/>
      <c r="M172" s="1806"/>
      <c r="N172" s="1330"/>
      <c r="O172" s="1330"/>
      <c r="P172" s="1330"/>
      <c r="Q172" s="1330"/>
      <c r="R172" s="1806"/>
      <c r="S172" s="1330"/>
      <c r="T172" s="1330"/>
      <c r="U172" s="714"/>
      <c r="V172" s="1330"/>
      <c r="W172" s="1330"/>
      <c r="X172" s="1330"/>
      <c r="Y172" s="1330"/>
      <c r="Z172" s="1330"/>
      <c r="AA172" s="1802"/>
      <c r="AB172" s="736"/>
      <c r="AC172" s="736"/>
      <c r="AD172" s="736"/>
      <c r="AE172" s="736"/>
      <c r="AF172" s="1811">
        <v>11</v>
      </c>
    </row>
    <row s="12668" customFormat="1" customHeight="1" ht="11.549999999999999">
      <c r="A173" s="1157"/>
      <c r="B173" s="1806"/>
      <c r="C173" s="1806"/>
      <c r="D173" s="521"/>
      <c r="K173" s="1330"/>
      <c r="L173" s="1806"/>
      <c r="M173" s="1806"/>
      <c r="N173" s="1330"/>
      <c r="O173" s="1330"/>
      <c r="P173" s="1330"/>
      <c r="Q173" s="1330"/>
      <c r="R173" s="1806"/>
      <c r="S173" s="1330"/>
      <c r="T173" s="1330"/>
      <c r="U173" s="714"/>
      <c r="V173" s="1330"/>
      <c r="W173" s="1330"/>
      <c r="X173" s="1330"/>
      <c r="Y173" s="1330"/>
      <c r="Z173" s="1330"/>
      <c r="AA173" s="1802"/>
      <c r="AB173" s="736"/>
      <c r="AC173" s="736"/>
      <c r="AD173" s="736"/>
      <c r="AE173" s="736"/>
      <c r="AF173" s="1811">
        <v>11</v>
      </c>
    </row>
    <row s="12668" customFormat="1" customHeight="1" ht="11.549999999999999">
      <c r="A174" s="1157"/>
      <c r="B174" s="1806"/>
      <c r="C174" s="1806"/>
      <c r="D174" s="521"/>
      <c r="K174" s="1330"/>
      <c r="L174" s="1806"/>
      <c r="M174" s="1806"/>
      <c r="N174" s="1330"/>
      <c r="O174" s="1330"/>
      <c r="P174" s="1330"/>
      <c r="Q174" s="1330"/>
      <c r="R174" s="1806"/>
      <c r="S174" s="1330"/>
      <c r="T174" s="1330"/>
      <c r="U174" s="714"/>
      <c r="V174" s="1330"/>
      <c r="W174" s="1330"/>
      <c r="X174" s="1330"/>
      <c r="Y174" s="1330"/>
      <c r="Z174" s="1330"/>
      <c r="AA174" s="1802"/>
      <c r="AB174" s="736"/>
      <c r="AC174" s="736"/>
      <c r="AD174" s="736"/>
      <c r="AE174" s="736"/>
      <c r="AF174" s="1811">
        <v>11</v>
      </c>
    </row>
    <row s="12668" customFormat="1" customHeight="1" ht="11.549999999999999">
      <c r="A175" s="1157"/>
      <c r="B175" s="1806"/>
      <c r="C175" s="1806"/>
      <c r="D175" s="521"/>
      <c r="K175" s="1330"/>
      <c r="L175" s="1806"/>
      <c r="M175" s="1806"/>
      <c r="N175" s="1330"/>
      <c r="O175" s="1330"/>
      <c r="P175" s="1330"/>
      <c r="Q175" s="1330"/>
      <c r="R175" s="1806"/>
      <c r="S175" s="1330"/>
      <c r="T175" s="1330"/>
      <c r="U175" s="714"/>
      <c r="V175" s="1330"/>
      <c r="W175" s="1330"/>
      <c r="X175" s="1330"/>
      <c r="Y175" s="1330"/>
      <c r="Z175" s="1330"/>
      <c r="AA175" s="1802"/>
      <c r="AB175" s="736"/>
      <c r="AC175" s="736"/>
      <c r="AD175" s="736"/>
      <c r="AE175" s="736"/>
      <c r="AF175" s="1811">
        <v>11</v>
      </c>
    </row>
    <row s="12668" customFormat="1" customHeight="1" ht="11.549999999999999">
      <c r="A176" s="1157"/>
      <c r="B176" s="1806"/>
      <c r="C176" s="1806"/>
      <c r="D176" s="521"/>
      <c r="K176" s="1330"/>
      <c r="L176" s="1806"/>
      <c r="M176" s="1806"/>
      <c r="N176" s="1330"/>
      <c r="O176" s="1330"/>
      <c r="P176" s="1330"/>
      <c r="Q176" s="1330"/>
      <c r="R176" s="1806"/>
      <c r="S176" s="1330"/>
      <c r="T176" s="1330"/>
      <c r="U176" s="714"/>
      <c r="V176" s="1330"/>
      <c r="W176" s="1330"/>
      <c r="X176" s="1330"/>
      <c r="Y176" s="1330"/>
      <c r="Z176" s="1330"/>
      <c r="AA176" s="1802"/>
      <c r="AB176" s="736"/>
      <c r="AC176" s="736"/>
      <c r="AD176" s="736"/>
      <c r="AE176" s="736"/>
      <c r="AF176" s="1811">
        <v>11</v>
      </c>
    </row>
    <row s="12668" customFormat="1" customHeight="1" ht="11.549999999999999">
      <c r="A177" s="1157"/>
      <c r="B177" s="1806"/>
      <c r="C177" s="1806"/>
      <c r="D177" s="521"/>
      <c r="K177" s="1330"/>
      <c r="L177" s="1806"/>
      <c r="M177" s="1806"/>
      <c r="N177" s="1330"/>
      <c r="O177" s="1330"/>
      <c r="P177" s="1330"/>
      <c r="Q177" s="1330"/>
      <c r="R177" s="1806"/>
      <c r="S177" s="1330"/>
      <c r="T177" s="1330"/>
      <c r="U177" s="714"/>
      <c r="V177" s="1330"/>
      <c r="W177" s="1330"/>
      <c r="X177" s="1330"/>
      <c r="Y177" s="1330"/>
      <c r="Z177" s="1330"/>
      <c r="AA177" s="1802"/>
      <c r="AB177" s="736"/>
      <c r="AC177" s="736"/>
      <c r="AD177" s="736"/>
      <c r="AE177" s="736"/>
      <c r="AF177" s="1811">
        <v>11</v>
      </c>
    </row>
    <row s="12668" customFormat="1" customHeight="1" ht="11.549999999999999">
      <c r="A178" s="1157"/>
      <c r="B178" s="1806"/>
      <c r="C178" s="1806"/>
      <c r="D178" s="521"/>
      <c r="K178" s="1330"/>
      <c r="L178" s="1806"/>
      <c r="M178" s="1806"/>
      <c r="N178" s="1330"/>
      <c r="O178" s="1330"/>
      <c r="P178" s="1330"/>
      <c r="Q178" s="1330"/>
      <c r="R178" s="1806"/>
      <c r="S178" s="1330"/>
      <c r="T178" s="1330"/>
      <c r="U178" s="714"/>
      <c r="V178" s="1330"/>
      <c r="W178" s="1330"/>
      <c r="X178" s="1330"/>
      <c r="Y178" s="1330"/>
      <c r="Z178" s="1330"/>
      <c r="AA178" s="1802"/>
      <c r="AB178" s="736"/>
      <c r="AC178" s="736"/>
      <c r="AD178" s="736"/>
      <c r="AE178" s="736"/>
      <c r="AF178" s="1811">
        <v>11</v>
      </c>
    </row>
    <row s="12668" customFormat="1" customHeight="1" ht="11.549999999999999">
      <c r="A179" s="1157"/>
      <c r="B179" s="1806"/>
      <c r="C179" s="1806"/>
      <c r="D179" s="521"/>
      <c r="K179" s="1330"/>
      <c r="L179" s="1806"/>
      <c r="M179" s="1806"/>
      <c r="N179" s="1330"/>
      <c r="O179" s="1330"/>
      <c r="P179" s="1330"/>
      <c r="Q179" s="1330"/>
      <c r="R179" s="1806"/>
      <c r="S179" s="1330"/>
      <c r="T179" s="1330"/>
      <c r="U179" s="714"/>
      <c r="V179" s="1330"/>
      <c r="W179" s="1330"/>
      <c r="X179" s="1330"/>
      <c r="Y179" s="1330"/>
      <c r="Z179" s="1330"/>
      <c r="AA179" s="1802"/>
      <c r="AB179" s="736"/>
      <c r="AC179" s="736"/>
      <c r="AD179" s="736"/>
      <c r="AE179" s="736"/>
      <c r="AF179" s="1811">
        <v>11</v>
      </c>
    </row>
    <row s="12668" customFormat="1" customHeight="1" ht="11.549999999999999">
      <c r="A180" s="1157"/>
      <c r="B180" s="1806"/>
      <c r="C180" s="1806"/>
      <c r="D180" s="521"/>
      <c r="K180" s="1330"/>
      <c r="L180" s="1806"/>
      <c r="M180" s="1806"/>
      <c r="N180" s="1330"/>
      <c r="O180" s="1330"/>
      <c r="P180" s="1330"/>
      <c r="Q180" s="1330"/>
      <c r="R180" s="1806"/>
      <c r="S180" s="1330"/>
      <c r="T180" s="1330"/>
      <c r="U180" s="714"/>
      <c r="V180" s="1330"/>
      <c r="W180" s="1330"/>
      <c r="X180" s="1330"/>
      <c r="Y180" s="1330"/>
      <c r="Z180" s="1330"/>
      <c r="AA180" s="1802"/>
      <c r="AB180" s="736"/>
      <c r="AC180" s="736"/>
      <c r="AD180" s="736"/>
      <c r="AE180" s="736"/>
      <c r="AF180" s="1811">
        <v>11</v>
      </c>
    </row>
    <row s="12668" customFormat="1" customHeight="1" ht="11.549999999999999">
      <c r="A181" s="1157"/>
      <c r="B181" s="1806"/>
      <c r="C181" s="1806"/>
      <c r="D181" s="521"/>
      <c r="K181" s="1330"/>
      <c r="L181" s="1806"/>
      <c r="M181" s="1806"/>
      <c r="N181" s="1330"/>
      <c r="O181" s="1330"/>
      <c r="P181" s="1330"/>
      <c r="Q181" s="1330"/>
      <c r="R181" s="1806"/>
      <c r="S181" s="1330"/>
      <c r="T181" s="1330"/>
      <c r="U181" s="714"/>
      <c r="V181" s="1330"/>
      <c r="W181" s="1330"/>
      <c r="X181" s="1330"/>
      <c r="Y181" s="1330"/>
      <c r="Z181" s="1330"/>
      <c r="AA181" s="1802"/>
      <c r="AB181" s="736"/>
      <c r="AC181" s="736"/>
      <c r="AD181" s="736"/>
      <c r="AE181" s="736"/>
      <c r="AF181" s="1811">
        <v>11</v>
      </c>
    </row>
    <row s="12668" customFormat="1" customHeight="1" ht="11.549999999999999">
      <c r="A182" s="1157"/>
      <c r="B182" s="1806"/>
      <c r="C182" s="1806"/>
      <c r="D182" s="521"/>
      <c r="K182" s="1330"/>
      <c r="L182" s="1806"/>
      <c r="M182" s="1806"/>
      <c r="N182" s="1330"/>
      <c r="O182" s="1330"/>
      <c r="P182" s="1330"/>
      <c r="Q182" s="1330"/>
      <c r="R182" s="1806"/>
      <c r="S182" s="1330"/>
      <c r="T182" s="1330"/>
      <c r="U182" s="714"/>
      <c r="V182" s="1330"/>
      <c r="W182" s="1330"/>
      <c r="X182" s="1330"/>
      <c r="Y182" s="1330"/>
      <c r="Z182" s="1330"/>
      <c r="AA182" s="1802"/>
      <c r="AB182" s="736"/>
      <c r="AC182" s="736"/>
      <c r="AD182" s="736"/>
      <c r="AE182" s="736"/>
      <c r="AF182" s="1811">
        <v>11</v>
      </c>
    </row>
    <row s="12668" customFormat="1" customHeight="1" ht="11.549999999999999">
      <c r="A183" s="1157"/>
      <c r="B183" s="1806"/>
      <c r="C183" s="1806"/>
      <c r="D183" s="521"/>
      <c r="K183" s="1330"/>
      <c r="L183" s="1806"/>
      <c r="M183" s="1806"/>
      <c r="N183" s="1330"/>
      <c r="O183" s="1330"/>
      <c r="P183" s="1330"/>
      <c r="Q183" s="1330"/>
      <c r="R183" s="1806"/>
      <c r="S183" s="1330"/>
      <c r="T183" s="1330"/>
      <c r="U183" s="714"/>
      <c r="V183" s="1330"/>
      <c r="W183" s="1330"/>
      <c r="X183" s="1330"/>
      <c r="Y183" s="1330"/>
      <c r="Z183" s="1330"/>
      <c r="AA183" s="1802"/>
      <c r="AB183" s="736"/>
      <c r="AC183" s="736"/>
      <c r="AD183" s="736"/>
      <c r="AE183" s="736"/>
      <c r="AF183" s="1811">
        <v>11</v>
      </c>
    </row>
    <row s="12668" customFormat="1" customHeight="1" ht="11.549999999999999">
      <c r="A184" s="1157"/>
      <c r="B184" s="1806"/>
      <c r="C184" s="1806"/>
      <c r="D184" s="521"/>
      <c r="K184" s="1330"/>
      <c r="L184" s="1806"/>
      <c r="M184" s="1806"/>
      <c r="N184" s="1330"/>
      <c r="O184" s="1330"/>
      <c r="P184" s="1330"/>
      <c r="Q184" s="1330"/>
      <c r="R184" s="1806"/>
      <c r="S184" s="1330"/>
      <c r="T184" s="1330"/>
      <c r="U184" s="714"/>
      <c r="V184" s="1330"/>
      <c r="W184" s="1330"/>
      <c r="X184" s="1330"/>
      <c r="Y184" s="1330"/>
      <c r="Z184" s="1330"/>
      <c r="AA184" s="1802"/>
      <c r="AB184" s="736"/>
      <c r="AC184" s="736"/>
      <c r="AD184" s="736"/>
      <c r="AE184" s="736"/>
      <c r="AF184" s="1811">
        <v>11</v>
      </c>
    </row>
    <row s="12668" customFormat="1" customHeight="1" ht="11.549999999999999">
      <c r="A185" s="1157"/>
      <c r="B185" s="1806"/>
      <c r="C185" s="1806"/>
      <c r="D185" s="521"/>
      <c r="K185" s="1330"/>
      <c r="L185" s="1806"/>
      <c r="M185" s="1806"/>
      <c r="N185" s="1330"/>
      <c r="O185" s="1330"/>
      <c r="P185" s="1330"/>
      <c r="Q185" s="1330"/>
      <c r="R185" s="1806"/>
      <c r="S185" s="1330"/>
      <c r="T185" s="1330"/>
      <c r="U185" s="714"/>
      <c r="V185" s="1330"/>
      <c r="W185" s="1330"/>
      <c r="X185" s="1330"/>
      <c r="Y185" s="1330"/>
      <c r="Z185" s="1330"/>
      <c r="AA185" s="1802"/>
      <c r="AB185" s="736"/>
      <c r="AC185" s="736"/>
      <c r="AD185" s="736"/>
      <c r="AE185" s="736"/>
      <c r="AF185" s="1811">
        <v>11</v>
      </c>
    </row>
    <row s="12668" customFormat="1" customHeight="1" ht="11.549999999999999">
      <c r="A186" s="1157"/>
      <c r="B186" s="1806"/>
      <c r="C186" s="1806"/>
      <c r="D186" s="521"/>
      <c r="K186" s="1330"/>
      <c r="L186" s="1806"/>
      <c r="M186" s="1806"/>
      <c r="N186" s="1330"/>
      <c r="O186" s="1330"/>
      <c r="P186" s="1330"/>
      <c r="Q186" s="1330"/>
      <c r="R186" s="1806"/>
      <c r="S186" s="1330"/>
      <c r="T186" s="1330"/>
      <c r="U186" s="714"/>
      <c r="V186" s="1330"/>
      <c r="W186" s="1330"/>
      <c r="X186" s="1330"/>
      <c r="Y186" s="1330"/>
      <c r="Z186" s="1330"/>
      <c r="AA186" s="1802"/>
      <c r="AB186" s="736"/>
      <c r="AC186" s="736"/>
      <c r="AD186" s="736"/>
      <c r="AE186" s="736"/>
      <c r="AF186" s="1811">
        <v>11</v>
      </c>
    </row>
    <row s="12668" customFormat="1" customHeight="1" ht="11.549999999999999">
      <c r="A187" s="1157"/>
      <c r="B187" s="1806"/>
      <c r="C187" s="1806"/>
      <c r="D187" s="521"/>
      <c r="K187" s="1330"/>
      <c r="L187" s="1806"/>
      <c r="M187" s="1806"/>
      <c r="N187" s="1330"/>
      <c r="O187" s="1330"/>
      <c r="P187" s="1330"/>
      <c r="Q187" s="1330"/>
      <c r="R187" s="1806"/>
      <c r="S187" s="1330"/>
      <c r="T187" s="1330"/>
      <c r="U187" s="714"/>
      <c r="V187" s="1330"/>
      <c r="W187" s="1330"/>
      <c r="X187" s="1330"/>
      <c r="Y187" s="1330"/>
      <c r="Z187" s="1330"/>
      <c r="AA187" s="1802"/>
      <c r="AB187" s="736"/>
      <c r="AC187" s="736"/>
      <c r="AD187" s="736"/>
      <c r="AE187" s="736"/>
      <c r="AF187" s="1811">
        <v>11</v>
      </c>
    </row>
    <row s="12668" customFormat="1" customHeight="1" ht="11.549999999999999">
      <c r="A188" s="1157"/>
      <c r="B188" s="1806"/>
      <c r="C188" s="1806"/>
      <c r="D188" s="521"/>
      <c r="K188" s="1330"/>
      <c r="L188" s="1806"/>
      <c r="M188" s="1806"/>
      <c r="N188" s="1330"/>
      <c r="O188" s="1330"/>
      <c r="P188" s="1330"/>
      <c r="Q188" s="1330"/>
      <c r="R188" s="1806"/>
      <c r="S188" s="1330"/>
      <c r="T188" s="1330"/>
      <c r="U188" s="714"/>
      <c r="V188" s="1330"/>
      <c r="W188" s="1330"/>
      <c r="X188" s="1330"/>
      <c r="Y188" s="1330"/>
      <c r="Z188" s="1330"/>
      <c r="AA188" s="1802"/>
      <c r="AB188" s="736"/>
      <c r="AC188" s="736"/>
      <c r="AD188" s="736"/>
      <c r="AE188" s="736"/>
      <c r="AF188" s="1811">
        <v>11</v>
      </c>
    </row>
    <row s="12668" customFormat="1" customHeight="1" ht="11.549999999999999">
      <c r="A189" s="1157"/>
      <c r="B189" s="1806"/>
      <c r="C189" s="1806"/>
      <c r="D189" s="521"/>
      <c r="K189" s="1330"/>
      <c r="L189" s="1806"/>
      <c r="M189" s="1806"/>
      <c r="N189" s="1330"/>
      <c r="O189" s="1330"/>
      <c r="P189" s="1330"/>
      <c r="Q189" s="1330"/>
      <c r="R189" s="1806"/>
      <c r="S189" s="1330"/>
      <c r="T189" s="1330"/>
      <c r="U189" s="714"/>
      <c r="V189" s="1330"/>
      <c r="W189" s="1330"/>
      <c r="X189" s="1330"/>
      <c r="Y189" s="1330"/>
      <c r="Z189" s="1330"/>
      <c r="AA189" s="1802"/>
      <c r="AB189" s="736"/>
      <c r="AC189" s="736"/>
      <c r="AD189" s="736"/>
      <c r="AE189" s="736"/>
      <c r="AF189" s="1811">
        <v>11</v>
      </c>
    </row>
    <row s="12668" customFormat="1" customHeight="1" ht="11.549999999999999">
      <c r="A190" s="1157"/>
      <c r="B190" s="1806"/>
      <c r="C190" s="1806"/>
      <c r="D190" s="521"/>
      <c r="K190" s="1330"/>
      <c r="L190" s="1806"/>
      <c r="M190" s="1806"/>
      <c r="N190" s="1330"/>
      <c r="O190" s="1330"/>
      <c r="P190" s="1330"/>
      <c r="Q190" s="1330"/>
      <c r="R190" s="1806"/>
      <c r="S190" s="1330"/>
      <c r="T190" s="1330"/>
      <c r="U190" s="714"/>
      <c r="V190" s="1330"/>
      <c r="W190" s="1330"/>
      <c r="X190" s="1330"/>
      <c r="Y190" s="1330"/>
      <c r="Z190" s="1330"/>
      <c r="AA190" s="1802"/>
      <c r="AB190" s="736"/>
      <c r="AC190" s="736"/>
      <c r="AD190" s="736"/>
      <c r="AE190" s="736"/>
      <c r="AF190" s="1811">
        <v>11</v>
      </c>
    </row>
    <row s="12668" customFormat="1" customHeight="1" ht="11.549999999999999">
      <c r="A191" s="1157"/>
      <c r="B191" s="1806"/>
      <c r="C191" s="1806"/>
      <c r="D191" s="521"/>
      <c r="K191" s="1330"/>
      <c r="L191" s="1806"/>
      <c r="M191" s="1806"/>
      <c r="N191" s="1330"/>
      <c r="O191" s="1330"/>
      <c r="P191" s="1330"/>
      <c r="Q191" s="1330"/>
      <c r="R191" s="1806"/>
      <c r="S191" s="1330"/>
      <c r="T191" s="1330"/>
      <c r="U191" s="714"/>
      <c r="V191" s="1330"/>
      <c r="W191" s="1330"/>
      <c r="X191" s="1330"/>
      <c r="Y191" s="1330"/>
      <c r="Z191" s="1330"/>
      <c r="AA191" s="1802"/>
      <c r="AB191" s="736"/>
      <c r="AC191" s="736"/>
      <c r="AD191" s="736"/>
      <c r="AE191" s="736"/>
      <c r="AF191" s="1811">
        <v>11</v>
      </c>
    </row>
    <row s="12668" customFormat="1" customHeight="1" ht="11.549999999999999">
      <c r="A192" s="1157"/>
      <c r="B192" s="1806"/>
      <c r="C192" s="1806"/>
      <c r="D192" s="521"/>
      <c r="K192" s="1330"/>
      <c r="L192" s="1806"/>
      <c r="M192" s="1806"/>
      <c r="N192" s="1330"/>
      <c r="O192" s="1330"/>
      <c r="P192" s="1330"/>
      <c r="Q192" s="1330"/>
      <c r="R192" s="1806"/>
      <c r="S192" s="1330"/>
      <c r="T192" s="1330"/>
      <c r="U192" s="714"/>
      <c r="V192" s="1330"/>
      <c r="W192" s="1330"/>
      <c r="X192" s="1330"/>
      <c r="Y192" s="1330"/>
      <c r="Z192" s="1330"/>
      <c r="AA192" s="1802"/>
      <c r="AB192" s="736"/>
      <c r="AC192" s="736"/>
      <c r="AD192" s="736"/>
      <c r="AE192" s="736"/>
      <c r="AF192" s="1811">
        <v>11</v>
      </c>
    </row>
    <row s="12668" customFormat="1" customHeight="1" ht="11.549999999999999">
      <c r="A193" s="1157"/>
      <c r="B193" s="1806"/>
      <c r="C193" s="1806"/>
      <c r="D193" s="521"/>
      <c r="K193" s="1330"/>
      <c r="L193" s="1806"/>
      <c r="M193" s="1806"/>
      <c r="N193" s="1330"/>
      <c r="O193" s="1330"/>
      <c r="P193" s="1330"/>
      <c r="Q193" s="1330"/>
      <c r="R193" s="1806"/>
      <c r="S193" s="1330"/>
      <c r="T193" s="1330"/>
      <c r="U193" s="714"/>
      <c r="V193" s="1330"/>
      <c r="W193" s="1330"/>
      <c r="X193" s="1330"/>
      <c r="Y193" s="1330"/>
      <c r="Z193" s="1330"/>
      <c r="AA193" s="1802"/>
      <c r="AB193" s="736"/>
      <c r="AC193" s="736"/>
      <c r="AD193" s="736"/>
      <c r="AE193" s="736"/>
      <c r="AF193" s="1811">
        <v>11</v>
      </c>
    </row>
    <row s="12668" customFormat="1" customHeight="1" ht="11.549999999999999">
      <c r="A194" s="1157"/>
      <c r="B194" s="1806"/>
      <c r="C194" s="1806"/>
      <c r="D194" s="521"/>
      <c r="K194" s="1330"/>
      <c r="L194" s="1806"/>
      <c r="M194" s="1806"/>
      <c r="N194" s="1330"/>
      <c r="O194" s="1330"/>
      <c r="P194" s="1330"/>
      <c r="Q194" s="1330"/>
      <c r="R194" s="1806"/>
      <c r="S194" s="1330"/>
      <c r="T194" s="1330"/>
      <c r="U194" s="714"/>
      <c r="V194" s="1330"/>
      <c r="W194" s="1330"/>
      <c r="X194" s="1330"/>
      <c r="Y194" s="1330"/>
      <c r="Z194" s="1330"/>
      <c r="AA194" s="1802"/>
      <c r="AB194" s="736"/>
      <c r="AC194" s="736"/>
      <c r="AD194" s="736"/>
      <c r="AE194" s="736"/>
      <c r="AF194" s="1811">
        <v>11</v>
      </c>
    </row>
    <row s="12668" customFormat="1" customHeight="1" ht="11.549999999999999">
      <c r="A195" s="1157"/>
      <c r="B195" s="1806"/>
      <c r="C195" s="1806"/>
      <c r="D195" s="521"/>
      <c r="K195" s="1330"/>
      <c r="L195" s="1806"/>
      <c r="M195" s="1806"/>
      <c r="N195" s="1330"/>
      <c r="O195" s="1330"/>
      <c r="P195" s="1330"/>
      <c r="Q195" s="1330"/>
      <c r="R195" s="1806"/>
      <c r="S195" s="1330"/>
      <c r="T195" s="1330"/>
      <c r="U195" s="714"/>
      <c r="V195" s="1330"/>
      <c r="W195" s="1330"/>
      <c r="X195" s="1330"/>
      <c r="Y195" s="1330"/>
      <c r="Z195" s="1330"/>
      <c r="AA195" s="1802"/>
      <c r="AB195" s="736"/>
      <c r="AC195" s="736"/>
      <c r="AD195" s="736"/>
      <c r="AE195" s="736"/>
      <c r="AF195" s="1811">
        <v>11</v>
      </c>
    </row>
    <row s="12668" customFormat="1" customHeight="1" ht="11.549999999999999">
      <c r="A196" s="1157"/>
      <c r="B196" s="1806"/>
      <c r="C196" s="1806"/>
      <c r="D196" s="521"/>
      <c r="K196" s="1330"/>
      <c r="L196" s="1806"/>
      <c r="M196" s="1806"/>
      <c r="N196" s="1330"/>
      <c r="O196" s="1330"/>
      <c r="P196" s="1330"/>
      <c r="Q196" s="1330"/>
      <c r="R196" s="1806"/>
      <c r="S196" s="1330"/>
      <c r="T196" s="1330"/>
      <c r="U196" s="714"/>
      <c r="V196" s="1330"/>
      <c r="W196" s="1330"/>
      <c r="X196" s="1330"/>
      <c r="Y196" s="1330"/>
      <c r="Z196" s="1330"/>
      <c r="AA196" s="1802"/>
      <c r="AB196" s="736"/>
      <c r="AC196" s="736"/>
      <c r="AD196" s="736"/>
      <c r="AE196" s="736"/>
      <c r="AF196" s="1811">
        <v>11</v>
      </c>
    </row>
    <row s="12668" customFormat="1" customHeight="1" ht="11.549999999999999">
      <c r="A197" s="1157"/>
      <c r="B197" s="1806"/>
      <c r="C197" s="1806"/>
      <c r="D197" s="521"/>
      <c r="K197" s="1330"/>
      <c r="L197" s="1806"/>
      <c r="M197" s="1806"/>
      <c r="N197" s="1330"/>
      <c r="O197" s="1330"/>
      <c r="P197" s="1330"/>
      <c r="Q197" s="1330"/>
      <c r="R197" s="1806"/>
      <c r="S197" s="1330"/>
      <c r="T197" s="1330"/>
      <c r="U197" s="714"/>
      <c r="V197" s="1330"/>
      <c r="W197" s="1330"/>
      <c r="X197" s="1330"/>
      <c r="Y197" s="1330"/>
      <c r="Z197" s="1330"/>
      <c r="AA197" s="1802"/>
      <c r="AB197" s="736"/>
      <c r="AC197" s="736"/>
      <c r="AD197" s="736"/>
      <c r="AE197" s="736"/>
      <c r="AF197" s="1811">
        <v>11</v>
      </c>
    </row>
    <row s="12668" customFormat="1" customHeight="1" ht="11.549999999999999">
      <c r="A198" s="1157"/>
      <c r="B198" s="1806"/>
      <c r="C198" s="1806"/>
      <c r="D198" s="521"/>
      <c r="K198" s="1330"/>
      <c r="L198" s="1806"/>
      <c r="M198" s="1806"/>
      <c r="N198" s="1330"/>
      <c r="O198" s="1330"/>
      <c r="P198" s="1330"/>
      <c r="Q198" s="1330"/>
      <c r="R198" s="1806"/>
      <c r="S198" s="1330"/>
      <c r="T198" s="1330"/>
      <c r="U198" s="714"/>
      <c r="V198" s="1330"/>
      <c r="W198" s="1330"/>
      <c r="X198" s="1330"/>
      <c r="Y198" s="1330"/>
      <c r="Z198" s="1330"/>
      <c r="AA198" s="1802"/>
      <c r="AB198" s="736"/>
      <c r="AC198" s="736"/>
      <c r="AD198" s="736"/>
      <c r="AE198" s="736"/>
      <c r="AF198" s="1811">
        <v>11</v>
      </c>
    </row>
    <row s="12668" customFormat="1" customHeight="1" ht="11.549999999999999">
      <c r="A199" s="1157"/>
      <c r="B199" s="1806"/>
      <c r="C199" s="1806"/>
      <c r="D199" s="521"/>
      <c r="K199" s="1330"/>
      <c r="L199" s="1806"/>
      <c r="M199" s="1806"/>
      <c r="N199" s="1330"/>
      <c r="O199" s="1330"/>
      <c r="P199" s="1330"/>
      <c r="Q199" s="1330"/>
      <c r="R199" s="1806"/>
      <c r="S199" s="1330"/>
      <c r="T199" s="1330"/>
      <c r="U199" s="714"/>
      <c r="V199" s="1330"/>
      <c r="W199" s="1330"/>
      <c r="X199" s="1330"/>
      <c r="Y199" s="1330"/>
      <c r="Z199" s="1330"/>
      <c r="AA199" s="1802"/>
      <c r="AB199" s="736"/>
      <c r="AC199" s="736"/>
      <c r="AD199" s="736"/>
      <c r="AE199" s="736"/>
      <c r="AF199" s="1811">
        <v>11</v>
      </c>
    </row>
    <row s="12668" customFormat="1" customHeight="1" ht="11.549999999999999">
      <c r="A200" s="1157"/>
      <c r="B200" s="1806"/>
      <c r="C200" s="1806"/>
      <c r="D200" s="521"/>
      <c r="K200" s="1330"/>
      <c r="L200" s="1806"/>
      <c r="M200" s="1806"/>
      <c r="N200" s="1330"/>
      <c r="O200" s="1330"/>
      <c r="P200" s="1330"/>
      <c r="Q200" s="1330"/>
      <c r="R200" s="1806"/>
      <c r="S200" s="1330"/>
      <c r="T200" s="1330"/>
      <c r="U200" s="714"/>
      <c r="V200" s="1330"/>
      <c r="W200" s="1330"/>
      <c r="X200" s="1330"/>
      <c r="Y200" s="1330"/>
      <c r="Z200" s="1330"/>
      <c r="AA200" s="1802"/>
      <c r="AB200" s="736"/>
      <c r="AC200" s="736"/>
      <c r="AD200" s="736"/>
      <c r="AE200" s="736"/>
      <c r="AF200" s="1811">
        <v>11</v>
      </c>
    </row>
    <row s="12668" customFormat="1" customHeight="1" ht="11.549999999999999">
      <c r="A201" s="1157"/>
      <c r="B201" s="1806"/>
      <c r="C201" s="1806"/>
      <c r="D201" s="521"/>
      <c r="K201" s="1330"/>
      <c r="L201" s="1806"/>
      <c r="M201" s="1806"/>
      <c r="N201" s="1330"/>
      <c r="O201" s="1330"/>
      <c r="P201" s="1330"/>
      <c r="Q201" s="1330"/>
      <c r="R201" s="1806"/>
      <c r="S201" s="1330"/>
      <c r="T201" s="1330"/>
      <c r="U201" s="714"/>
      <c r="V201" s="1330"/>
      <c r="W201" s="1330"/>
      <c r="X201" s="1330"/>
      <c r="Y201" s="1330"/>
      <c r="Z201" s="1330"/>
      <c r="AA201" s="1802"/>
      <c r="AB201" s="736"/>
      <c r="AC201" s="736"/>
      <c r="AD201" s="736"/>
      <c r="AE201" s="736"/>
      <c r="AF201" s="1811">
        <v>11</v>
      </c>
    </row>
    <row s="12668" customFormat="1" customHeight="1" ht="11.549999999999999">
      <c r="A202" s="1157"/>
      <c r="B202" s="1806"/>
      <c r="C202" s="1806"/>
      <c r="D202" s="521"/>
      <c r="K202" s="1330"/>
      <c r="L202" s="1806"/>
      <c r="M202" s="1806"/>
      <c r="N202" s="1330"/>
      <c r="O202" s="1330"/>
      <c r="P202" s="1330"/>
      <c r="Q202" s="1330"/>
      <c r="R202" s="1806"/>
      <c r="S202" s="1330"/>
      <c r="T202" s="1330"/>
      <c r="U202" s="714"/>
      <c r="V202" s="1330"/>
      <c r="W202" s="1330"/>
      <c r="X202" s="1330"/>
      <c r="Y202" s="1330"/>
      <c r="Z202" s="1330"/>
      <c r="AA202" s="1802"/>
      <c r="AB202" s="736"/>
      <c r="AC202" s="736"/>
      <c r="AD202" s="736"/>
      <c r="AE202" s="736"/>
      <c r="AF202" s="1811">
        <v>11</v>
      </c>
    </row>
    <row customHeight="1" ht="11.549999999999999">
      <c r="AF203" s="1801">
        <v>11</v>
      </c>
    </row>
    <row customHeight="1" ht="11.549999999999999">
      <c r="AF204" s="1801">
        <v>11</v>
      </c>
    </row>
    <row customHeight="1" ht="11.549999999999999">
      <c r="AF205" s="1801">
        <v>11</v>
      </c>
    </row>
    <row customHeight="1" ht="11.549999999999999">
      <c r="A206" s="1160"/>
      <c r="B206" s="1801"/>
      <c r="D206" s="1801"/>
      <c r="K206" s="1801"/>
      <c r="N206" s="1801"/>
      <c r="O206" s="1801"/>
      <c r="P206" s="1801"/>
      <c r="Q206" s="1801"/>
      <c r="S206" s="1801"/>
      <c r="T206" s="1801"/>
      <c r="U206" s="1801"/>
      <c r="V206" s="1801"/>
      <c r="W206" s="1801"/>
      <c r="X206" s="1801"/>
      <c r="Y206" s="1801"/>
      <c r="Z206" s="1801"/>
      <c r="AA206" s="1801"/>
      <c r="AB206" s="1801"/>
      <c r="AC206" s="1801"/>
      <c r="AD206" s="1801"/>
      <c r="AE206" s="1801"/>
      <c r="AF206" s="1801">
        <v>11</v>
      </c>
    </row>
    <row customHeight="1" ht="11.549999999999999">
      <c r="A207" s="1160"/>
      <c r="B207" s="1801"/>
      <c r="D207" s="1801"/>
      <c r="K207" s="1801"/>
      <c r="N207" s="1801"/>
      <c r="O207" s="1801"/>
      <c r="P207" s="1801"/>
      <c r="Q207" s="1801"/>
      <c r="S207" s="1801"/>
      <c r="T207" s="1801"/>
      <c r="U207" s="1801"/>
      <c r="V207" s="1801"/>
      <c r="W207" s="1801"/>
      <c r="X207" s="1801"/>
      <c r="Y207" s="1801"/>
      <c r="Z207" s="1801"/>
      <c r="AA207" s="1801"/>
      <c r="AB207" s="1801"/>
      <c r="AC207" s="1801"/>
      <c r="AD207" s="1801"/>
      <c r="AE207" s="1801"/>
      <c r="AF207" s="1801">
        <v>11</v>
      </c>
    </row>
    <row customHeight="1" ht="11.549999999999999">
      <c r="A208" s="1160"/>
      <c r="B208" s="1801"/>
      <c r="D208" s="1801"/>
      <c r="K208" s="1801"/>
      <c r="N208" s="1801"/>
      <c r="O208" s="1801"/>
      <c r="P208" s="1801"/>
      <c r="Q208" s="1801"/>
      <c r="S208" s="1801"/>
      <c r="T208" s="1801"/>
      <c r="U208" s="1801"/>
      <c r="V208" s="1801"/>
      <c r="W208" s="1801"/>
      <c r="X208" s="1801"/>
      <c r="Y208" s="1801"/>
      <c r="Z208" s="1801"/>
      <c r="AA208" s="1801"/>
      <c r="AB208" s="1801"/>
      <c r="AC208" s="1801"/>
      <c r="AD208" s="1801"/>
      <c r="AE208" s="1801"/>
      <c r="AF208" s="1801">
        <v>11</v>
      </c>
    </row>
    <row customHeight="1" ht="11.549999999999999">
      <c r="A209" s="1160"/>
      <c r="B209" s="1801"/>
      <c r="D209" s="1801"/>
      <c r="K209" s="1801"/>
      <c r="N209" s="1801"/>
      <c r="O209" s="1801"/>
      <c r="P209" s="1801"/>
      <c r="Q209" s="1801"/>
      <c r="S209" s="1801"/>
      <c r="T209" s="1801"/>
      <c r="U209" s="1801"/>
      <c r="V209" s="1801"/>
      <c r="W209" s="1801"/>
      <c r="X209" s="1801"/>
      <c r="Y209" s="1801"/>
      <c r="Z209" s="1801"/>
      <c r="AA209" s="1801"/>
      <c r="AB209" s="1801"/>
      <c r="AC209" s="1801"/>
      <c r="AD209" s="1801"/>
      <c r="AE209" s="1801"/>
      <c r="AF209" s="1801">
        <v>11</v>
      </c>
    </row>
    <row customHeight="1" ht="11.549999999999999">
      <c r="A210" s="1160"/>
      <c r="B210" s="1801"/>
      <c r="D210" s="1801"/>
      <c r="K210" s="1801"/>
      <c r="N210" s="1801"/>
      <c r="O210" s="1801"/>
      <c r="P210" s="1801"/>
      <c r="Q210" s="1801"/>
      <c r="S210" s="1801"/>
      <c r="T210" s="1801"/>
      <c r="U210" s="1801"/>
      <c r="V210" s="1801"/>
      <c r="W210" s="1801"/>
      <c r="X210" s="1801"/>
      <c r="Y210" s="1801"/>
      <c r="Z210" s="1801"/>
      <c r="AA210" s="1801"/>
      <c r="AB210" s="1801"/>
      <c r="AC210" s="1801"/>
      <c r="AD210" s="1801"/>
      <c r="AE210" s="1801"/>
      <c r="AF210" s="1801">
        <v>11</v>
      </c>
    </row>
    <row customHeight="1" ht="11.549999999999999">
      <c r="A211" s="1160"/>
      <c r="B211" s="1801"/>
      <c r="D211" s="1801"/>
      <c r="K211" s="1801"/>
      <c r="N211" s="1801"/>
      <c r="O211" s="1801"/>
      <c r="P211" s="1801"/>
      <c r="Q211" s="1801"/>
      <c r="S211" s="1801"/>
      <c r="T211" s="1801"/>
      <c r="U211" s="1801"/>
      <c r="V211" s="1801"/>
      <c r="W211" s="1801"/>
      <c r="X211" s="1801"/>
      <c r="Y211" s="1801"/>
      <c r="Z211" s="1801"/>
      <c r="AA211" s="1801"/>
      <c r="AB211" s="1801"/>
      <c r="AC211" s="1801"/>
      <c r="AD211" s="1801"/>
      <c r="AE211" s="1801"/>
      <c r="AF211" s="1801">
        <v>11</v>
      </c>
    </row>
    <row customHeight="1" ht="11.549999999999999">
      <c r="A212" s="1160"/>
      <c r="B212" s="1801"/>
      <c r="D212" s="1801"/>
      <c r="K212" s="1801"/>
      <c r="N212" s="1801"/>
      <c r="O212" s="1801"/>
      <c r="P212" s="1801"/>
      <c r="Q212" s="1801"/>
      <c r="S212" s="1801"/>
      <c r="T212" s="1801"/>
      <c r="U212" s="1801"/>
      <c r="V212" s="1801"/>
      <c r="W212" s="1801"/>
      <c r="X212" s="1801"/>
      <c r="Y212" s="1801"/>
      <c r="Z212" s="1801"/>
      <c r="AA212" s="1801"/>
      <c r="AB212" s="1801"/>
      <c r="AC212" s="1801"/>
      <c r="AD212" s="1801"/>
      <c r="AE212" s="1801"/>
      <c r="AF212" s="1801">
        <v>11</v>
      </c>
    </row>
    <row customHeight="1" ht="11.549999999999999">
      <c r="A213" s="1160"/>
      <c r="B213" s="1801"/>
      <c r="D213" s="1801"/>
      <c r="K213" s="1801"/>
      <c r="N213" s="1801"/>
      <c r="O213" s="1801"/>
      <c r="P213" s="1801"/>
      <c r="Q213" s="1801"/>
      <c r="S213" s="1801"/>
      <c r="T213" s="1801"/>
      <c r="U213" s="1801"/>
      <c r="V213" s="1801"/>
      <c r="W213" s="1801"/>
      <c r="X213" s="1801"/>
      <c r="Y213" s="1801"/>
      <c r="Z213" s="1801"/>
      <c r="AA213" s="1801"/>
      <c r="AB213" s="1801"/>
      <c r="AC213" s="1801"/>
      <c r="AD213" s="1801"/>
      <c r="AE213" s="1801"/>
      <c r="AF213" s="1801">
        <v>11</v>
      </c>
    </row>
    <row customHeight="1" ht="11.549999999999999">
      <c r="A214" s="1160"/>
      <c r="B214" s="1801"/>
      <c r="D214" s="1801"/>
      <c r="K214" s="1801"/>
      <c r="N214" s="1801"/>
      <c r="O214" s="1801"/>
      <c r="P214" s="1801"/>
      <c r="Q214" s="1801"/>
      <c r="S214" s="1801"/>
      <c r="T214" s="1801"/>
      <c r="U214" s="1801"/>
      <c r="V214" s="1801"/>
      <c r="W214" s="1801"/>
      <c r="X214" s="1801"/>
      <c r="Y214" s="1801"/>
      <c r="Z214" s="1801"/>
      <c r="AA214" s="1801"/>
      <c r="AB214" s="1801"/>
      <c r="AC214" s="1801"/>
      <c r="AD214" s="1801"/>
      <c r="AE214" s="1801"/>
      <c r="AF214" s="1801">
        <v>11</v>
      </c>
    </row>
    <row customHeight="1" ht="11.549999999999999">
      <c r="A215" s="1160"/>
      <c r="B215" s="1801"/>
      <c r="D215" s="1801"/>
      <c r="K215" s="1801"/>
      <c r="N215" s="1801"/>
      <c r="O215" s="1801"/>
      <c r="P215" s="1801"/>
      <c r="Q215" s="1801"/>
      <c r="S215" s="1801"/>
      <c r="T215" s="1801"/>
      <c r="U215" s="1801"/>
      <c r="V215" s="1801"/>
      <c r="W215" s="1801"/>
      <c r="X215" s="1801"/>
      <c r="Y215" s="1801"/>
      <c r="Z215" s="1801"/>
      <c r="AA215" s="1801"/>
      <c r="AB215" s="1801"/>
      <c r="AC215" s="1801"/>
      <c r="AD215" s="1801"/>
      <c r="AE215" s="1801"/>
      <c r="AF215" s="1801">
        <v>11</v>
      </c>
    </row>
    <row customHeight="1" ht="11.549999999999999">
      <c r="A216" s="1160"/>
      <c r="B216" s="1801"/>
      <c r="D216" s="1801"/>
      <c r="K216" s="1801"/>
      <c r="N216" s="1801"/>
      <c r="O216" s="1801"/>
      <c r="P216" s="1801"/>
      <c r="Q216" s="1801"/>
      <c r="S216" s="1801"/>
      <c r="T216" s="1801"/>
      <c r="U216" s="1801"/>
      <c r="V216" s="1801"/>
      <c r="W216" s="1801"/>
      <c r="X216" s="1801"/>
      <c r="Y216" s="1801"/>
      <c r="Z216" s="1801"/>
      <c r="AA216" s="1801"/>
      <c r="AB216" s="1801"/>
      <c r="AC216" s="1801"/>
      <c r="AD216" s="1801"/>
      <c r="AE216" s="1801"/>
      <c r="AF216" s="1801">
        <v>11</v>
      </c>
    </row>
    <row customHeight="1" ht="11.25" hidden="1">
      <c r="A217" s="1157" t="s">
        <v>85</v>
      </c>
      <c r="B217" s="1330">
        <v>0</v>
      </c>
      <c r="C217" s="1806">
        <v>0</v>
      </c>
      <c r="D217" s="1805">
        <v>3</v>
      </c>
      <c r="E217" s="1801">
        <v>7</v>
      </c>
      <c r="F217" s="1801">
        <v>56</v>
      </c>
      <c r="G217" s="1801">
        <v>10</v>
      </c>
      <c r="H217" s="1801">
        <v>0</v>
      </c>
      <c r="I217" s="1801">
        <v>40</v>
      </c>
      <c r="J217" s="1801">
        <v>102</v>
      </c>
      <c r="K217" s="1330">
        <v>9</v>
      </c>
      <c r="L217" s="1806">
        <v>5</v>
      </c>
      <c r="M217" s="1806">
        <v>3</v>
      </c>
      <c r="N217" s="1330">
        <v>3</v>
      </c>
      <c r="O217" s="1330">
        <v>3</v>
      </c>
      <c r="P217" s="1330">
        <v>3</v>
      </c>
      <c r="Q217" s="1330">
        <v>3</v>
      </c>
      <c r="R217" s="1806">
        <v>10</v>
      </c>
      <c r="S217" s="1330">
        <v>34</v>
      </c>
      <c r="T217" s="1330">
        <v>9</v>
      </c>
      <c r="U217" s="714">
        <v>8</v>
      </c>
      <c r="V217" s="1330">
        <v>8</v>
      </c>
      <c r="W217" s="1330">
        <v>8</v>
      </c>
      <c r="X217" s="1330">
        <v>8</v>
      </c>
      <c r="Y217" s="1330">
        <v>8</v>
      </c>
      <c r="Z217" s="1330">
        <v>8</v>
      </c>
      <c r="AA217" s="1802">
        <v>8</v>
      </c>
      <c r="AB217" s="1802">
        <v>8</v>
      </c>
      <c r="AC217" s="1802">
        <v>8</v>
      </c>
      <c r="AD217" s="1802">
        <v>8</v>
      </c>
      <c r="AE217" s="1802">
        <v>8</v>
      </c>
      <c r="AF217" s="180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BE7DEB-05D1-1BC4-BB67-CF9822C1A31D}"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14537" width="10.7109375" hidden="1" customWidth="1"/>
    <col min="2" max="2" style="11992" width="16.8515625" hidden="1" customWidth="1"/>
    <col min="3" max="3" style="11993" width="5.57421875" hidden="1" customWidth="1"/>
    <col min="4" max="4" style="11913" width="3.00390625" customWidth="1"/>
    <col min="5" max="5" style="11913" width="7.00390625" customWidth="1"/>
    <col min="6" max="6" style="11913" width="54.00390625" customWidth="1"/>
    <col min="7" max="7" style="11913" width="10.00390625" customWidth="1"/>
    <col min="8" max="8" style="11913" width="40.7109375" hidden="1" customWidth="1"/>
    <col min="9" max="9" style="11913" width="40.00390625" customWidth="1"/>
    <col min="10" max="10" style="11913" width="102.00390625" customWidth="1"/>
    <col min="11" max="11" style="11992" width="9.00390625" customWidth="1"/>
    <col min="12" max="12" style="11993" width="5.00390625" customWidth="1"/>
    <col min="13" max="13" style="11993" width="3.00390625" customWidth="1"/>
    <col min="14" max="17" style="11992" width="3.00390625" customWidth="1"/>
    <col min="18" max="18" style="11993" width="10.00390625" customWidth="1"/>
    <col min="19" max="19" style="11992" width="34.00390625" customWidth="1"/>
    <col min="20" max="20" style="11992" width="9.00390625" customWidth="1"/>
    <col min="21" max="21" style="14538" width="8.00390625" customWidth="1"/>
    <col min="22" max="26" style="11992" width="8.00390625" customWidth="1"/>
    <col min="27" max="31" style="11877" width="8.00390625" customWidth="1"/>
    <col min="32" max="32" style="11913" width="9.140625" hidden="1"/>
  </cols>
  <sheetData>
    <row s="11992" customFormat="1" customHeight="1" ht="22.5" hidden="1">
      <c r="A1" s="1157"/>
      <c r="C1" s="1806"/>
      <c r="D1" s="707"/>
      <c r="H1" s="1330">
        <v>4</v>
      </c>
      <c r="I1" s="1330">
        <v>4</v>
      </c>
      <c r="L1" s="1806"/>
      <c r="M1" s="1806"/>
      <c r="R1" s="1806"/>
      <c r="AF1" s="1330" t="s">
        <v>14</v>
      </c>
    </row>
    <row s="11992" customFormat="1" customHeight="1" ht="22.5" hidden="1">
      <c r="A2" s="1157"/>
      <c r="C2" s="1806"/>
      <c r="D2" s="708"/>
      <c r="E2" s="1828"/>
      <c r="F2" s="710"/>
      <c r="G2" s="1827" t="s">
        <v>567</v>
      </c>
      <c r="H2" s="711"/>
      <c r="I2" s="711"/>
      <c r="J2" s="712" t="s">
        <v>570</v>
      </c>
      <c r="K2" s="713"/>
      <c r="L2" s="1806"/>
      <c r="M2" s="1806"/>
      <c r="R2" s="1806"/>
      <c r="U2" s="714"/>
      <c r="AA2" s="1802"/>
      <c r="AB2" s="1802"/>
      <c r="AC2" s="1802"/>
      <c r="AD2" s="1802"/>
      <c r="AE2" s="1802"/>
      <c r="AF2" s="1330">
        <v>0</v>
      </c>
    </row>
    <row customHeight="1" ht="11.25" hidden="1">
      <c r="AF3" s="1801">
        <v>0</v>
      </c>
    </row>
    <row s="11877" customFormat="1" customHeight="1" ht="11.25" hidden="1">
      <c r="A4" s="1157"/>
      <c r="B4" s="1330"/>
      <c r="C4" s="1806"/>
      <c r="D4" s="532"/>
      <c r="J4" s="1802">
        <v>4</v>
      </c>
      <c r="K4" s="1330"/>
      <c r="L4" s="1806"/>
      <c r="M4" s="1806"/>
      <c r="N4" s="1330"/>
      <c r="O4" s="1330"/>
      <c r="P4" s="1330"/>
      <c r="Q4" s="1330"/>
      <c r="R4" s="1806"/>
      <c r="S4" s="1330"/>
      <c r="T4" s="1330"/>
      <c r="U4" s="714"/>
      <c r="V4" s="1330"/>
      <c r="W4" s="1330"/>
      <c r="X4" s="1330"/>
      <c r="Y4" s="1330"/>
      <c r="Z4" s="1330"/>
      <c r="AF4" s="1802">
        <v>0</v>
      </c>
    </row>
    <row customHeight="1" ht="11.549999999999999">
      <c r="AF5" s="1801">
        <v>11</v>
      </c>
    </row>
    <row customHeight="1" ht="33.75">
      <c r="E6" s="2418" t="s">
        <v>789</v>
      </c>
      <c r="F6" s="2418"/>
      <c r="G6" s="2418"/>
      <c r="H6" s="2418"/>
      <c r="I6" s="2418"/>
      <c r="J6" s="726"/>
      <c r="AF6" s="1801">
        <v>32</v>
      </c>
    </row>
    <row customHeight="1" ht="25.2">
      <c r="E7" s="2419" t="str">
        <f>IF(org=0,"Не определено",org)</f>
        <v>Филиал "Шатурская ГРЭС" ПАО "Юнипро"</v>
      </c>
      <c r="F7" s="2419"/>
      <c r="G7" s="2419"/>
      <c r="H7" s="2419"/>
      <c r="I7" s="2419"/>
      <c r="AF7" s="1801">
        <v>24</v>
      </c>
    </row>
    <row customHeight="1" ht="11.549999999999999">
      <c r="E8" s="1305"/>
      <c r="F8" s="1305"/>
      <c r="G8" s="1305"/>
      <c r="H8" s="1305"/>
      <c r="I8" s="1305"/>
      <c r="AF8" s="1801">
        <v>11</v>
      </c>
    </row>
    <row s="11993" customFormat="1" customHeight="1" ht="1.05">
      <c r="A9" s="1337"/>
      <c r="D9" s="1812"/>
      <c r="H9" s="1059"/>
      <c r="I9" s="1059" t="s">
        <v>120</v>
      </c>
      <c r="AF9" s="1806">
        <v>1</v>
      </c>
    </row>
    <row customHeight="1" ht="11.549999999999999">
      <c r="E10" s="881"/>
      <c r="F10" s="2537" t="s">
        <v>108</v>
      </c>
      <c r="G10" s="2538"/>
      <c r="H10" s="1829" t="str">
        <f>IF(H9="","",INDEX(DIFFERENTIATION_UNMERGE_VD,MATCH(H9,DIFFERENTIATION_ID_DIFF,0)))</f>
        <v/>
      </c>
      <c r="I10" s="1829">
        <f>IF(I9="","",INDEX(DIFFERENTIATION_UNMERGE_VD,MATCH(I9,DIFFERENTIATION_ID_DIFF,0)))</f>
        <v>0</v>
      </c>
      <c r="J10" s="2297"/>
      <c r="AF10" s="1801">
        <v>11</v>
      </c>
    </row>
    <row customHeight="1" ht="11.549999999999999">
      <c r="E11" s="881"/>
      <c r="F11" s="2537" t="s">
        <v>579</v>
      </c>
      <c r="G11" s="2538"/>
      <c r="H11" s="1829" t="str">
        <f>IF(H9="","",INDEX(DIFFERENTIATION_UNMERGE_AREA,MATCH(H9,DIFFERENTIATION_ID_DIFF,0)))</f>
        <v/>
      </c>
      <c r="I11" s="1829" t="str">
        <f>IF(I9="","",INDEX(DIFFERENTIATION_UNMERGE_AREA,MATCH(I9,DIFFERENTIATION_ID_DIFF,0)))</f>
        <v/>
      </c>
      <c r="J11" s="2297"/>
      <c r="AF11" s="1801">
        <v>11</v>
      </c>
    </row>
    <row customHeight="1" ht="11.25" hidden="1">
      <c r="E12" s="1832"/>
      <c r="F12" s="2560" t="s">
        <v>580</v>
      </c>
      <c r="G12" s="2561"/>
      <c r="H12" s="1833" t="str">
        <f>IF(H9="","",INDEX(DIFFERENTIATION_UNMERGE_SYSTEM,MATCH(H9,DIFFERENTIATION_ID_DIFF,0)))</f>
        <v/>
      </c>
      <c r="I12" s="1833" t="str">
        <f>IF(I9="","",INDEX(DIFFERENTIATION_UNMERGE_SYSTEM,MATCH(I9,DIFFERENTIATION_ID_DIFF,0)))</f>
        <v>без дифференциации</v>
      </c>
      <c r="J12" s="2297"/>
      <c r="AF12" s="1801">
        <v>0</v>
      </c>
    </row>
    <row customHeight="1" ht="11.549999999999999">
      <c r="E13" s="2539" t="s">
        <v>312</v>
      </c>
      <c r="F13" s="2540"/>
      <c r="G13" s="2540"/>
      <c r="H13" s="1826"/>
      <c r="I13" s="1826"/>
      <c r="J13" s="2297"/>
      <c r="AF13" s="1801">
        <v>11</v>
      </c>
    </row>
    <row customHeight="1" ht="24">
      <c r="E14" s="1827" t="s">
        <v>91</v>
      </c>
      <c r="F14" s="1830" t="s">
        <v>314</v>
      </c>
      <c r="G14" s="1830" t="s">
        <v>581</v>
      </c>
      <c r="H14" s="1830" t="s">
        <v>315</v>
      </c>
      <c r="I14" s="1830" t="s">
        <v>315</v>
      </c>
      <c r="J14" s="2297"/>
      <c r="AF14" s="1801">
        <v>23</v>
      </c>
    </row>
    <row customHeight="1" ht="19.95">
      <c r="D15" s="1808"/>
      <c r="E15" s="1800" t="s">
        <v>112</v>
      </c>
      <c r="F15" s="877" t="s">
        <v>790</v>
      </c>
      <c r="G15" s="1827" t="s">
        <v>567</v>
      </c>
      <c r="H15" s="727"/>
      <c r="I15" s="727"/>
      <c r="J15" s="459" t="s">
        <v>791</v>
      </c>
      <c r="K15" s="713" t="s">
        <v>645</v>
      </c>
      <c r="AF15" s="1801">
        <v>19</v>
      </c>
    </row>
    <row customHeight="1" ht="24">
      <c r="D16" s="1808"/>
      <c r="E16" s="1800" t="s">
        <v>113</v>
      </c>
      <c r="F16" s="1835" t="s">
        <v>792</v>
      </c>
      <c r="G16" s="1827" t="s">
        <v>567</v>
      </c>
      <c r="H16" s="728">
        <f>SUM(H17,H20:H27)</f>
        <v>0</v>
      </c>
      <c r="I16" s="728">
        <f>SUM(I17,I20:I27)</f>
        <v>0</v>
      </c>
      <c r="J16" s="459" t="s">
        <v>793</v>
      </c>
      <c r="K16" s="713" t="s">
        <v>645</v>
      </c>
      <c r="AF16" s="1801">
        <v>23</v>
      </c>
    </row>
    <row customHeight="1" ht="35.699999999999996">
      <c r="D17" s="1808"/>
      <c r="E17" s="1834" t="s">
        <v>723</v>
      </c>
      <c r="F17" s="1837" t="s">
        <v>794</v>
      </c>
      <c r="G17" s="1824" t="s">
        <v>567</v>
      </c>
      <c r="H17" s="727"/>
      <c r="I17" s="727"/>
      <c r="J17" s="459" t="s">
        <v>795</v>
      </c>
      <c r="K17" s="713"/>
      <c r="AF17" s="1801">
        <v>34</v>
      </c>
    </row>
    <row customHeight="1" ht="19.95">
      <c r="D18" s="1808"/>
      <c r="E18" s="1834" t="s">
        <v>726</v>
      </c>
      <c r="F18" s="1838" t="s">
        <v>796</v>
      </c>
      <c r="G18" s="1824" t="s">
        <v>567</v>
      </c>
      <c r="H18" s="727"/>
      <c r="I18" s="727"/>
      <c r="J18" s="459"/>
      <c r="K18" s="713"/>
      <c r="AF18" s="1801">
        <v>19</v>
      </c>
    </row>
    <row customHeight="1" ht="24">
      <c r="D19" s="1808"/>
      <c r="E19" s="1834" t="s">
        <v>729</v>
      </c>
      <c r="F19" s="1838" t="s">
        <v>797</v>
      </c>
      <c r="G19" s="1824" t="s">
        <v>567</v>
      </c>
      <c r="H19" s="727"/>
      <c r="I19" s="727"/>
      <c r="J19" s="459"/>
      <c r="K19" s="713"/>
      <c r="AF19" s="1801">
        <v>23</v>
      </c>
    </row>
    <row customHeight="1" ht="35.699999999999996">
      <c r="D20" s="1808"/>
      <c r="E20" s="1834" t="s">
        <v>319</v>
      </c>
      <c r="F20" s="1837" t="s">
        <v>798</v>
      </c>
      <c r="G20" s="1824" t="s">
        <v>567</v>
      </c>
      <c r="H20" s="727"/>
      <c r="I20" s="727"/>
      <c r="J20" s="459"/>
      <c r="K20" s="713"/>
      <c r="AF20" s="1801">
        <v>34</v>
      </c>
    </row>
    <row customHeight="1" ht="48.29999999999999">
      <c r="D21" s="1808"/>
      <c r="E21" s="1834" t="s">
        <v>322</v>
      </c>
      <c r="F21" s="1837" t="s">
        <v>799</v>
      </c>
      <c r="G21" s="1824" t="s">
        <v>567</v>
      </c>
      <c r="H21" s="727"/>
      <c r="I21" s="727"/>
      <c r="J21" s="459"/>
      <c r="K21" s="713"/>
      <c r="AF21" s="1801">
        <v>46</v>
      </c>
    </row>
    <row customHeight="1" ht="60">
      <c r="D22" s="1808"/>
      <c r="E22" s="1834" t="s">
        <v>743</v>
      </c>
      <c r="F22" s="1837" t="s">
        <v>800</v>
      </c>
      <c r="G22" s="1824" t="s">
        <v>567</v>
      </c>
      <c r="H22" s="727"/>
      <c r="I22" s="727"/>
      <c r="J22" s="459"/>
      <c r="K22" s="713"/>
      <c r="AF22" s="1801">
        <v>57</v>
      </c>
    </row>
    <row customHeight="1" ht="35.699999999999996">
      <c r="D23" s="1808"/>
      <c r="E23" s="1834" t="s">
        <v>750</v>
      </c>
      <c r="F23" s="1837" t="s">
        <v>801</v>
      </c>
      <c r="G23" s="1824" t="s">
        <v>567</v>
      </c>
      <c r="H23" s="727"/>
      <c r="I23" s="727"/>
      <c r="J23" s="459"/>
      <c r="K23" s="713"/>
      <c r="AF23" s="1801">
        <v>34</v>
      </c>
    </row>
    <row customHeight="1" ht="35.699999999999996">
      <c r="D24" s="1808"/>
      <c r="E24" s="1834" t="s">
        <v>752</v>
      </c>
      <c r="F24" s="1837" t="s">
        <v>802</v>
      </c>
      <c r="G24" s="1824" t="s">
        <v>567</v>
      </c>
      <c r="H24" s="727"/>
      <c r="I24" s="727"/>
      <c r="J24" s="459"/>
      <c r="K24" s="713"/>
      <c r="AF24" s="1801">
        <v>34</v>
      </c>
    </row>
    <row customHeight="1" ht="24">
      <c r="D25" s="1808"/>
      <c r="E25" s="1834" t="s">
        <v>754</v>
      </c>
      <c r="F25" s="1837" t="s">
        <v>803</v>
      </c>
      <c r="G25" s="1824" t="s">
        <v>567</v>
      </c>
      <c r="H25" s="727"/>
      <c r="I25" s="727"/>
      <c r="J25" s="459"/>
      <c r="K25" s="713"/>
      <c r="AF25" s="1801">
        <v>23</v>
      </c>
    </row>
    <row customHeight="1" ht="76.5">
      <c r="D26" s="1808"/>
      <c r="E26" s="1834" t="s">
        <v>756</v>
      </c>
      <c r="F26" s="1837" t="s">
        <v>804</v>
      </c>
      <c r="G26" s="1824" t="s">
        <v>567</v>
      </c>
      <c r="H26" s="727"/>
      <c r="I26" s="727"/>
      <c r="J26" s="459"/>
      <c r="K26" s="713"/>
      <c r="AF26" s="1801">
        <v>73</v>
      </c>
    </row>
    <row s="11992" customFormat="1" customHeight="1" ht="35.699999999999996">
      <c r="A27" s="1157"/>
      <c r="C27" s="1806"/>
      <c r="D27" s="1808"/>
      <c r="E27" s="1799" t="s">
        <v>760</v>
      </c>
      <c r="F27" s="1798" t="s">
        <v>805</v>
      </c>
      <c r="G27" s="1825" t="s">
        <v>567</v>
      </c>
      <c r="H27" s="749">
        <f>SUM(H28:H29)</f>
        <v>0</v>
      </c>
      <c r="I27" s="749">
        <f>SUM(I28:I29)</f>
        <v>0</v>
      </c>
      <c r="J27" s="459" t="s">
        <v>758</v>
      </c>
      <c r="K27" s="713"/>
      <c r="L27" s="1806"/>
      <c r="M27" s="1806"/>
      <c r="R27" s="1806"/>
      <c r="U27" s="714"/>
      <c r="AA27" s="1802"/>
      <c r="AB27" s="1802"/>
      <c r="AC27" s="1802"/>
      <c r="AD27" s="1802"/>
      <c r="AE27" s="1802"/>
      <c r="AF27" s="1330">
        <v>34</v>
      </c>
    </row>
    <row s="11993" customFormat="1" customHeight="1" ht="1.05">
      <c r="A28" s="1337"/>
      <c r="D28" s="718"/>
      <c r="E28" s="972" t="str">
        <f>E27&amp;".0"</f>
        <v>2.9.0</v>
      </c>
      <c r="F28" s="1161"/>
      <c r="G28" s="721"/>
      <c r="H28" s="1162"/>
      <c r="I28" s="1162"/>
      <c r="J28" s="1163"/>
      <c r="AF28" s="1806">
        <v>1</v>
      </c>
    </row>
    <row s="11992" customFormat="1" customHeight="1" ht="19.95">
      <c r="A29" s="1157"/>
      <c r="C29" s="1806"/>
      <c r="D29" s="1803"/>
      <c r="E29" s="740"/>
      <c r="F29" s="1836" t="s">
        <v>592</v>
      </c>
      <c r="G29" s="742"/>
      <c r="H29" s="743"/>
      <c r="I29" s="743"/>
      <c r="J29" s="471" t="s">
        <v>759</v>
      </c>
      <c r="K29" s="713"/>
      <c r="L29" s="1806"/>
      <c r="M29" s="1806"/>
      <c r="R29" s="1806"/>
      <c r="U29" s="714"/>
      <c r="AA29" s="1802"/>
      <c r="AB29" s="1802"/>
      <c r="AC29" s="1802"/>
      <c r="AD29" s="1802"/>
      <c r="AE29" s="1802"/>
      <c r="AF29" s="1330">
        <v>19</v>
      </c>
    </row>
    <row s="11992" customFormat="1" customHeight="1" ht="24">
      <c r="A30" s="1157"/>
      <c r="C30" s="1806"/>
      <c r="D30" s="1808"/>
      <c r="E30" s="1834" t="s">
        <v>93</v>
      </c>
      <c r="F30" s="1831" t="s">
        <v>806</v>
      </c>
      <c r="G30" s="1824" t="s">
        <v>567</v>
      </c>
      <c r="H30" s="727"/>
      <c r="I30" s="727"/>
      <c r="J30" s="459"/>
      <c r="K30" s="713"/>
      <c r="L30" s="1806"/>
      <c r="M30" s="1806"/>
      <c r="R30" s="1806"/>
      <c r="U30" s="714"/>
      <c r="AA30" s="1802"/>
      <c r="AB30" s="1802"/>
      <c r="AC30" s="1802"/>
      <c r="AD30" s="1802"/>
      <c r="AE30" s="1802"/>
      <c r="AF30" s="1330">
        <v>23</v>
      </c>
    </row>
    <row s="11992" customFormat="1" customHeight="1" ht="35.699999999999996">
      <c r="A31" s="1157"/>
      <c r="C31" s="1806"/>
      <c r="D31" s="745"/>
      <c r="E31" s="1834" t="s">
        <v>94</v>
      </c>
      <c r="F31" s="1831" t="s">
        <v>807</v>
      </c>
      <c r="G31" s="1824" t="s">
        <v>567</v>
      </c>
      <c r="H31" s="727"/>
      <c r="I31" s="727"/>
      <c r="J31" s="459" t="s">
        <v>808</v>
      </c>
      <c r="K31" s="713"/>
      <c r="L31" s="1806"/>
      <c r="M31" s="1806"/>
      <c r="R31" s="1806"/>
      <c r="U31" s="714"/>
      <c r="AA31" s="1802"/>
      <c r="AB31" s="1802"/>
      <c r="AC31" s="1802"/>
      <c r="AD31" s="1802"/>
      <c r="AE31" s="1802"/>
      <c r="AF31" s="1330">
        <v>34</v>
      </c>
    </row>
    <row s="11992" customFormat="1" customHeight="1" ht="24">
      <c r="A32" s="1157"/>
      <c r="C32" s="1806"/>
      <c r="D32" s="1808"/>
      <c r="E32" s="1834" t="s">
        <v>768</v>
      </c>
      <c r="F32" s="860" t="s">
        <v>772</v>
      </c>
      <c r="G32" s="1824" t="s">
        <v>567</v>
      </c>
      <c r="H32" s="727"/>
      <c r="I32" s="727"/>
      <c r="J32" s="459" t="s">
        <v>809</v>
      </c>
      <c r="K32" s="713"/>
      <c r="L32" s="1806"/>
      <c r="M32" s="1806"/>
      <c r="R32" s="1806"/>
      <c r="U32" s="714"/>
      <c r="AA32" s="1802"/>
      <c r="AB32" s="1802"/>
      <c r="AC32" s="1802"/>
      <c r="AD32" s="1802"/>
      <c r="AE32" s="1802"/>
      <c r="AF32" s="1330">
        <v>23</v>
      </c>
    </row>
    <row s="11992" customFormat="1" customHeight="1" ht="24">
      <c r="A33" s="1157"/>
      <c r="C33" s="1806"/>
      <c r="D33" s="1808"/>
      <c r="E33" s="1834" t="s">
        <v>810</v>
      </c>
      <c r="F33" s="860" t="s">
        <v>811</v>
      </c>
      <c r="G33" s="1824" t="s">
        <v>567</v>
      </c>
      <c r="H33" s="727"/>
      <c r="I33" s="727"/>
      <c r="J33" s="459" t="s">
        <v>812</v>
      </c>
      <c r="K33" s="713"/>
      <c r="L33" s="1806"/>
      <c r="M33" s="1806"/>
      <c r="R33" s="1806"/>
      <c r="U33" s="714"/>
      <c r="AA33" s="1802"/>
      <c r="AB33" s="1802"/>
      <c r="AC33" s="1802"/>
      <c r="AD33" s="1802"/>
      <c r="AE33" s="1802"/>
      <c r="AF33" s="1330">
        <v>23</v>
      </c>
    </row>
    <row s="11992" customFormat="1" customHeight="1" ht="24">
      <c r="A34" s="1157"/>
      <c r="C34" s="1806"/>
      <c r="D34" s="1808"/>
      <c r="E34" s="1834" t="s">
        <v>813</v>
      </c>
      <c r="F34" s="860" t="s">
        <v>778</v>
      </c>
      <c r="G34" s="1824" t="s">
        <v>567</v>
      </c>
      <c r="H34" s="727"/>
      <c r="I34" s="727"/>
      <c r="J34" s="459" t="s">
        <v>814</v>
      </c>
      <c r="K34" s="713"/>
      <c r="L34" s="1806"/>
      <c r="M34" s="1806"/>
      <c r="R34" s="1806"/>
      <c r="U34" s="714"/>
      <c r="AA34" s="1802"/>
      <c r="AB34" s="1802"/>
      <c r="AC34" s="1802"/>
      <c r="AD34" s="1802"/>
      <c r="AE34" s="1802"/>
      <c r="AF34" s="1330">
        <v>23</v>
      </c>
    </row>
    <row s="11992" customFormat="1" customHeight="1" ht="35.699999999999996">
      <c r="A35" s="1157"/>
      <c r="C35" s="1806" t="s">
        <v>603</v>
      </c>
      <c r="D35" s="1808"/>
      <c r="E35" s="1834" t="s">
        <v>114</v>
      </c>
      <c r="F35" s="1831" t="s">
        <v>644</v>
      </c>
      <c r="G35" s="1827" t="s">
        <v>318</v>
      </c>
      <c r="H35" s="571"/>
      <c r="I35" s="571"/>
      <c r="J35" s="459" t="s">
        <v>815</v>
      </c>
      <c r="K35" s="713"/>
      <c r="L35" s="1806"/>
      <c r="M35" s="1806"/>
      <c r="R35" s="1806"/>
      <c r="U35" s="714"/>
      <c r="AA35" s="1802"/>
      <c r="AB35" s="1802"/>
      <c r="AC35" s="1802"/>
      <c r="AD35" s="1802"/>
      <c r="AE35" s="1802"/>
      <c r="AF35" s="1330">
        <v>34</v>
      </c>
    </row>
    <row s="11992" customFormat="1" customHeight="1" ht="35.699999999999996">
      <c r="A36" s="1157"/>
      <c r="C36" s="1806"/>
      <c r="D36" s="1808"/>
      <c r="E36" s="1834" t="s">
        <v>95</v>
      </c>
      <c r="F36" s="1831" t="s">
        <v>816</v>
      </c>
      <c r="G36" s="1824" t="s">
        <v>783</v>
      </c>
      <c r="H36" s="715"/>
      <c r="I36" s="715"/>
      <c r="J36" s="459" t="s">
        <v>784</v>
      </c>
      <c r="K36" s="713"/>
      <c r="L36" s="1806"/>
      <c r="M36" s="1806"/>
      <c r="R36" s="1806"/>
      <c r="U36" s="714"/>
      <c r="AA36" s="1802"/>
      <c r="AB36" s="1802"/>
      <c r="AC36" s="1802"/>
      <c r="AD36" s="1802"/>
      <c r="AE36" s="1802"/>
      <c r="AF36" s="1330">
        <v>34</v>
      </c>
    </row>
    <row s="11992" customFormat="1" customHeight="1" ht="24">
      <c r="A37" s="1157"/>
      <c r="C37" s="1806"/>
      <c r="D37" s="1808"/>
      <c r="E37" s="1834" t="s">
        <v>96</v>
      </c>
      <c r="F37" s="1831" t="s">
        <v>817</v>
      </c>
      <c r="G37" s="1824" t="s">
        <v>786</v>
      </c>
      <c r="H37" s="715"/>
      <c r="I37" s="715"/>
      <c r="J37" s="459" t="s">
        <v>787</v>
      </c>
      <c r="K37" s="713"/>
      <c r="L37" s="1806"/>
      <c r="M37" s="1806"/>
      <c r="R37" s="1806"/>
      <c r="U37" s="714"/>
      <c r="AA37" s="1802"/>
      <c r="AB37" s="1802"/>
      <c r="AC37" s="1802"/>
      <c r="AD37" s="1802"/>
      <c r="AE37" s="1802"/>
      <c r="AF37" s="1330">
        <v>23</v>
      </c>
    </row>
    <row customHeight="1" ht="11.549999999999999">
      <c r="D38" s="1808"/>
      <c r="AF38" s="1801">
        <v>11</v>
      </c>
    </row>
    <row customHeight="1" ht="27.299999999999997">
      <c r="D39" s="1808"/>
      <c r="E39" s="1423" t="s">
        <v>818</v>
      </c>
      <c r="F39" s="2455" t="s">
        <v>819</v>
      </c>
      <c r="G39" s="2455"/>
      <c r="H39" s="539"/>
      <c r="I39" s="539"/>
      <c r="J39" s="539"/>
      <c r="AF39" s="1801">
        <v>26</v>
      </c>
    </row>
    <row s="12668" customFormat="1" customHeight="1" ht="39.75">
      <c r="A40" s="1157"/>
      <c r="B40" s="1806"/>
      <c r="C40" s="1806"/>
      <c r="D40" s="521"/>
      <c r="F40" s="2455" t="s">
        <v>820</v>
      </c>
      <c r="G40" s="2455"/>
      <c r="H40" s="539"/>
      <c r="I40" s="539"/>
      <c r="J40" s="539"/>
      <c r="K40" s="1330"/>
      <c r="L40" s="1806"/>
      <c r="M40" s="1806"/>
      <c r="N40" s="1330"/>
      <c r="O40" s="1330"/>
      <c r="P40" s="1330"/>
      <c r="Q40" s="1330"/>
      <c r="R40" s="1806"/>
      <c r="S40" s="1330"/>
      <c r="T40" s="1330"/>
      <c r="U40" s="714"/>
      <c r="V40" s="1330"/>
      <c r="W40" s="1330"/>
      <c r="X40" s="1330"/>
      <c r="Y40" s="1330"/>
      <c r="Z40" s="1330"/>
      <c r="AA40" s="1802"/>
      <c r="AB40" s="736"/>
      <c r="AC40" s="736"/>
      <c r="AD40" s="736"/>
      <c r="AE40" s="736"/>
      <c r="AF40" s="1811">
        <v>38</v>
      </c>
    </row>
    <row s="12668" customFormat="1" customHeight="1" ht="11.549999999999999">
      <c r="A41" s="1157"/>
      <c r="B41" s="1806"/>
      <c r="C41" s="1806"/>
      <c r="D41" s="521"/>
      <c r="K41" s="1330"/>
      <c r="L41" s="1806"/>
      <c r="M41" s="1806"/>
      <c r="N41" s="1330"/>
      <c r="O41" s="1330"/>
      <c r="P41" s="1330"/>
      <c r="Q41" s="1330"/>
      <c r="R41" s="1806"/>
      <c r="S41" s="1330"/>
      <c r="T41" s="1330"/>
      <c r="U41" s="714"/>
      <c r="V41" s="1330"/>
      <c r="W41" s="1330"/>
      <c r="X41" s="1330"/>
      <c r="Y41" s="1330"/>
      <c r="Z41" s="1330"/>
      <c r="AA41" s="1802"/>
      <c r="AB41" s="736"/>
      <c r="AC41" s="736"/>
      <c r="AD41" s="736"/>
      <c r="AE41" s="736"/>
      <c r="AF41" s="1811">
        <v>11</v>
      </c>
    </row>
    <row s="12668" customFormat="1" customHeight="1" ht="11.549999999999999">
      <c r="A42" s="1157"/>
      <c r="B42" s="1806"/>
      <c r="C42" s="1806"/>
      <c r="D42" s="521"/>
      <c r="K42" s="1330"/>
      <c r="L42" s="1806"/>
      <c r="M42" s="1806"/>
      <c r="N42" s="1330"/>
      <c r="O42" s="1330"/>
      <c r="P42" s="1330"/>
      <c r="Q42" s="1330"/>
      <c r="R42" s="1806"/>
      <c r="S42" s="1330"/>
      <c r="T42" s="1330"/>
      <c r="U42" s="714"/>
      <c r="V42" s="1330"/>
      <c r="W42" s="1330"/>
      <c r="X42" s="1330"/>
      <c r="Y42" s="1330"/>
      <c r="Z42" s="1330"/>
      <c r="AA42" s="1802"/>
      <c r="AB42" s="736"/>
      <c r="AC42" s="736"/>
      <c r="AD42" s="736"/>
      <c r="AE42" s="736"/>
      <c r="AF42" s="1811">
        <v>11</v>
      </c>
    </row>
    <row s="12668" customFormat="1" customHeight="1" ht="11.549999999999999">
      <c r="A43" s="1157"/>
      <c r="B43" s="1806"/>
      <c r="C43" s="1806"/>
      <c r="D43" s="521"/>
      <c r="H43" s="736"/>
      <c r="I43" s="736"/>
      <c r="K43" s="1330"/>
      <c r="L43" s="1806"/>
      <c r="M43" s="1806"/>
      <c r="N43" s="1330"/>
      <c r="O43" s="1330"/>
      <c r="P43" s="1330"/>
      <c r="Q43" s="1330"/>
      <c r="R43" s="1806"/>
      <c r="S43" s="1330"/>
      <c r="T43" s="1330"/>
      <c r="U43" s="714"/>
      <c r="V43" s="1330"/>
      <c r="W43" s="1330"/>
      <c r="X43" s="1330"/>
      <c r="Y43" s="1330"/>
      <c r="Z43" s="1330"/>
      <c r="AA43" s="1802"/>
      <c r="AB43" s="736"/>
      <c r="AC43" s="736"/>
      <c r="AD43" s="736"/>
      <c r="AE43" s="736"/>
      <c r="AF43" s="1811">
        <v>11</v>
      </c>
    </row>
    <row s="12668" customFormat="1" customHeight="1" ht="11.549999999999999">
      <c r="A44" s="1157"/>
      <c r="B44" s="1806"/>
      <c r="C44" s="1806"/>
      <c r="D44" s="521"/>
      <c r="K44" s="1330"/>
      <c r="L44" s="1806"/>
      <c r="M44" s="1806"/>
      <c r="N44" s="1330"/>
      <c r="O44" s="1330"/>
      <c r="P44" s="1330"/>
      <c r="Q44" s="1330"/>
      <c r="R44" s="1806"/>
      <c r="S44" s="1330"/>
      <c r="T44" s="1330"/>
      <c r="U44" s="714"/>
      <c r="V44" s="1330"/>
      <c r="W44" s="1330"/>
      <c r="X44" s="1330"/>
      <c r="Y44" s="1330"/>
      <c r="Z44" s="1330"/>
      <c r="AA44" s="1802"/>
      <c r="AB44" s="736"/>
      <c r="AC44" s="736"/>
      <c r="AD44" s="736"/>
      <c r="AE44" s="736"/>
      <c r="AF44" s="1811">
        <v>11</v>
      </c>
    </row>
    <row s="12668" customFormat="1" customHeight="1" ht="11.549999999999999">
      <c r="A45" s="1157"/>
      <c r="B45" s="1806"/>
      <c r="C45" s="1806"/>
      <c r="D45" s="521"/>
      <c r="K45" s="1330"/>
      <c r="L45" s="1806"/>
      <c r="M45" s="1806"/>
      <c r="N45" s="1330"/>
      <c r="O45" s="1330"/>
      <c r="P45" s="1330"/>
      <c r="Q45" s="1330"/>
      <c r="R45" s="1806"/>
      <c r="S45" s="1330"/>
      <c r="T45" s="1330"/>
      <c r="U45" s="714"/>
      <c r="V45" s="1330"/>
      <c r="W45" s="1330"/>
      <c r="X45" s="1330"/>
      <c r="Y45" s="1330"/>
      <c r="Z45" s="1330"/>
      <c r="AA45" s="1802"/>
      <c r="AB45" s="736"/>
      <c r="AC45" s="736"/>
      <c r="AD45" s="736"/>
      <c r="AE45" s="736"/>
      <c r="AF45" s="1811">
        <v>11</v>
      </c>
    </row>
    <row s="12668" customFormat="1" customHeight="1" ht="11.549999999999999">
      <c r="A46" s="1157"/>
      <c r="B46" s="1806"/>
      <c r="C46" s="1806"/>
      <c r="D46" s="521"/>
      <c r="K46" s="1330"/>
      <c r="L46" s="1806"/>
      <c r="M46" s="1806"/>
      <c r="N46" s="1330"/>
      <c r="O46" s="1330"/>
      <c r="P46" s="1330"/>
      <c r="Q46" s="1330"/>
      <c r="R46" s="1806"/>
      <c r="S46" s="1330"/>
      <c r="T46" s="1330"/>
      <c r="U46" s="714"/>
      <c r="V46" s="1330"/>
      <c r="W46" s="1330"/>
      <c r="X46" s="1330"/>
      <c r="Y46" s="1330"/>
      <c r="Z46" s="1330"/>
      <c r="AA46" s="1802"/>
      <c r="AB46" s="736"/>
      <c r="AC46" s="736"/>
      <c r="AD46" s="736"/>
      <c r="AE46" s="736"/>
      <c r="AF46" s="1811">
        <v>11</v>
      </c>
    </row>
    <row s="12668" customFormat="1" customHeight="1" ht="11.549999999999999">
      <c r="A47" s="1157"/>
      <c r="B47" s="1806"/>
      <c r="C47" s="1806"/>
      <c r="D47" s="521"/>
      <c r="K47" s="1330"/>
      <c r="L47" s="1806"/>
      <c r="M47" s="1806"/>
      <c r="N47" s="1330"/>
      <c r="O47" s="1330"/>
      <c r="P47" s="1330"/>
      <c r="Q47" s="1330"/>
      <c r="R47" s="1806"/>
      <c r="S47" s="1330"/>
      <c r="T47" s="1330"/>
      <c r="U47" s="714"/>
      <c r="V47" s="1330"/>
      <c r="W47" s="1330"/>
      <c r="X47" s="1330"/>
      <c r="Y47" s="1330"/>
      <c r="Z47" s="1330"/>
      <c r="AA47" s="1802"/>
      <c r="AB47" s="736"/>
      <c r="AC47" s="736"/>
      <c r="AD47" s="736"/>
      <c r="AE47" s="736"/>
      <c r="AF47" s="1811">
        <v>11</v>
      </c>
    </row>
    <row s="12668" customFormat="1" customHeight="1" ht="11.549999999999999">
      <c r="A48" s="1157"/>
      <c r="B48" s="1806"/>
      <c r="C48" s="1806"/>
      <c r="D48" s="521"/>
      <c r="K48" s="1330"/>
      <c r="L48" s="1806"/>
      <c r="M48" s="1806"/>
      <c r="N48" s="1330"/>
      <c r="O48" s="1330"/>
      <c r="P48" s="1330"/>
      <c r="Q48" s="1330"/>
      <c r="R48" s="1806"/>
      <c r="S48" s="1330"/>
      <c r="T48" s="1330"/>
      <c r="U48" s="714"/>
      <c r="V48" s="1330"/>
      <c r="W48" s="1330"/>
      <c r="X48" s="1330"/>
      <c r="Y48" s="1330"/>
      <c r="Z48" s="1330"/>
      <c r="AA48" s="1802"/>
      <c r="AB48" s="736"/>
      <c r="AC48" s="736"/>
      <c r="AD48" s="736"/>
      <c r="AE48" s="736"/>
      <c r="AF48" s="1811">
        <v>11</v>
      </c>
    </row>
    <row s="12668" customFormat="1" customHeight="1" ht="11.549999999999999">
      <c r="A49" s="1157"/>
      <c r="B49" s="1806"/>
      <c r="C49" s="1806"/>
      <c r="D49" s="521"/>
      <c r="K49" s="1330"/>
      <c r="L49" s="1806"/>
      <c r="M49" s="1806"/>
      <c r="N49" s="1330"/>
      <c r="O49" s="1330"/>
      <c r="P49" s="1330"/>
      <c r="Q49" s="1330"/>
      <c r="R49" s="1806"/>
      <c r="S49" s="1330"/>
      <c r="T49" s="1330"/>
      <c r="U49" s="714"/>
      <c r="V49" s="1330"/>
      <c r="W49" s="1330"/>
      <c r="X49" s="1330"/>
      <c r="Y49" s="1330"/>
      <c r="Z49" s="1330"/>
      <c r="AA49" s="1802"/>
      <c r="AB49" s="736"/>
      <c r="AC49" s="736"/>
      <c r="AD49" s="736"/>
      <c r="AE49" s="736"/>
      <c r="AF49" s="1811">
        <v>11</v>
      </c>
    </row>
    <row s="12668" customFormat="1" customHeight="1" ht="11.549999999999999">
      <c r="A50" s="1157"/>
      <c r="B50" s="1806"/>
      <c r="C50" s="1806"/>
      <c r="D50" s="521"/>
      <c r="K50" s="1330"/>
      <c r="L50" s="1806"/>
      <c r="M50" s="1806"/>
      <c r="N50" s="1330"/>
      <c r="O50" s="1330"/>
      <c r="P50" s="1330"/>
      <c r="Q50" s="1330"/>
      <c r="R50" s="1806"/>
      <c r="S50" s="1330"/>
      <c r="T50" s="1330"/>
      <c r="U50" s="714"/>
      <c r="V50" s="1330"/>
      <c r="W50" s="1330"/>
      <c r="X50" s="1330"/>
      <c r="Y50" s="1330"/>
      <c r="Z50" s="1330"/>
      <c r="AA50" s="1802"/>
      <c r="AB50" s="736"/>
      <c r="AC50" s="736"/>
      <c r="AD50" s="736"/>
      <c r="AE50" s="736"/>
      <c r="AF50" s="1811">
        <v>11</v>
      </c>
    </row>
    <row s="12668" customFormat="1" customHeight="1" ht="11.549999999999999">
      <c r="A51" s="1157"/>
      <c r="B51" s="1806"/>
      <c r="C51" s="1806"/>
      <c r="D51" s="521"/>
      <c r="K51" s="1330"/>
      <c r="L51" s="1806"/>
      <c r="M51" s="1806"/>
      <c r="N51" s="1330"/>
      <c r="O51" s="1330"/>
      <c r="P51" s="1330"/>
      <c r="Q51" s="1330"/>
      <c r="R51" s="1806"/>
      <c r="S51" s="1330"/>
      <c r="T51" s="1330"/>
      <c r="U51" s="714"/>
      <c r="V51" s="1330"/>
      <c r="W51" s="1330"/>
      <c r="X51" s="1330"/>
      <c r="Y51" s="1330"/>
      <c r="Z51" s="1330"/>
      <c r="AA51" s="1802"/>
      <c r="AB51" s="736"/>
      <c r="AC51" s="736"/>
      <c r="AD51" s="736"/>
      <c r="AE51" s="736"/>
      <c r="AF51" s="1811">
        <v>11</v>
      </c>
    </row>
    <row s="12668" customFormat="1" customHeight="1" ht="11.549999999999999">
      <c r="A52" s="1157"/>
      <c r="B52" s="1806"/>
      <c r="C52" s="1806"/>
      <c r="D52" s="521"/>
      <c r="K52" s="1330"/>
      <c r="L52" s="1806"/>
      <c r="M52" s="1806"/>
      <c r="N52" s="1330"/>
      <c r="O52" s="1330"/>
      <c r="P52" s="1330"/>
      <c r="Q52" s="1330"/>
      <c r="R52" s="1806"/>
      <c r="S52" s="1330"/>
      <c r="T52" s="1330"/>
      <c r="U52" s="714"/>
      <c r="V52" s="1330"/>
      <c r="W52" s="1330"/>
      <c r="X52" s="1330"/>
      <c r="Y52" s="1330"/>
      <c r="Z52" s="1330"/>
      <c r="AA52" s="1802"/>
      <c r="AB52" s="736"/>
      <c r="AC52" s="736"/>
      <c r="AD52" s="736"/>
      <c r="AE52" s="736"/>
      <c r="AF52" s="1811">
        <v>11</v>
      </c>
    </row>
    <row s="12668" customFormat="1" customHeight="1" ht="11.549999999999999">
      <c r="A53" s="1157"/>
      <c r="B53" s="1806"/>
      <c r="C53" s="1806"/>
      <c r="D53" s="521"/>
      <c r="K53" s="1330"/>
      <c r="L53" s="1806"/>
      <c r="M53" s="1806"/>
      <c r="N53" s="1330"/>
      <c r="O53" s="1330"/>
      <c r="P53" s="1330"/>
      <c r="Q53" s="1330"/>
      <c r="R53" s="1806"/>
      <c r="S53" s="1330"/>
      <c r="T53" s="1330"/>
      <c r="U53" s="714"/>
      <c r="V53" s="1330"/>
      <c r="W53" s="1330"/>
      <c r="X53" s="1330"/>
      <c r="Y53" s="1330"/>
      <c r="Z53" s="1330"/>
      <c r="AA53" s="1802"/>
      <c r="AB53" s="736"/>
      <c r="AC53" s="736"/>
      <c r="AD53" s="736"/>
      <c r="AE53" s="736"/>
      <c r="AF53" s="1811">
        <v>11</v>
      </c>
    </row>
    <row s="12668" customFormat="1" customHeight="1" ht="11.549999999999999">
      <c r="A54" s="1157"/>
      <c r="B54" s="1806"/>
      <c r="C54" s="1806"/>
      <c r="D54" s="521"/>
      <c r="K54" s="1330"/>
      <c r="L54" s="1806"/>
      <c r="M54" s="1806"/>
      <c r="N54" s="1330"/>
      <c r="O54" s="1330"/>
      <c r="P54" s="1330"/>
      <c r="Q54" s="1330"/>
      <c r="R54" s="1806"/>
      <c r="S54" s="1330"/>
      <c r="T54" s="1330"/>
      <c r="U54" s="714"/>
      <c r="V54" s="1330"/>
      <c r="W54" s="1330"/>
      <c r="X54" s="1330"/>
      <c r="Y54" s="1330"/>
      <c r="Z54" s="1330"/>
      <c r="AA54" s="1802"/>
      <c r="AB54" s="736"/>
      <c r="AC54" s="736"/>
      <c r="AD54" s="736"/>
      <c r="AE54" s="736"/>
      <c r="AF54" s="1811">
        <v>11</v>
      </c>
    </row>
    <row s="12668" customFormat="1" customHeight="1" ht="11.549999999999999">
      <c r="A55" s="1157"/>
      <c r="B55" s="1806"/>
      <c r="C55" s="1806"/>
      <c r="D55" s="521"/>
      <c r="K55" s="1330"/>
      <c r="L55" s="1806"/>
      <c r="M55" s="1806"/>
      <c r="N55" s="1330"/>
      <c r="O55" s="1330"/>
      <c r="P55" s="1330"/>
      <c r="Q55" s="1330"/>
      <c r="R55" s="1806"/>
      <c r="S55" s="1330"/>
      <c r="T55" s="1330"/>
      <c r="U55" s="714"/>
      <c r="V55" s="1330"/>
      <c r="W55" s="1330"/>
      <c r="X55" s="1330"/>
      <c r="Y55" s="1330"/>
      <c r="Z55" s="1330"/>
      <c r="AA55" s="1802"/>
      <c r="AB55" s="736"/>
      <c r="AC55" s="736"/>
      <c r="AD55" s="736"/>
      <c r="AE55" s="736"/>
      <c r="AF55" s="1811">
        <v>11</v>
      </c>
    </row>
    <row s="12668" customFormat="1" customHeight="1" ht="11.549999999999999">
      <c r="A56" s="1157"/>
      <c r="B56" s="1806"/>
      <c r="C56" s="1806"/>
      <c r="D56" s="521"/>
      <c r="K56" s="1330"/>
      <c r="L56" s="1806"/>
      <c r="M56" s="1806"/>
      <c r="N56" s="1330"/>
      <c r="O56" s="1330"/>
      <c r="P56" s="1330"/>
      <c r="Q56" s="1330"/>
      <c r="R56" s="1806"/>
      <c r="S56" s="1330"/>
      <c r="T56" s="1330"/>
      <c r="U56" s="714"/>
      <c r="V56" s="1330"/>
      <c r="W56" s="1330"/>
      <c r="X56" s="1330"/>
      <c r="Y56" s="1330"/>
      <c r="Z56" s="1330"/>
      <c r="AA56" s="1802"/>
      <c r="AB56" s="736"/>
      <c r="AC56" s="736"/>
      <c r="AD56" s="736"/>
      <c r="AE56" s="736"/>
      <c r="AF56" s="1811">
        <v>11</v>
      </c>
    </row>
    <row s="12668" customFormat="1" customHeight="1" ht="11.549999999999999">
      <c r="A57" s="1157"/>
      <c r="B57" s="1806"/>
      <c r="C57" s="1806"/>
      <c r="D57" s="521"/>
      <c r="K57" s="1330"/>
      <c r="L57" s="1806"/>
      <c r="M57" s="1806"/>
      <c r="N57" s="1330"/>
      <c r="O57" s="1330"/>
      <c r="P57" s="1330"/>
      <c r="Q57" s="1330"/>
      <c r="R57" s="1806"/>
      <c r="S57" s="1330"/>
      <c r="T57" s="1330"/>
      <c r="U57" s="714"/>
      <c r="V57" s="1330"/>
      <c r="W57" s="1330"/>
      <c r="X57" s="1330"/>
      <c r="Y57" s="1330"/>
      <c r="Z57" s="1330"/>
      <c r="AA57" s="1802"/>
      <c r="AB57" s="736"/>
      <c r="AC57" s="736"/>
      <c r="AD57" s="736"/>
      <c r="AE57" s="736"/>
      <c r="AF57" s="1811">
        <v>11</v>
      </c>
    </row>
    <row s="12668" customFormat="1" customHeight="1" ht="11.549999999999999">
      <c r="A58" s="1157"/>
      <c r="B58" s="1806"/>
      <c r="C58" s="1806"/>
      <c r="D58" s="521"/>
      <c r="K58" s="1330"/>
      <c r="L58" s="1806"/>
      <c r="M58" s="1806"/>
      <c r="N58" s="1330"/>
      <c r="O58" s="1330"/>
      <c r="P58" s="1330"/>
      <c r="Q58" s="1330"/>
      <c r="R58" s="1806"/>
      <c r="S58" s="1330"/>
      <c r="T58" s="1330"/>
      <c r="U58" s="714"/>
      <c r="V58" s="1330"/>
      <c r="W58" s="1330"/>
      <c r="X58" s="1330"/>
      <c r="Y58" s="1330"/>
      <c r="Z58" s="1330"/>
      <c r="AA58" s="1802"/>
      <c r="AB58" s="736"/>
      <c r="AC58" s="736"/>
      <c r="AD58" s="736"/>
      <c r="AE58" s="736"/>
      <c r="AF58" s="1811">
        <v>11</v>
      </c>
    </row>
    <row s="12668" customFormat="1" customHeight="1" ht="11.549999999999999">
      <c r="A59" s="1157"/>
      <c r="B59" s="1806"/>
      <c r="C59" s="1806"/>
      <c r="D59" s="521"/>
      <c r="K59" s="1330"/>
      <c r="L59" s="1806"/>
      <c r="M59" s="1806"/>
      <c r="N59" s="1330"/>
      <c r="O59" s="1330"/>
      <c r="P59" s="1330"/>
      <c r="Q59" s="1330"/>
      <c r="R59" s="1806"/>
      <c r="S59" s="1330"/>
      <c r="T59" s="1330"/>
      <c r="U59" s="714"/>
      <c r="V59" s="1330"/>
      <c r="W59" s="1330"/>
      <c r="X59" s="1330"/>
      <c r="Y59" s="1330"/>
      <c r="Z59" s="1330"/>
      <c r="AA59" s="1802"/>
      <c r="AB59" s="736"/>
      <c r="AC59" s="736"/>
      <c r="AD59" s="736"/>
      <c r="AE59" s="736"/>
      <c r="AF59" s="1811">
        <v>11</v>
      </c>
    </row>
    <row s="12668" customFormat="1" customHeight="1" ht="11.549999999999999">
      <c r="A60" s="1157"/>
      <c r="B60" s="1806"/>
      <c r="C60" s="1806"/>
      <c r="D60" s="521"/>
      <c r="K60" s="1330"/>
      <c r="L60" s="1806"/>
      <c r="M60" s="1806"/>
      <c r="N60" s="1330"/>
      <c r="O60" s="1330"/>
      <c r="P60" s="1330"/>
      <c r="Q60" s="1330"/>
      <c r="R60" s="1806"/>
      <c r="S60" s="1330"/>
      <c r="T60" s="1330"/>
      <c r="U60" s="714"/>
      <c r="V60" s="1330"/>
      <c r="W60" s="1330"/>
      <c r="X60" s="1330"/>
      <c r="Y60" s="1330"/>
      <c r="Z60" s="1330"/>
      <c r="AA60" s="1802"/>
      <c r="AB60" s="736"/>
      <c r="AC60" s="736"/>
      <c r="AD60" s="736"/>
      <c r="AE60" s="736"/>
      <c r="AF60" s="1811">
        <v>11</v>
      </c>
    </row>
    <row s="12668" customFormat="1" customHeight="1" ht="11.549999999999999">
      <c r="A61" s="1157"/>
      <c r="B61" s="1806"/>
      <c r="C61" s="1806"/>
      <c r="D61" s="521"/>
      <c r="K61" s="1330"/>
      <c r="L61" s="1806"/>
      <c r="M61" s="1806"/>
      <c r="N61" s="1330"/>
      <c r="O61" s="1330"/>
      <c r="P61" s="1330"/>
      <c r="Q61" s="1330"/>
      <c r="R61" s="1806"/>
      <c r="S61" s="1330"/>
      <c r="T61" s="1330"/>
      <c r="U61" s="714"/>
      <c r="V61" s="1330"/>
      <c r="W61" s="1330"/>
      <c r="X61" s="1330"/>
      <c r="Y61" s="1330"/>
      <c r="Z61" s="1330"/>
      <c r="AA61" s="1802"/>
      <c r="AB61" s="736"/>
      <c r="AC61" s="736"/>
      <c r="AD61" s="736"/>
      <c r="AE61" s="736"/>
      <c r="AF61" s="1811">
        <v>11</v>
      </c>
    </row>
    <row s="12668" customFormat="1" customHeight="1" ht="11.549999999999999">
      <c r="A62" s="1157"/>
      <c r="B62" s="1806"/>
      <c r="C62" s="1806"/>
      <c r="D62" s="521"/>
      <c r="K62" s="1330"/>
      <c r="L62" s="1806"/>
      <c r="M62" s="1806"/>
      <c r="N62" s="1330"/>
      <c r="O62" s="1330"/>
      <c r="P62" s="1330"/>
      <c r="Q62" s="1330"/>
      <c r="R62" s="1806"/>
      <c r="S62" s="1330"/>
      <c r="T62" s="1330"/>
      <c r="U62" s="714"/>
      <c r="V62" s="1330"/>
      <c r="W62" s="1330"/>
      <c r="X62" s="1330"/>
      <c r="Y62" s="1330"/>
      <c r="Z62" s="1330"/>
      <c r="AA62" s="1802"/>
      <c r="AB62" s="736"/>
      <c r="AC62" s="736"/>
      <c r="AD62" s="736"/>
      <c r="AE62" s="736"/>
      <c r="AF62" s="1811">
        <v>11</v>
      </c>
    </row>
    <row s="12668" customFormat="1" customHeight="1" ht="11.549999999999999">
      <c r="A63" s="1157"/>
      <c r="B63" s="1806"/>
      <c r="C63" s="1806"/>
      <c r="D63" s="521"/>
      <c r="K63" s="1330"/>
      <c r="L63" s="1806"/>
      <c r="M63" s="1806"/>
      <c r="N63" s="1330"/>
      <c r="O63" s="1330"/>
      <c r="P63" s="1330"/>
      <c r="Q63" s="1330"/>
      <c r="R63" s="1806"/>
      <c r="S63" s="1330"/>
      <c r="T63" s="1330"/>
      <c r="U63" s="714"/>
      <c r="V63" s="1330"/>
      <c r="W63" s="1330"/>
      <c r="X63" s="1330"/>
      <c r="Y63" s="1330"/>
      <c r="Z63" s="1330"/>
      <c r="AA63" s="1802"/>
      <c r="AB63" s="736"/>
      <c r="AC63" s="736"/>
      <c r="AD63" s="736"/>
      <c r="AE63" s="736"/>
      <c r="AF63" s="1811">
        <v>11</v>
      </c>
    </row>
    <row s="12668" customFormat="1" customHeight="1" ht="11.549999999999999">
      <c r="A64" s="1157"/>
      <c r="B64" s="1806"/>
      <c r="C64" s="1806"/>
      <c r="D64" s="521"/>
      <c r="K64" s="1330"/>
      <c r="L64" s="1806"/>
      <c r="M64" s="1806"/>
      <c r="N64" s="1330"/>
      <c r="O64" s="1330"/>
      <c r="P64" s="1330"/>
      <c r="Q64" s="1330"/>
      <c r="R64" s="1806"/>
      <c r="S64" s="1330"/>
      <c r="T64" s="1330"/>
      <c r="U64" s="714"/>
      <c r="V64" s="1330"/>
      <c r="W64" s="1330"/>
      <c r="X64" s="1330"/>
      <c r="Y64" s="1330"/>
      <c r="Z64" s="1330"/>
      <c r="AA64" s="1802"/>
      <c r="AB64" s="736"/>
      <c r="AC64" s="736"/>
      <c r="AD64" s="736"/>
      <c r="AE64" s="736"/>
      <c r="AF64" s="1811">
        <v>11</v>
      </c>
    </row>
    <row s="12668" customFormat="1" customHeight="1" ht="11.549999999999999">
      <c r="A65" s="1157"/>
      <c r="B65" s="1806"/>
      <c r="C65" s="1806"/>
      <c r="D65" s="521"/>
      <c r="K65" s="1330"/>
      <c r="L65" s="1806"/>
      <c r="M65" s="1806"/>
      <c r="N65" s="1330"/>
      <c r="O65" s="1330"/>
      <c r="P65" s="1330"/>
      <c r="Q65" s="1330"/>
      <c r="R65" s="1806"/>
      <c r="S65" s="1330"/>
      <c r="T65" s="1330"/>
      <c r="U65" s="714"/>
      <c r="V65" s="1330"/>
      <c r="W65" s="1330"/>
      <c r="X65" s="1330"/>
      <c r="Y65" s="1330"/>
      <c r="Z65" s="1330"/>
      <c r="AA65" s="1802"/>
      <c r="AB65" s="736"/>
      <c r="AC65" s="736"/>
      <c r="AD65" s="736"/>
      <c r="AE65" s="736"/>
      <c r="AF65" s="1811">
        <v>11</v>
      </c>
    </row>
    <row s="12668" customFormat="1" customHeight="1" ht="11.549999999999999">
      <c r="A66" s="1157"/>
      <c r="B66" s="1806"/>
      <c r="C66" s="1806"/>
      <c r="D66" s="521"/>
      <c r="K66" s="1330"/>
      <c r="L66" s="1806"/>
      <c r="M66" s="1806"/>
      <c r="N66" s="1330"/>
      <c r="O66" s="1330"/>
      <c r="P66" s="1330"/>
      <c r="Q66" s="1330"/>
      <c r="R66" s="1806"/>
      <c r="S66" s="1330"/>
      <c r="T66" s="1330"/>
      <c r="U66" s="714"/>
      <c r="V66" s="1330"/>
      <c r="W66" s="1330"/>
      <c r="X66" s="1330"/>
      <c r="Y66" s="1330"/>
      <c r="Z66" s="1330"/>
      <c r="AA66" s="1802"/>
      <c r="AB66" s="736"/>
      <c r="AC66" s="736"/>
      <c r="AD66" s="736"/>
      <c r="AE66" s="736"/>
      <c r="AF66" s="1811">
        <v>11</v>
      </c>
    </row>
    <row s="12668" customFormat="1" customHeight="1" ht="11.549999999999999">
      <c r="A67" s="1157"/>
      <c r="B67" s="1806"/>
      <c r="C67" s="1806"/>
      <c r="D67" s="521"/>
      <c r="K67" s="1330"/>
      <c r="L67" s="1806"/>
      <c r="M67" s="1806"/>
      <c r="N67" s="1330"/>
      <c r="O67" s="1330"/>
      <c r="P67" s="1330"/>
      <c r="Q67" s="1330"/>
      <c r="R67" s="1806"/>
      <c r="S67" s="1330"/>
      <c r="T67" s="1330"/>
      <c r="U67" s="714"/>
      <c r="V67" s="1330"/>
      <c r="W67" s="1330"/>
      <c r="X67" s="1330"/>
      <c r="Y67" s="1330"/>
      <c r="Z67" s="1330"/>
      <c r="AA67" s="1802"/>
      <c r="AB67" s="736"/>
      <c r="AC67" s="736"/>
      <c r="AD67" s="736"/>
      <c r="AE67" s="736"/>
      <c r="AF67" s="1811">
        <v>11</v>
      </c>
    </row>
    <row s="12668" customFormat="1" customHeight="1" ht="11.549999999999999">
      <c r="A68" s="1157"/>
      <c r="B68" s="1806"/>
      <c r="C68" s="1806"/>
      <c r="D68" s="521"/>
      <c r="K68" s="1330"/>
      <c r="L68" s="1806"/>
      <c r="M68" s="1806"/>
      <c r="N68" s="1330"/>
      <c r="O68" s="1330"/>
      <c r="P68" s="1330"/>
      <c r="Q68" s="1330"/>
      <c r="R68" s="1806"/>
      <c r="S68" s="1330"/>
      <c r="T68" s="1330"/>
      <c r="U68" s="714"/>
      <c r="V68" s="1330"/>
      <c r="W68" s="1330"/>
      <c r="X68" s="1330"/>
      <c r="Y68" s="1330"/>
      <c r="Z68" s="1330"/>
      <c r="AA68" s="1802"/>
      <c r="AB68" s="736"/>
      <c r="AC68" s="736"/>
      <c r="AD68" s="736"/>
      <c r="AE68" s="736"/>
      <c r="AF68" s="1811">
        <v>11</v>
      </c>
    </row>
    <row s="12668" customFormat="1" customHeight="1" ht="11.549999999999999">
      <c r="A69" s="1157"/>
      <c r="B69" s="1806"/>
      <c r="C69" s="1806"/>
      <c r="D69" s="521"/>
      <c r="K69" s="1330"/>
      <c r="L69" s="1806"/>
      <c r="M69" s="1806"/>
      <c r="N69" s="1330"/>
      <c r="O69" s="1330"/>
      <c r="P69" s="1330"/>
      <c r="Q69" s="1330"/>
      <c r="R69" s="1806"/>
      <c r="S69" s="1330"/>
      <c r="T69" s="1330"/>
      <c r="U69" s="714"/>
      <c r="V69" s="1330"/>
      <c r="W69" s="1330"/>
      <c r="X69" s="1330"/>
      <c r="Y69" s="1330"/>
      <c r="Z69" s="1330"/>
      <c r="AA69" s="1802"/>
      <c r="AB69" s="736"/>
      <c r="AC69" s="736"/>
      <c r="AD69" s="736"/>
      <c r="AE69" s="736"/>
      <c r="AF69" s="1811">
        <v>11</v>
      </c>
    </row>
    <row s="12668" customFormat="1" customHeight="1" ht="11.549999999999999">
      <c r="A70" s="1157"/>
      <c r="B70" s="1806"/>
      <c r="C70" s="1806"/>
      <c r="D70" s="521"/>
      <c r="K70" s="1330"/>
      <c r="L70" s="1806"/>
      <c r="M70" s="1806"/>
      <c r="N70" s="1330"/>
      <c r="O70" s="1330"/>
      <c r="P70" s="1330"/>
      <c r="Q70" s="1330"/>
      <c r="R70" s="1806"/>
      <c r="S70" s="1330"/>
      <c r="T70" s="1330"/>
      <c r="U70" s="714"/>
      <c r="V70" s="1330"/>
      <c r="W70" s="1330"/>
      <c r="X70" s="1330"/>
      <c r="Y70" s="1330"/>
      <c r="Z70" s="1330"/>
      <c r="AA70" s="1802"/>
      <c r="AB70" s="736"/>
      <c r="AC70" s="736"/>
      <c r="AD70" s="736"/>
      <c r="AE70" s="736"/>
      <c r="AF70" s="1811">
        <v>11</v>
      </c>
    </row>
    <row s="12668" customFormat="1" customHeight="1" ht="11.549999999999999">
      <c r="A71" s="1157"/>
      <c r="B71" s="1806"/>
      <c r="C71" s="1806"/>
      <c r="D71" s="521"/>
      <c r="K71" s="1330"/>
      <c r="L71" s="1806"/>
      <c r="M71" s="1806"/>
      <c r="N71" s="1330"/>
      <c r="O71" s="1330"/>
      <c r="P71" s="1330"/>
      <c r="Q71" s="1330"/>
      <c r="R71" s="1806"/>
      <c r="S71" s="1330"/>
      <c r="T71" s="1330"/>
      <c r="U71" s="714"/>
      <c r="V71" s="1330"/>
      <c r="W71" s="1330"/>
      <c r="X71" s="1330"/>
      <c r="Y71" s="1330"/>
      <c r="Z71" s="1330"/>
      <c r="AA71" s="1802"/>
      <c r="AB71" s="736"/>
      <c r="AC71" s="736"/>
      <c r="AD71" s="736"/>
      <c r="AE71" s="736"/>
      <c r="AF71" s="1811">
        <v>11</v>
      </c>
    </row>
    <row s="12668" customFormat="1" customHeight="1" ht="11.549999999999999">
      <c r="A72" s="1157"/>
      <c r="B72" s="1806"/>
      <c r="C72" s="1806"/>
      <c r="D72" s="521"/>
      <c r="K72" s="1330"/>
      <c r="L72" s="1806"/>
      <c r="M72" s="1806"/>
      <c r="N72" s="1330"/>
      <c r="O72" s="1330"/>
      <c r="P72" s="1330"/>
      <c r="Q72" s="1330"/>
      <c r="R72" s="1806"/>
      <c r="S72" s="1330"/>
      <c r="T72" s="1330"/>
      <c r="U72" s="714"/>
      <c r="V72" s="1330"/>
      <c r="W72" s="1330"/>
      <c r="X72" s="1330"/>
      <c r="Y72" s="1330"/>
      <c r="Z72" s="1330"/>
      <c r="AA72" s="1802"/>
      <c r="AB72" s="736"/>
      <c r="AC72" s="736"/>
      <c r="AD72" s="736"/>
      <c r="AE72" s="736"/>
      <c r="AF72" s="1811">
        <v>11</v>
      </c>
    </row>
    <row s="12668" customFormat="1" customHeight="1" ht="11.549999999999999">
      <c r="A73" s="1157"/>
      <c r="B73" s="1806"/>
      <c r="C73" s="1806"/>
      <c r="D73" s="521"/>
      <c r="K73" s="1330"/>
      <c r="L73" s="1806"/>
      <c r="M73" s="1806"/>
      <c r="N73" s="1330"/>
      <c r="O73" s="1330"/>
      <c r="P73" s="1330"/>
      <c r="Q73" s="1330"/>
      <c r="R73" s="1806"/>
      <c r="S73" s="1330"/>
      <c r="T73" s="1330"/>
      <c r="U73" s="714"/>
      <c r="V73" s="1330"/>
      <c r="W73" s="1330"/>
      <c r="X73" s="1330"/>
      <c r="Y73" s="1330"/>
      <c r="Z73" s="1330"/>
      <c r="AA73" s="1802"/>
      <c r="AB73" s="736"/>
      <c r="AC73" s="736"/>
      <c r="AD73" s="736"/>
      <c r="AE73" s="736"/>
      <c r="AF73" s="1811">
        <v>11</v>
      </c>
    </row>
    <row s="12668" customFormat="1" customHeight="1" ht="11.549999999999999">
      <c r="A74" s="1157"/>
      <c r="B74" s="1806"/>
      <c r="C74" s="1806"/>
      <c r="D74" s="521"/>
      <c r="K74" s="1330"/>
      <c r="L74" s="1806"/>
      <c r="M74" s="1806"/>
      <c r="N74" s="1330"/>
      <c r="O74" s="1330"/>
      <c r="P74" s="1330"/>
      <c r="Q74" s="1330"/>
      <c r="R74" s="1806"/>
      <c r="S74" s="1330"/>
      <c r="T74" s="1330"/>
      <c r="U74" s="714"/>
      <c r="V74" s="1330"/>
      <c r="W74" s="1330"/>
      <c r="X74" s="1330"/>
      <c r="Y74" s="1330"/>
      <c r="Z74" s="1330"/>
      <c r="AA74" s="1802"/>
      <c r="AB74" s="736"/>
      <c r="AC74" s="736"/>
      <c r="AD74" s="736"/>
      <c r="AE74" s="736"/>
      <c r="AF74" s="1811">
        <v>11</v>
      </c>
    </row>
    <row s="12668" customFormat="1" customHeight="1" ht="11.549999999999999">
      <c r="A75" s="1157"/>
      <c r="B75" s="1806"/>
      <c r="C75" s="1806"/>
      <c r="D75" s="521"/>
      <c r="K75" s="1330"/>
      <c r="L75" s="1806"/>
      <c r="M75" s="1806"/>
      <c r="N75" s="1330"/>
      <c r="O75" s="1330"/>
      <c r="P75" s="1330"/>
      <c r="Q75" s="1330"/>
      <c r="R75" s="1806"/>
      <c r="S75" s="1330"/>
      <c r="T75" s="1330"/>
      <c r="U75" s="714"/>
      <c r="V75" s="1330"/>
      <c r="W75" s="1330"/>
      <c r="X75" s="1330"/>
      <c r="Y75" s="1330"/>
      <c r="Z75" s="1330"/>
      <c r="AA75" s="1802"/>
      <c r="AB75" s="736"/>
      <c r="AC75" s="736"/>
      <c r="AD75" s="736"/>
      <c r="AE75" s="736"/>
      <c r="AF75" s="1811">
        <v>11</v>
      </c>
    </row>
    <row s="12668" customFormat="1" customHeight="1" ht="11.549999999999999">
      <c r="A76" s="1157"/>
      <c r="B76" s="1806"/>
      <c r="C76" s="1806"/>
      <c r="D76" s="521"/>
      <c r="K76" s="1330"/>
      <c r="L76" s="1806"/>
      <c r="M76" s="1806"/>
      <c r="N76" s="1330"/>
      <c r="O76" s="1330"/>
      <c r="P76" s="1330"/>
      <c r="Q76" s="1330"/>
      <c r="R76" s="1806"/>
      <c r="S76" s="1330"/>
      <c r="T76" s="1330"/>
      <c r="U76" s="714"/>
      <c r="V76" s="1330"/>
      <c r="W76" s="1330"/>
      <c r="X76" s="1330"/>
      <c r="Y76" s="1330"/>
      <c r="Z76" s="1330"/>
      <c r="AA76" s="1802"/>
      <c r="AB76" s="736"/>
      <c r="AC76" s="736"/>
      <c r="AD76" s="736"/>
      <c r="AE76" s="736"/>
      <c r="AF76" s="1811">
        <v>11</v>
      </c>
    </row>
    <row s="12668" customFormat="1" customHeight="1" ht="11.549999999999999">
      <c r="A77" s="1157"/>
      <c r="B77" s="1806"/>
      <c r="C77" s="1806"/>
      <c r="D77" s="521"/>
      <c r="K77" s="1330"/>
      <c r="L77" s="1806"/>
      <c r="M77" s="1806"/>
      <c r="N77" s="1330"/>
      <c r="O77" s="1330"/>
      <c r="P77" s="1330"/>
      <c r="Q77" s="1330"/>
      <c r="R77" s="1806"/>
      <c r="S77" s="1330"/>
      <c r="T77" s="1330"/>
      <c r="U77" s="714"/>
      <c r="V77" s="1330"/>
      <c r="W77" s="1330"/>
      <c r="X77" s="1330"/>
      <c r="Y77" s="1330"/>
      <c r="Z77" s="1330"/>
      <c r="AA77" s="1802"/>
      <c r="AB77" s="736"/>
      <c r="AC77" s="736"/>
      <c r="AD77" s="736"/>
      <c r="AE77" s="736"/>
      <c r="AF77" s="1811">
        <v>11</v>
      </c>
    </row>
    <row s="12668" customFormat="1" customHeight="1" ht="11.549999999999999">
      <c r="A78" s="1157"/>
      <c r="B78" s="1806"/>
      <c r="C78" s="1806"/>
      <c r="D78" s="521"/>
      <c r="K78" s="1330"/>
      <c r="L78" s="1806"/>
      <c r="M78" s="1806"/>
      <c r="N78" s="1330"/>
      <c r="O78" s="1330"/>
      <c r="P78" s="1330"/>
      <c r="Q78" s="1330"/>
      <c r="R78" s="1806"/>
      <c r="S78" s="1330"/>
      <c r="T78" s="1330"/>
      <c r="U78" s="714"/>
      <c r="V78" s="1330"/>
      <c r="W78" s="1330"/>
      <c r="X78" s="1330"/>
      <c r="Y78" s="1330"/>
      <c r="Z78" s="1330"/>
      <c r="AA78" s="1802"/>
      <c r="AB78" s="736"/>
      <c r="AC78" s="736"/>
      <c r="AD78" s="736"/>
      <c r="AE78" s="736"/>
      <c r="AF78" s="1811">
        <v>11</v>
      </c>
    </row>
    <row s="12668" customFormat="1" customHeight="1" ht="11.549999999999999">
      <c r="A79" s="1157"/>
      <c r="B79" s="1806"/>
      <c r="C79" s="1806"/>
      <c r="D79" s="521"/>
      <c r="K79" s="1330"/>
      <c r="L79" s="1806"/>
      <c r="M79" s="1806"/>
      <c r="N79" s="1330"/>
      <c r="O79" s="1330"/>
      <c r="P79" s="1330"/>
      <c r="Q79" s="1330"/>
      <c r="R79" s="1806"/>
      <c r="S79" s="1330"/>
      <c r="T79" s="1330"/>
      <c r="U79" s="714"/>
      <c r="V79" s="1330"/>
      <c r="W79" s="1330"/>
      <c r="X79" s="1330"/>
      <c r="Y79" s="1330"/>
      <c r="Z79" s="1330"/>
      <c r="AA79" s="1802"/>
      <c r="AB79" s="736"/>
      <c r="AC79" s="736"/>
      <c r="AD79" s="736"/>
      <c r="AE79" s="736"/>
      <c r="AF79" s="1811">
        <v>11</v>
      </c>
    </row>
    <row s="12668" customFormat="1" customHeight="1" ht="11.549999999999999">
      <c r="A80" s="1157"/>
      <c r="B80" s="1806"/>
      <c r="C80" s="1806"/>
      <c r="D80" s="521"/>
      <c r="K80" s="1330"/>
      <c r="L80" s="1806"/>
      <c r="M80" s="1806"/>
      <c r="N80" s="1330"/>
      <c r="O80" s="1330"/>
      <c r="P80" s="1330"/>
      <c r="Q80" s="1330"/>
      <c r="R80" s="1806"/>
      <c r="S80" s="1330"/>
      <c r="T80" s="1330"/>
      <c r="U80" s="714"/>
      <c r="V80" s="1330"/>
      <c r="W80" s="1330"/>
      <c r="X80" s="1330"/>
      <c r="Y80" s="1330"/>
      <c r="Z80" s="1330"/>
      <c r="AA80" s="1802"/>
      <c r="AB80" s="736"/>
      <c r="AC80" s="736"/>
      <c r="AD80" s="736"/>
      <c r="AE80" s="736"/>
      <c r="AF80" s="1811">
        <v>11</v>
      </c>
    </row>
    <row s="12668" customFormat="1" customHeight="1" ht="11.549999999999999">
      <c r="A81" s="1157"/>
      <c r="B81" s="1806"/>
      <c r="C81" s="1806"/>
      <c r="D81" s="521"/>
      <c r="K81" s="1330"/>
      <c r="L81" s="1806"/>
      <c r="M81" s="1806"/>
      <c r="N81" s="1330"/>
      <c r="O81" s="1330"/>
      <c r="P81" s="1330"/>
      <c r="Q81" s="1330"/>
      <c r="R81" s="1806"/>
      <c r="S81" s="1330"/>
      <c r="T81" s="1330"/>
      <c r="U81" s="714"/>
      <c r="V81" s="1330"/>
      <c r="W81" s="1330"/>
      <c r="X81" s="1330"/>
      <c r="Y81" s="1330"/>
      <c r="Z81" s="1330"/>
      <c r="AA81" s="1802"/>
      <c r="AB81" s="736"/>
      <c r="AC81" s="736"/>
      <c r="AD81" s="736"/>
      <c r="AE81" s="736"/>
      <c r="AF81" s="1811">
        <v>11</v>
      </c>
    </row>
    <row s="12668" customFormat="1" customHeight="1" ht="11.549999999999999">
      <c r="A82" s="1157"/>
      <c r="B82" s="1806"/>
      <c r="C82" s="1806"/>
      <c r="D82" s="521"/>
      <c r="K82" s="1330"/>
      <c r="L82" s="1806"/>
      <c r="M82" s="1806"/>
      <c r="N82" s="1330"/>
      <c r="O82" s="1330"/>
      <c r="P82" s="1330"/>
      <c r="Q82" s="1330"/>
      <c r="R82" s="1806"/>
      <c r="S82" s="1330"/>
      <c r="T82" s="1330"/>
      <c r="U82" s="714"/>
      <c r="V82" s="1330"/>
      <c r="W82" s="1330"/>
      <c r="X82" s="1330"/>
      <c r="Y82" s="1330"/>
      <c r="Z82" s="1330"/>
      <c r="AA82" s="1802"/>
      <c r="AB82" s="736"/>
      <c r="AC82" s="736"/>
      <c r="AD82" s="736"/>
      <c r="AE82" s="736"/>
      <c r="AF82" s="1811">
        <v>11</v>
      </c>
    </row>
    <row s="12668" customFormat="1" customHeight="1" ht="11.549999999999999">
      <c r="A83" s="1157"/>
      <c r="B83" s="1806"/>
      <c r="C83" s="1806"/>
      <c r="D83" s="521"/>
      <c r="K83" s="1330"/>
      <c r="L83" s="1806"/>
      <c r="M83" s="1806"/>
      <c r="N83" s="1330"/>
      <c r="O83" s="1330"/>
      <c r="P83" s="1330"/>
      <c r="Q83" s="1330"/>
      <c r="R83" s="1806"/>
      <c r="S83" s="1330"/>
      <c r="T83" s="1330"/>
      <c r="U83" s="714"/>
      <c r="V83" s="1330"/>
      <c r="W83" s="1330"/>
      <c r="X83" s="1330"/>
      <c r="Y83" s="1330"/>
      <c r="Z83" s="1330"/>
      <c r="AA83" s="1802"/>
      <c r="AB83" s="736"/>
      <c r="AC83" s="736"/>
      <c r="AD83" s="736"/>
      <c r="AE83" s="736"/>
      <c r="AF83" s="1811">
        <v>11</v>
      </c>
    </row>
    <row s="12668" customFormat="1" customHeight="1" ht="11.549999999999999">
      <c r="A84" s="1157"/>
      <c r="B84" s="1806"/>
      <c r="C84" s="1806"/>
      <c r="D84" s="521"/>
      <c r="K84" s="1330"/>
      <c r="L84" s="1806"/>
      <c r="M84" s="1806"/>
      <c r="N84" s="1330"/>
      <c r="O84" s="1330"/>
      <c r="P84" s="1330"/>
      <c r="Q84" s="1330"/>
      <c r="R84" s="1806"/>
      <c r="S84" s="1330"/>
      <c r="T84" s="1330"/>
      <c r="U84" s="714"/>
      <c r="V84" s="1330"/>
      <c r="W84" s="1330"/>
      <c r="X84" s="1330"/>
      <c r="Y84" s="1330"/>
      <c r="Z84" s="1330"/>
      <c r="AA84" s="1802"/>
      <c r="AB84" s="736"/>
      <c r="AC84" s="736"/>
      <c r="AD84" s="736"/>
      <c r="AE84" s="736"/>
      <c r="AF84" s="1811">
        <v>11</v>
      </c>
    </row>
    <row s="12668" customFormat="1" customHeight="1" ht="11.549999999999999">
      <c r="A85" s="1157"/>
      <c r="B85" s="1806"/>
      <c r="C85" s="1806"/>
      <c r="D85" s="521"/>
      <c r="K85" s="1330"/>
      <c r="L85" s="1806"/>
      <c r="M85" s="1806"/>
      <c r="N85" s="1330"/>
      <c r="O85" s="1330"/>
      <c r="P85" s="1330"/>
      <c r="Q85" s="1330"/>
      <c r="R85" s="1806"/>
      <c r="S85" s="1330"/>
      <c r="T85" s="1330"/>
      <c r="U85" s="714"/>
      <c r="V85" s="1330"/>
      <c r="W85" s="1330"/>
      <c r="X85" s="1330"/>
      <c r="Y85" s="1330"/>
      <c r="Z85" s="1330"/>
      <c r="AA85" s="1802"/>
      <c r="AB85" s="736"/>
      <c r="AC85" s="736"/>
      <c r="AD85" s="736"/>
      <c r="AE85" s="736"/>
      <c r="AF85" s="1811">
        <v>11</v>
      </c>
    </row>
    <row s="12668" customFormat="1" customHeight="1" ht="11.549999999999999">
      <c r="A86" s="1157"/>
      <c r="B86" s="1806"/>
      <c r="C86" s="1806"/>
      <c r="D86" s="521"/>
      <c r="K86" s="1330"/>
      <c r="L86" s="1806"/>
      <c r="M86" s="1806"/>
      <c r="N86" s="1330"/>
      <c r="O86" s="1330"/>
      <c r="P86" s="1330"/>
      <c r="Q86" s="1330"/>
      <c r="R86" s="1806"/>
      <c r="S86" s="1330"/>
      <c r="T86" s="1330"/>
      <c r="U86" s="714"/>
      <c r="V86" s="1330"/>
      <c r="W86" s="1330"/>
      <c r="X86" s="1330"/>
      <c r="Y86" s="1330"/>
      <c r="Z86" s="1330"/>
      <c r="AA86" s="1802"/>
      <c r="AB86" s="736"/>
      <c r="AC86" s="736"/>
      <c r="AD86" s="736"/>
      <c r="AE86" s="736"/>
      <c r="AF86" s="1811">
        <v>11</v>
      </c>
    </row>
    <row s="12668" customFormat="1" customHeight="1" ht="11.549999999999999">
      <c r="A87" s="1157"/>
      <c r="B87" s="1806"/>
      <c r="C87" s="1806"/>
      <c r="D87" s="521"/>
      <c r="K87" s="1330"/>
      <c r="L87" s="1806"/>
      <c r="M87" s="1806"/>
      <c r="N87" s="1330"/>
      <c r="O87" s="1330"/>
      <c r="P87" s="1330"/>
      <c r="Q87" s="1330"/>
      <c r="R87" s="1806"/>
      <c r="S87" s="1330"/>
      <c r="T87" s="1330"/>
      <c r="U87" s="714"/>
      <c r="V87" s="1330"/>
      <c r="W87" s="1330"/>
      <c r="X87" s="1330"/>
      <c r="Y87" s="1330"/>
      <c r="Z87" s="1330"/>
      <c r="AA87" s="1802"/>
      <c r="AB87" s="736"/>
      <c r="AC87" s="736"/>
      <c r="AD87" s="736"/>
      <c r="AE87" s="736"/>
      <c r="AF87" s="1811">
        <v>11</v>
      </c>
    </row>
    <row s="12668" customFormat="1" customHeight="1" ht="11.549999999999999">
      <c r="A88" s="1157"/>
      <c r="B88" s="1806"/>
      <c r="C88" s="1806"/>
      <c r="D88" s="521"/>
      <c r="K88" s="1330"/>
      <c r="L88" s="1806"/>
      <c r="M88" s="1806"/>
      <c r="N88" s="1330"/>
      <c r="O88" s="1330"/>
      <c r="P88" s="1330"/>
      <c r="Q88" s="1330"/>
      <c r="R88" s="1806"/>
      <c r="S88" s="1330"/>
      <c r="T88" s="1330"/>
      <c r="U88" s="714"/>
      <c r="V88" s="1330"/>
      <c r="W88" s="1330"/>
      <c r="X88" s="1330"/>
      <c r="Y88" s="1330"/>
      <c r="Z88" s="1330"/>
      <c r="AA88" s="1802"/>
      <c r="AB88" s="736"/>
      <c r="AC88" s="736"/>
      <c r="AD88" s="736"/>
      <c r="AE88" s="736"/>
      <c r="AF88" s="1811">
        <v>11</v>
      </c>
    </row>
    <row s="12668" customFormat="1" customHeight="1" ht="11.549999999999999">
      <c r="A89" s="1157"/>
      <c r="B89" s="1806"/>
      <c r="C89" s="1806"/>
      <c r="D89" s="521"/>
      <c r="K89" s="1330"/>
      <c r="L89" s="1806"/>
      <c r="M89" s="1806"/>
      <c r="N89" s="1330"/>
      <c r="O89" s="1330"/>
      <c r="P89" s="1330"/>
      <c r="Q89" s="1330"/>
      <c r="R89" s="1806"/>
      <c r="S89" s="1330"/>
      <c r="T89" s="1330"/>
      <c r="U89" s="714"/>
      <c r="V89" s="1330"/>
      <c r="W89" s="1330"/>
      <c r="X89" s="1330"/>
      <c r="Y89" s="1330"/>
      <c r="Z89" s="1330"/>
      <c r="AA89" s="1802"/>
      <c r="AB89" s="736"/>
      <c r="AC89" s="736"/>
      <c r="AD89" s="736"/>
      <c r="AE89" s="736"/>
      <c r="AF89" s="1811">
        <v>11</v>
      </c>
    </row>
    <row s="12668" customFormat="1" customHeight="1" ht="11.549999999999999">
      <c r="A90" s="1157"/>
      <c r="B90" s="1806"/>
      <c r="C90" s="1806"/>
      <c r="D90" s="521"/>
      <c r="K90" s="1330"/>
      <c r="L90" s="1806"/>
      <c r="M90" s="1806"/>
      <c r="N90" s="1330"/>
      <c r="O90" s="1330"/>
      <c r="P90" s="1330"/>
      <c r="Q90" s="1330"/>
      <c r="R90" s="1806"/>
      <c r="S90" s="1330"/>
      <c r="T90" s="1330"/>
      <c r="U90" s="714"/>
      <c r="V90" s="1330"/>
      <c r="W90" s="1330"/>
      <c r="X90" s="1330"/>
      <c r="Y90" s="1330"/>
      <c r="Z90" s="1330"/>
      <c r="AA90" s="1802"/>
      <c r="AB90" s="736"/>
      <c r="AC90" s="736"/>
      <c r="AD90" s="736"/>
      <c r="AE90" s="736"/>
      <c r="AF90" s="1811">
        <v>11</v>
      </c>
    </row>
    <row s="12668" customFormat="1" customHeight="1" ht="11.549999999999999">
      <c r="A91" s="1157"/>
      <c r="B91" s="1806"/>
      <c r="C91" s="1806"/>
      <c r="D91" s="521"/>
      <c r="K91" s="1330"/>
      <c r="L91" s="1806"/>
      <c r="M91" s="1806"/>
      <c r="N91" s="1330"/>
      <c r="O91" s="1330"/>
      <c r="P91" s="1330"/>
      <c r="Q91" s="1330"/>
      <c r="R91" s="1806"/>
      <c r="S91" s="1330"/>
      <c r="T91" s="1330"/>
      <c r="U91" s="714"/>
      <c r="V91" s="1330"/>
      <c r="W91" s="1330"/>
      <c r="X91" s="1330"/>
      <c r="Y91" s="1330"/>
      <c r="Z91" s="1330"/>
      <c r="AA91" s="1802"/>
      <c r="AB91" s="736"/>
      <c r="AC91" s="736"/>
      <c r="AD91" s="736"/>
      <c r="AE91" s="736"/>
      <c r="AF91" s="1811">
        <v>11</v>
      </c>
    </row>
    <row s="12668" customFormat="1" customHeight="1" ht="11.549999999999999">
      <c r="A92" s="1157"/>
      <c r="B92" s="1806"/>
      <c r="C92" s="1806"/>
      <c r="D92" s="521"/>
      <c r="K92" s="1330"/>
      <c r="L92" s="1806"/>
      <c r="M92" s="1806"/>
      <c r="N92" s="1330"/>
      <c r="O92" s="1330"/>
      <c r="P92" s="1330"/>
      <c r="Q92" s="1330"/>
      <c r="R92" s="1806"/>
      <c r="S92" s="1330"/>
      <c r="T92" s="1330"/>
      <c r="U92" s="714"/>
      <c r="V92" s="1330"/>
      <c r="W92" s="1330"/>
      <c r="X92" s="1330"/>
      <c r="Y92" s="1330"/>
      <c r="Z92" s="1330"/>
      <c r="AA92" s="1802"/>
      <c r="AB92" s="736"/>
      <c r="AC92" s="736"/>
      <c r="AD92" s="736"/>
      <c r="AE92" s="736"/>
      <c r="AF92" s="1811">
        <v>11</v>
      </c>
    </row>
    <row s="12668" customFormat="1" customHeight="1" ht="11.549999999999999">
      <c r="A93" s="1157"/>
      <c r="B93" s="1806"/>
      <c r="C93" s="1806"/>
      <c r="D93" s="521"/>
      <c r="K93" s="1330"/>
      <c r="L93" s="1806"/>
      <c r="M93" s="1806"/>
      <c r="N93" s="1330"/>
      <c r="O93" s="1330"/>
      <c r="P93" s="1330"/>
      <c r="Q93" s="1330"/>
      <c r="R93" s="1806"/>
      <c r="S93" s="1330"/>
      <c r="T93" s="1330"/>
      <c r="U93" s="714"/>
      <c r="V93" s="1330"/>
      <c r="W93" s="1330"/>
      <c r="X93" s="1330"/>
      <c r="Y93" s="1330"/>
      <c r="Z93" s="1330"/>
      <c r="AA93" s="1802"/>
      <c r="AB93" s="736"/>
      <c r="AC93" s="736"/>
      <c r="AD93" s="736"/>
      <c r="AE93" s="736"/>
      <c r="AF93" s="1811">
        <v>11</v>
      </c>
    </row>
    <row s="12668" customFormat="1" customHeight="1" ht="11.549999999999999">
      <c r="A94" s="1157"/>
      <c r="B94" s="1806"/>
      <c r="C94" s="1806"/>
      <c r="D94" s="521"/>
      <c r="K94" s="1330"/>
      <c r="L94" s="1806"/>
      <c r="M94" s="1806"/>
      <c r="N94" s="1330"/>
      <c r="O94" s="1330"/>
      <c r="P94" s="1330"/>
      <c r="Q94" s="1330"/>
      <c r="R94" s="1806"/>
      <c r="S94" s="1330"/>
      <c r="T94" s="1330"/>
      <c r="U94" s="714"/>
      <c r="V94" s="1330"/>
      <c r="W94" s="1330"/>
      <c r="X94" s="1330"/>
      <c r="Y94" s="1330"/>
      <c r="Z94" s="1330"/>
      <c r="AA94" s="1802"/>
      <c r="AB94" s="736"/>
      <c r="AC94" s="736"/>
      <c r="AD94" s="736"/>
      <c r="AE94" s="736"/>
      <c r="AF94" s="1811">
        <v>11</v>
      </c>
    </row>
    <row s="12668" customFormat="1" customHeight="1" ht="11.549999999999999">
      <c r="A95" s="1157"/>
      <c r="B95" s="1806"/>
      <c r="C95" s="1806"/>
      <c r="D95" s="521"/>
      <c r="K95" s="1330"/>
      <c r="L95" s="1806"/>
      <c r="M95" s="1806"/>
      <c r="N95" s="1330"/>
      <c r="O95" s="1330"/>
      <c r="P95" s="1330"/>
      <c r="Q95" s="1330"/>
      <c r="R95" s="1806"/>
      <c r="S95" s="1330"/>
      <c r="T95" s="1330"/>
      <c r="U95" s="714"/>
      <c r="V95" s="1330"/>
      <c r="W95" s="1330"/>
      <c r="X95" s="1330"/>
      <c r="Y95" s="1330"/>
      <c r="Z95" s="1330"/>
      <c r="AA95" s="1802"/>
      <c r="AB95" s="736"/>
      <c r="AC95" s="736"/>
      <c r="AD95" s="736"/>
      <c r="AE95" s="736"/>
      <c r="AF95" s="1811">
        <v>11</v>
      </c>
    </row>
    <row s="12668" customFormat="1" customHeight="1" ht="11.549999999999999">
      <c r="A96" s="1157"/>
      <c r="B96" s="1806"/>
      <c r="C96" s="1806"/>
      <c r="D96" s="521"/>
      <c r="K96" s="1330"/>
      <c r="L96" s="1806"/>
      <c r="M96" s="1806"/>
      <c r="N96" s="1330"/>
      <c r="O96" s="1330"/>
      <c r="P96" s="1330"/>
      <c r="Q96" s="1330"/>
      <c r="R96" s="1806"/>
      <c r="S96" s="1330"/>
      <c r="T96" s="1330"/>
      <c r="U96" s="714"/>
      <c r="V96" s="1330"/>
      <c r="W96" s="1330"/>
      <c r="X96" s="1330"/>
      <c r="Y96" s="1330"/>
      <c r="Z96" s="1330"/>
      <c r="AA96" s="1802"/>
      <c r="AB96" s="736"/>
      <c r="AC96" s="736"/>
      <c r="AD96" s="736"/>
      <c r="AE96" s="736"/>
      <c r="AF96" s="1811">
        <v>11</v>
      </c>
    </row>
    <row s="12668" customFormat="1" customHeight="1" ht="11.549999999999999">
      <c r="A97" s="1157"/>
      <c r="B97" s="1806"/>
      <c r="C97" s="1806"/>
      <c r="D97" s="521"/>
      <c r="K97" s="1330"/>
      <c r="L97" s="1806"/>
      <c r="M97" s="1806"/>
      <c r="N97" s="1330"/>
      <c r="O97" s="1330"/>
      <c r="P97" s="1330"/>
      <c r="Q97" s="1330"/>
      <c r="R97" s="1806"/>
      <c r="S97" s="1330"/>
      <c r="T97" s="1330"/>
      <c r="U97" s="714"/>
      <c r="V97" s="1330"/>
      <c r="W97" s="1330"/>
      <c r="X97" s="1330"/>
      <c r="Y97" s="1330"/>
      <c r="Z97" s="1330"/>
      <c r="AA97" s="1802"/>
      <c r="AB97" s="736"/>
      <c r="AC97" s="736"/>
      <c r="AD97" s="736"/>
      <c r="AE97" s="736"/>
      <c r="AF97" s="1811">
        <v>11</v>
      </c>
    </row>
    <row s="12668" customFormat="1" customHeight="1" ht="11.549999999999999">
      <c r="A98" s="1157"/>
      <c r="B98" s="1806"/>
      <c r="C98" s="1806"/>
      <c r="D98" s="521"/>
      <c r="K98" s="1330"/>
      <c r="L98" s="1806"/>
      <c r="M98" s="1806"/>
      <c r="N98" s="1330"/>
      <c r="O98" s="1330"/>
      <c r="P98" s="1330"/>
      <c r="Q98" s="1330"/>
      <c r="R98" s="1806"/>
      <c r="S98" s="1330"/>
      <c r="T98" s="1330"/>
      <c r="U98" s="714"/>
      <c r="V98" s="1330"/>
      <c r="W98" s="1330"/>
      <c r="X98" s="1330"/>
      <c r="Y98" s="1330"/>
      <c r="Z98" s="1330"/>
      <c r="AA98" s="1802"/>
      <c r="AB98" s="736"/>
      <c r="AC98" s="736"/>
      <c r="AD98" s="736"/>
      <c r="AE98" s="736"/>
      <c r="AF98" s="1811">
        <v>11</v>
      </c>
    </row>
    <row s="12668" customFormat="1" customHeight="1" ht="11.549999999999999">
      <c r="A99" s="1157"/>
      <c r="B99" s="1806"/>
      <c r="C99" s="1806"/>
      <c r="D99" s="521"/>
      <c r="K99" s="1330"/>
      <c r="L99" s="1806"/>
      <c r="M99" s="1806"/>
      <c r="N99" s="1330"/>
      <c r="O99" s="1330"/>
      <c r="P99" s="1330"/>
      <c r="Q99" s="1330"/>
      <c r="R99" s="1806"/>
      <c r="S99" s="1330"/>
      <c r="T99" s="1330"/>
      <c r="U99" s="714"/>
      <c r="V99" s="1330"/>
      <c r="W99" s="1330"/>
      <c r="X99" s="1330"/>
      <c r="Y99" s="1330"/>
      <c r="Z99" s="1330"/>
      <c r="AA99" s="1802"/>
      <c r="AB99" s="736"/>
      <c r="AC99" s="736"/>
      <c r="AD99" s="736"/>
      <c r="AE99" s="736"/>
      <c r="AF99" s="1811">
        <v>11</v>
      </c>
    </row>
    <row s="12668" customFormat="1" customHeight="1" ht="11.549999999999999">
      <c r="A100" s="1157"/>
      <c r="B100" s="1806"/>
      <c r="C100" s="1806"/>
      <c r="D100" s="521"/>
      <c r="K100" s="1330"/>
      <c r="L100" s="1806"/>
      <c r="M100" s="1806"/>
      <c r="N100" s="1330"/>
      <c r="O100" s="1330"/>
      <c r="P100" s="1330"/>
      <c r="Q100" s="1330"/>
      <c r="R100" s="1806"/>
      <c r="S100" s="1330"/>
      <c r="T100" s="1330"/>
      <c r="U100" s="714"/>
      <c r="V100" s="1330"/>
      <c r="W100" s="1330"/>
      <c r="X100" s="1330"/>
      <c r="Y100" s="1330"/>
      <c r="Z100" s="1330"/>
      <c r="AA100" s="1802"/>
      <c r="AB100" s="736"/>
      <c r="AC100" s="736"/>
      <c r="AD100" s="736"/>
      <c r="AE100" s="736"/>
      <c r="AF100" s="1811">
        <v>11</v>
      </c>
    </row>
    <row s="12668" customFormat="1" customHeight="1" ht="11.549999999999999">
      <c r="A101" s="1157"/>
      <c r="B101" s="1806"/>
      <c r="C101" s="1806"/>
      <c r="D101" s="521"/>
      <c r="K101" s="1330"/>
      <c r="L101" s="1806"/>
      <c r="M101" s="1806"/>
      <c r="N101" s="1330"/>
      <c r="O101" s="1330"/>
      <c r="P101" s="1330"/>
      <c r="Q101" s="1330"/>
      <c r="R101" s="1806"/>
      <c r="S101" s="1330"/>
      <c r="T101" s="1330"/>
      <c r="U101" s="714"/>
      <c r="V101" s="1330"/>
      <c r="W101" s="1330"/>
      <c r="X101" s="1330"/>
      <c r="Y101" s="1330"/>
      <c r="Z101" s="1330"/>
      <c r="AA101" s="1802"/>
      <c r="AB101" s="736"/>
      <c r="AC101" s="736"/>
      <c r="AD101" s="736"/>
      <c r="AE101" s="736"/>
      <c r="AF101" s="1811">
        <v>11</v>
      </c>
    </row>
    <row s="12668" customFormat="1" customHeight="1" ht="11.549999999999999">
      <c r="A102" s="1157"/>
      <c r="B102" s="1806"/>
      <c r="C102" s="1806"/>
      <c r="D102" s="521"/>
      <c r="K102" s="1330"/>
      <c r="L102" s="1806"/>
      <c r="M102" s="1806"/>
      <c r="N102" s="1330"/>
      <c r="O102" s="1330"/>
      <c r="P102" s="1330"/>
      <c r="Q102" s="1330"/>
      <c r="R102" s="1806"/>
      <c r="S102" s="1330"/>
      <c r="T102" s="1330"/>
      <c r="U102" s="714"/>
      <c r="V102" s="1330"/>
      <c r="W102" s="1330"/>
      <c r="X102" s="1330"/>
      <c r="Y102" s="1330"/>
      <c r="Z102" s="1330"/>
      <c r="AA102" s="1802"/>
      <c r="AB102" s="736"/>
      <c r="AC102" s="736"/>
      <c r="AD102" s="736"/>
      <c r="AE102" s="736"/>
      <c r="AF102" s="1811">
        <v>11</v>
      </c>
    </row>
    <row s="12668" customFormat="1" customHeight="1" ht="11.549999999999999">
      <c r="A103" s="1157"/>
      <c r="B103" s="1806"/>
      <c r="C103" s="1806"/>
      <c r="D103" s="521"/>
      <c r="K103" s="1330"/>
      <c r="L103" s="1806"/>
      <c r="M103" s="1806"/>
      <c r="N103" s="1330"/>
      <c r="O103" s="1330"/>
      <c r="P103" s="1330"/>
      <c r="Q103" s="1330"/>
      <c r="R103" s="1806"/>
      <c r="S103" s="1330"/>
      <c r="T103" s="1330"/>
      <c r="U103" s="714"/>
      <c r="V103" s="1330"/>
      <c r="W103" s="1330"/>
      <c r="X103" s="1330"/>
      <c r="Y103" s="1330"/>
      <c r="Z103" s="1330"/>
      <c r="AA103" s="1802"/>
      <c r="AB103" s="736"/>
      <c r="AC103" s="736"/>
      <c r="AD103" s="736"/>
      <c r="AE103" s="736"/>
      <c r="AF103" s="1811">
        <v>11</v>
      </c>
    </row>
    <row s="12668" customFormat="1" customHeight="1" ht="11.549999999999999">
      <c r="A104" s="1157"/>
      <c r="B104" s="1806"/>
      <c r="C104" s="1806"/>
      <c r="D104" s="521"/>
      <c r="K104" s="1330"/>
      <c r="L104" s="1806"/>
      <c r="M104" s="1806"/>
      <c r="N104" s="1330"/>
      <c r="O104" s="1330"/>
      <c r="P104" s="1330"/>
      <c r="Q104" s="1330"/>
      <c r="R104" s="1806"/>
      <c r="S104" s="1330"/>
      <c r="T104" s="1330"/>
      <c r="U104" s="714"/>
      <c r="V104" s="1330"/>
      <c r="W104" s="1330"/>
      <c r="X104" s="1330"/>
      <c r="Y104" s="1330"/>
      <c r="Z104" s="1330"/>
      <c r="AA104" s="1802"/>
      <c r="AB104" s="736"/>
      <c r="AC104" s="736"/>
      <c r="AD104" s="736"/>
      <c r="AE104" s="736"/>
      <c r="AF104" s="1811">
        <v>11</v>
      </c>
    </row>
    <row s="12668" customFormat="1" customHeight="1" ht="11.549999999999999">
      <c r="A105" s="1157"/>
      <c r="B105" s="1806"/>
      <c r="C105" s="1806"/>
      <c r="D105" s="521"/>
      <c r="K105" s="1330"/>
      <c r="L105" s="1806"/>
      <c r="M105" s="1806"/>
      <c r="N105" s="1330"/>
      <c r="O105" s="1330"/>
      <c r="P105" s="1330"/>
      <c r="Q105" s="1330"/>
      <c r="R105" s="1806"/>
      <c r="S105" s="1330"/>
      <c r="T105" s="1330"/>
      <c r="U105" s="714"/>
      <c r="V105" s="1330"/>
      <c r="W105" s="1330"/>
      <c r="X105" s="1330"/>
      <c r="Y105" s="1330"/>
      <c r="Z105" s="1330"/>
      <c r="AA105" s="1802"/>
      <c r="AB105" s="736"/>
      <c r="AC105" s="736"/>
      <c r="AD105" s="736"/>
      <c r="AE105" s="736"/>
      <c r="AF105" s="1811">
        <v>11</v>
      </c>
    </row>
    <row s="12668" customFormat="1" customHeight="1" ht="11.549999999999999">
      <c r="A106" s="1157"/>
      <c r="B106" s="1806"/>
      <c r="C106" s="1806"/>
      <c r="D106" s="521"/>
      <c r="K106" s="1330"/>
      <c r="L106" s="1806"/>
      <c r="M106" s="1806"/>
      <c r="N106" s="1330"/>
      <c r="O106" s="1330"/>
      <c r="P106" s="1330"/>
      <c r="Q106" s="1330"/>
      <c r="R106" s="1806"/>
      <c r="S106" s="1330"/>
      <c r="T106" s="1330"/>
      <c r="U106" s="714"/>
      <c r="V106" s="1330"/>
      <c r="W106" s="1330"/>
      <c r="X106" s="1330"/>
      <c r="Y106" s="1330"/>
      <c r="Z106" s="1330"/>
      <c r="AA106" s="1802"/>
      <c r="AB106" s="736"/>
      <c r="AC106" s="736"/>
      <c r="AD106" s="736"/>
      <c r="AE106" s="736"/>
      <c r="AF106" s="1811">
        <v>11</v>
      </c>
    </row>
    <row s="12668" customFormat="1" customHeight="1" ht="11.549999999999999">
      <c r="A107" s="1157"/>
      <c r="B107" s="1806"/>
      <c r="C107" s="1806"/>
      <c r="D107" s="521"/>
      <c r="K107" s="1330"/>
      <c r="L107" s="1806"/>
      <c r="M107" s="1806"/>
      <c r="N107" s="1330"/>
      <c r="O107" s="1330"/>
      <c r="P107" s="1330"/>
      <c r="Q107" s="1330"/>
      <c r="R107" s="1806"/>
      <c r="S107" s="1330"/>
      <c r="T107" s="1330"/>
      <c r="U107" s="714"/>
      <c r="V107" s="1330"/>
      <c r="W107" s="1330"/>
      <c r="X107" s="1330"/>
      <c r="Y107" s="1330"/>
      <c r="Z107" s="1330"/>
      <c r="AA107" s="1802"/>
      <c r="AB107" s="736"/>
      <c r="AC107" s="736"/>
      <c r="AD107" s="736"/>
      <c r="AE107" s="736"/>
      <c r="AF107" s="1811">
        <v>11</v>
      </c>
    </row>
    <row s="12668" customFormat="1" customHeight="1" ht="11.549999999999999">
      <c r="A108" s="1157"/>
      <c r="B108" s="1806"/>
      <c r="C108" s="1806"/>
      <c r="D108" s="521"/>
      <c r="K108" s="1330"/>
      <c r="L108" s="1806"/>
      <c r="M108" s="1806"/>
      <c r="N108" s="1330"/>
      <c r="O108" s="1330"/>
      <c r="P108" s="1330"/>
      <c r="Q108" s="1330"/>
      <c r="R108" s="1806"/>
      <c r="S108" s="1330"/>
      <c r="T108" s="1330"/>
      <c r="U108" s="714"/>
      <c r="V108" s="1330"/>
      <c r="W108" s="1330"/>
      <c r="X108" s="1330"/>
      <c r="Y108" s="1330"/>
      <c r="Z108" s="1330"/>
      <c r="AA108" s="1802"/>
      <c r="AB108" s="736"/>
      <c r="AC108" s="736"/>
      <c r="AD108" s="736"/>
      <c r="AE108" s="736"/>
      <c r="AF108" s="1811">
        <v>11</v>
      </c>
    </row>
    <row s="12668" customFormat="1" customHeight="1" ht="11.549999999999999">
      <c r="A109" s="1157"/>
      <c r="B109" s="1806"/>
      <c r="C109" s="1806"/>
      <c r="D109" s="521"/>
      <c r="K109" s="1330"/>
      <c r="L109" s="1806"/>
      <c r="M109" s="1806"/>
      <c r="N109" s="1330"/>
      <c r="O109" s="1330"/>
      <c r="P109" s="1330"/>
      <c r="Q109" s="1330"/>
      <c r="R109" s="1806"/>
      <c r="S109" s="1330"/>
      <c r="T109" s="1330"/>
      <c r="U109" s="714"/>
      <c r="V109" s="1330"/>
      <c r="W109" s="1330"/>
      <c r="X109" s="1330"/>
      <c r="Y109" s="1330"/>
      <c r="Z109" s="1330"/>
      <c r="AA109" s="1802"/>
      <c r="AB109" s="736"/>
      <c r="AC109" s="736"/>
      <c r="AD109" s="736"/>
      <c r="AE109" s="736"/>
      <c r="AF109" s="1811">
        <v>11</v>
      </c>
    </row>
    <row s="12668" customFormat="1" customHeight="1" ht="11.549999999999999">
      <c r="A110" s="1157"/>
      <c r="B110" s="1806"/>
      <c r="C110" s="1806"/>
      <c r="D110" s="521"/>
      <c r="K110" s="1330"/>
      <c r="L110" s="1806"/>
      <c r="M110" s="1806"/>
      <c r="N110" s="1330"/>
      <c r="O110" s="1330"/>
      <c r="P110" s="1330"/>
      <c r="Q110" s="1330"/>
      <c r="R110" s="1806"/>
      <c r="S110" s="1330"/>
      <c r="T110" s="1330"/>
      <c r="U110" s="714"/>
      <c r="V110" s="1330"/>
      <c r="W110" s="1330"/>
      <c r="X110" s="1330"/>
      <c r="Y110" s="1330"/>
      <c r="Z110" s="1330"/>
      <c r="AA110" s="1802"/>
      <c r="AB110" s="736"/>
      <c r="AC110" s="736"/>
      <c r="AD110" s="736"/>
      <c r="AE110" s="736"/>
      <c r="AF110" s="1811">
        <v>11</v>
      </c>
    </row>
    <row s="12668" customFormat="1" customHeight="1" ht="11.549999999999999">
      <c r="A111" s="1157"/>
      <c r="B111" s="1806"/>
      <c r="C111" s="1806"/>
      <c r="D111" s="521"/>
      <c r="K111" s="1330"/>
      <c r="L111" s="1806"/>
      <c r="M111" s="1806"/>
      <c r="N111" s="1330"/>
      <c r="O111" s="1330"/>
      <c r="P111" s="1330"/>
      <c r="Q111" s="1330"/>
      <c r="R111" s="1806"/>
      <c r="S111" s="1330"/>
      <c r="T111" s="1330"/>
      <c r="U111" s="714"/>
      <c r="V111" s="1330"/>
      <c r="W111" s="1330"/>
      <c r="X111" s="1330"/>
      <c r="Y111" s="1330"/>
      <c r="Z111" s="1330"/>
      <c r="AA111" s="1802"/>
      <c r="AB111" s="736"/>
      <c r="AC111" s="736"/>
      <c r="AD111" s="736"/>
      <c r="AE111" s="736"/>
      <c r="AF111" s="1811">
        <v>11</v>
      </c>
    </row>
    <row s="12668" customFormat="1" customHeight="1" ht="11.549999999999999">
      <c r="A112" s="1157"/>
      <c r="B112" s="1806"/>
      <c r="C112" s="1806"/>
      <c r="D112" s="521"/>
      <c r="K112" s="1330"/>
      <c r="L112" s="1806"/>
      <c r="M112" s="1806"/>
      <c r="N112" s="1330"/>
      <c r="O112" s="1330"/>
      <c r="P112" s="1330"/>
      <c r="Q112" s="1330"/>
      <c r="R112" s="1806"/>
      <c r="S112" s="1330"/>
      <c r="T112" s="1330"/>
      <c r="U112" s="714"/>
      <c r="V112" s="1330"/>
      <c r="W112" s="1330"/>
      <c r="X112" s="1330"/>
      <c r="Y112" s="1330"/>
      <c r="Z112" s="1330"/>
      <c r="AA112" s="1802"/>
      <c r="AB112" s="736"/>
      <c r="AC112" s="736"/>
      <c r="AD112" s="736"/>
      <c r="AE112" s="736"/>
      <c r="AF112" s="1811">
        <v>11</v>
      </c>
    </row>
    <row s="12668" customFormat="1" customHeight="1" ht="11.549999999999999">
      <c r="A113" s="1157"/>
      <c r="B113" s="1806"/>
      <c r="C113" s="1806"/>
      <c r="D113" s="521"/>
      <c r="K113" s="1330"/>
      <c r="L113" s="1806"/>
      <c r="M113" s="1806"/>
      <c r="N113" s="1330"/>
      <c r="O113" s="1330"/>
      <c r="P113" s="1330"/>
      <c r="Q113" s="1330"/>
      <c r="R113" s="1806"/>
      <c r="S113" s="1330"/>
      <c r="T113" s="1330"/>
      <c r="U113" s="714"/>
      <c r="V113" s="1330"/>
      <c r="W113" s="1330"/>
      <c r="X113" s="1330"/>
      <c r="Y113" s="1330"/>
      <c r="Z113" s="1330"/>
      <c r="AA113" s="1802"/>
      <c r="AB113" s="736"/>
      <c r="AC113" s="736"/>
      <c r="AD113" s="736"/>
      <c r="AE113" s="736"/>
      <c r="AF113" s="1811">
        <v>11</v>
      </c>
    </row>
    <row s="12668" customFormat="1" customHeight="1" ht="11.549999999999999">
      <c r="A114" s="1157"/>
      <c r="B114" s="1806"/>
      <c r="C114" s="1806"/>
      <c r="D114" s="521"/>
      <c r="K114" s="1330"/>
      <c r="L114" s="1806"/>
      <c r="M114" s="1806"/>
      <c r="N114" s="1330"/>
      <c r="O114" s="1330"/>
      <c r="P114" s="1330"/>
      <c r="Q114" s="1330"/>
      <c r="R114" s="1806"/>
      <c r="S114" s="1330"/>
      <c r="T114" s="1330"/>
      <c r="U114" s="714"/>
      <c r="V114" s="1330"/>
      <c r="W114" s="1330"/>
      <c r="X114" s="1330"/>
      <c r="Y114" s="1330"/>
      <c r="Z114" s="1330"/>
      <c r="AA114" s="1802"/>
      <c r="AB114" s="736"/>
      <c r="AC114" s="736"/>
      <c r="AD114" s="736"/>
      <c r="AE114" s="736"/>
      <c r="AF114" s="1811">
        <v>11</v>
      </c>
    </row>
    <row s="12668" customFormat="1" customHeight="1" ht="11.549999999999999">
      <c r="A115" s="1157"/>
      <c r="B115" s="1806"/>
      <c r="C115" s="1806"/>
      <c r="D115" s="521"/>
      <c r="K115" s="1330"/>
      <c r="L115" s="1806"/>
      <c r="M115" s="1806"/>
      <c r="N115" s="1330"/>
      <c r="O115" s="1330"/>
      <c r="P115" s="1330"/>
      <c r="Q115" s="1330"/>
      <c r="R115" s="1806"/>
      <c r="S115" s="1330"/>
      <c r="T115" s="1330"/>
      <c r="U115" s="714"/>
      <c r="V115" s="1330"/>
      <c r="W115" s="1330"/>
      <c r="X115" s="1330"/>
      <c r="Y115" s="1330"/>
      <c r="Z115" s="1330"/>
      <c r="AA115" s="1802"/>
      <c r="AB115" s="736"/>
      <c r="AC115" s="736"/>
      <c r="AD115" s="736"/>
      <c r="AE115" s="736"/>
      <c r="AF115" s="1811">
        <v>11</v>
      </c>
    </row>
    <row s="12668" customFormat="1" customHeight="1" ht="11.549999999999999">
      <c r="A116" s="1157"/>
      <c r="B116" s="1806"/>
      <c r="C116" s="1806"/>
      <c r="D116" s="521"/>
      <c r="K116" s="1330"/>
      <c r="L116" s="1806"/>
      <c r="M116" s="1806"/>
      <c r="N116" s="1330"/>
      <c r="O116" s="1330"/>
      <c r="P116" s="1330"/>
      <c r="Q116" s="1330"/>
      <c r="R116" s="1806"/>
      <c r="S116" s="1330"/>
      <c r="T116" s="1330"/>
      <c r="U116" s="714"/>
      <c r="V116" s="1330"/>
      <c r="W116" s="1330"/>
      <c r="X116" s="1330"/>
      <c r="Y116" s="1330"/>
      <c r="Z116" s="1330"/>
      <c r="AA116" s="1802"/>
      <c r="AB116" s="736"/>
      <c r="AC116" s="736"/>
      <c r="AD116" s="736"/>
      <c r="AE116" s="736"/>
      <c r="AF116" s="1811">
        <v>11</v>
      </c>
    </row>
    <row s="12668" customFormat="1" customHeight="1" ht="11.549999999999999">
      <c r="A117" s="1157"/>
      <c r="B117" s="1806"/>
      <c r="C117" s="1806"/>
      <c r="D117" s="521"/>
      <c r="K117" s="1330"/>
      <c r="L117" s="1806"/>
      <c r="M117" s="1806"/>
      <c r="N117" s="1330"/>
      <c r="O117" s="1330"/>
      <c r="P117" s="1330"/>
      <c r="Q117" s="1330"/>
      <c r="R117" s="1806"/>
      <c r="S117" s="1330"/>
      <c r="T117" s="1330"/>
      <c r="U117" s="714"/>
      <c r="V117" s="1330"/>
      <c r="W117" s="1330"/>
      <c r="X117" s="1330"/>
      <c r="Y117" s="1330"/>
      <c r="Z117" s="1330"/>
      <c r="AA117" s="1802"/>
      <c r="AB117" s="736"/>
      <c r="AC117" s="736"/>
      <c r="AD117" s="736"/>
      <c r="AE117" s="736"/>
      <c r="AF117" s="1811">
        <v>11</v>
      </c>
    </row>
    <row s="12668" customFormat="1" customHeight="1" ht="11.549999999999999">
      <c r="A118" s="1157"/>
      <c r="B118" s="1806"/>
      <c r="C118" s="1806"/>
      <c r="D118" s="521"/>
      <c r="K118" s="1330"/>
      <c r="L118" s="1806"/>
      <c r="M118" s="1806"/>
      <c r="N118" s="1330"/>
      <c r="O118" s="1330"/>
      <c r="P118" s="1330"/>
      <c r="Q118" s="1330"/>
      <c r="R118" s="1806"/>
      <c r="S118" s="1330"/>
      <c r="T118" s="1330"/>
      <c r="U118" s="714"/>
      <c r="V118" s="1330"/>
      <c r="W118" s="1330"/>
      <c r="X118" s="1330"/>
      <c r="Y118" s="1330"/>
      <c r="Z118" s="1330"/>
      <c r="AA118" s="1802"/>
      <c r="AB118" s="736"/>
      <c r="AC118" s="736"/>
      <c r="AD118" s="736"/>
      <c r="AE118" s="736"/>
      <c r="AF118" s="1811">
        <v>11</v>
      </c>
    </row>
    <row s="12668" customFormat="1" customHeight="1" ht="11.549999999999999">
      <c r="A119" s="1157"/>
      <c r="B119" s="1806"/>
      <c r="C119" s="1806"/>
      <c r="D119" s="521"/>
      <c r="K119" s="1330"/>
      <c r="L119" s="1806"/>
      <c r="M119" s="1806"/>
      <c r="N119" s="1330"/>
      <c r="O119" s="1330"/>
      <c r="P119" s="1330"/>
      <c r="Q119" s="1330"/>
      <c r="R119" s="1806"/>
      <c r="S119" s="1330"/>
      <c r="T119" s="1330"/>
      <c r="U119" s="714"/>
      <c r="V119" s="1330"/>
      <c r="W119" s="1330"/>
      <c r="X119" s="1330"/>
      <c r="Y119" s="1330"/>
      <c r="Z119" s="1330"/>
      <c r="AA119" s="1802"/>
      <c r="AB119" s="736"/>
      <c r="AC119" s="736"/>
      <c r="AD119" s="736"/>
      <c r="AE119" s="736"/>
      <c r="AF119" s="1811">
        <v>11</v>
      </c>
    </row>
    <row s="12668" customFormat="1" customHeight="1" ht="11.549999999999999">
      <c r="A120" s="1157"/>
      <c r="B120" s="1806"/>
      <c r="C120" s="1806"/>
      <c r="D120" s="521"/>
      <c r="K120" s="1330"/>
      <c r="L120" s="1806"/>
      <c r="M120" s="1806"/>
      <c r="N120" s="1330"/>
      <c r="O120" s="1330"/>
      <c r="P120" s="1330"/>
      <c r="Q120" s="1330"/>
      <c r="R120" s="1806"/>
      <c r="S120" s="1330"/>
      <c r="T120" s="1330"/>
      <c r="U120" s="714"/>
      <c r="V120" s="1330"/>
      <c r="W120" s="1330"/>
      <c r="X120" s="1330"/>
      <c r="Y120" s="1330"/>
      <c r="Z120" s="1330"/>
      <c r="AA120" s="1802"/>
      <c r="AB120" s="736"/>
      <c r="AC120" s="736"/>
      <c r="AD120" s="736"/>
      <c r="AE120" s="736"/>
      <c r="AF120" s="1811">
        <v>11</v>
      </c>
    </row>
    <row s="12668" customFormat="1" customHeight="1" ht="11.549999999999999">
      <c r="A121" s="1157"/>
      <c r="B121" s="1806"/>
      <c r="C121" s="1806"/>
      <c r="D121" s="521"/>
      <c r="K121" s="1330"/>
      <c r="L121" s="1806"/>
      <c r="M121" s="1806"/>
      <c r="N121" s="1330"/>
      <c r="O121" s="1330"/>
      <c r="P121" s="1330"/>
      <c r="Q121" s="1330"/>
      <c r="R121" s="1806"/>
      <c r="S121" s="1330"/>
      <c r="T121" s="1330"/>
      <c r="U121" s="714"/>
      <c r="V121" s="1330"/>
      <c r="W121" s="1330"/>
      <c r="X121" s="1330"/>
      <c r="Y121" s="1330"/>
      <c r="Z121" s="1330"/>
      <c r="AA121" s="1802"/>
      <c r="AB121" s="736"/>
      <c r="AC121" s="736"/>
      <c r="AD121" s="736"/>
      <c r="AE121" s="736"/>
      <c r="AF121" s="1811">
        <v>11</v>
      </c>
    </row>
    <row s="12668" customFormat="1" customHeight="1" ht="11.549999999999999">
      <c r="A122" s="1157"/>
      <c r="B122" s="1806"/>
      <c r="C122" s="1806"/>
      <c r="D122" s="521"/>
      <c r="K122" s="1330"/>
      <c r="L122" s="1806"/>
      <c r="M122" s="1806"/>
      <c r="N122" s="1330"/>
      <c r="O122" s="1330"/>
      <c r="P122" s="1330"/>
      <c r="Q122" s="1330"/>
      <c r="R122" s="1806"/>
      <c r="S122" s="1330"/>
      <c r="T122" s="1330"/>
      <c r="U122" s="714"/>
      <c r="V122" s="1330"/>
      <c r="W122" s="1330"/>
      <c r="X122" s="1330"/>
      <c r="Y122" s="1330"/>
      <c r="Z122" s="1330"/>
      <c r="AA122" s="1802"/>
      <c r="AB122" s="736"/>
      <c r="AC122" s="736"/>
      <c r="AD122" s="736"/>
      <c r="AE122" s="736"/>
      <c r="AF122" s="1811">
        <v>11</v>
      </c>
    </row>
    <row s="12668" customFormat="1" customHeight="1" ht="11.549999999999999">
      <c r="A123" s="1157"/>
      <c r="B123" s="1806"/>
      <c r="C123" s="1806"/>
      <c r="D123" s="521"/>
      <c r="K123" s="1330"/>
      <c r="L123" s="1806"/>
      <c r="M123" s="1806"/>
      <c r="N123" s="1330"/>
      <c r="O123" s="1330"/>
      <c r="P123" s="1330"/>
      <c r="Q123" s="1330"/>
      <c r="R123" s="1806"/>
      <c r="S123" s="1330"/>
      <c r="T123" s="1330"/>
      <c r="U123" s="714"/>
      <c r="V123" s="1330"/>
      <c r="W123" s="1330"/>
      <c r="X123" s="1330"/>
      <c r="Y123" s="1330"/>
      <c r="Z123" s="1330"/>
      <c r="AA123" s="1802"/>
      <c r="AB123" s="736"/>
      <c r="AC123" s="736"/>
      <c r="AD123" s="736"/>
      <c r="AE123" s="736"/>
      <c r="AF123" s="1811">
        <v>11</v>
      </c>
    </row>
    <row s="12668" customFormat="1" customHeight="1" ht="11.549999999999999">
      <c r="A124" s="1157"/>
      <c r="B124" s="1806"/>
      <c r="C124" s="1806"/>
      <c r="D124" s="521"/>
      <c r="K124" s="1330"/>
      <c r="L124" s="1806"/>
      <c r="M124" s="1806"/>
      <c r="N124" s="1330"/>
      <c r="O124" s="1330"/>
      <c r="P124" s="1330"/>
      <c r="Q124" s="1330"/>
      <c r="R124" s="1806"/>
      <c r="S124" s="1330"/>
      <c r="T124" s="1330"/>
      <c r="U124" s="714"/>
      <c r="V124" s="1330"/>
      <c r="W124" s="1330"/>
      <c r="X124" s="1330"/>
      <c r="Y124" s="1330"/>
      <c r="Z124" s="1330"/>
      <c r="AA124" s="1802"/>
      <c r="AB124" s="736"/>
      <c r="AC124" s="736"/>
      <c r="AD124" s="736"/>
      <c r="AE124" s="736"/>
      <c r="AF124" s="1811">
        <v>11</v>
      </c>
    </row>
    <row s="12668" customFormat="1" customHeight="1" ht="11.549999999999999">
      <c r="A125" s="1157"/>
      <c r="B125" s="1806"/>
      <c r="C125" s="1806"/>
      <c r="D125" s="521"/>
      <c r="K125" s="1330"/>
      <c r="L125" s="1806"/>
      <c r="M125" s="1806"/>
      <c r="N125" s="1330"/>
      <c r="O125" s="1330"/>
      <c r="P125" s="1330"/>
      <c r="Q125" s="1330"/>
      <c r="R125" s="1806"/>
      <c r="S125" s="1330"/>
      <c r="T125" s="1330"/>
      <c r="U125" s="714"/>
      <c r="V125" s="1330"/>
      <c r="W125" s="1330"/>
      <c r="X125" s="1330"/>
      <c r="Y125" s="1330"/>
      <c r="Z125" s="1330"/>
      <c r="AA125" s="1802"/>
      <c r="AB125" s="736"/>
      <c r="AC125" s="736"/>
      <c r="AD125" s="736"/>
      <c r="AE125" s="736"/>
      <c r="AF125" s="1811">
        <v>11</v>
      </c>
    </row>
    <row s="12668" customFormat="1" customHeight="1" ht="11.549999999999999">
      <c r="A126" s="1157"/>
      <c r="B126" s="1806"/>
      <c r="C126" s="1806"/>
      <c r="D126" s="521"/>
      <c r="K126" s="1330"/>
      <c r="L126" s="1806"/>
      <c r="M126" s="1806"/>
      <c r="N126" s="1330"/>
      <c r="O126" s="1330"/>
      <c r="P126" s="1330"/>
      <c r="Q126" s="1330"/>
      <c r="R126" s="1806"/>
      <c r="S126" s="1330"/>
      <c r="T126" s="1330"/>
      <c r="U126" s="714"/>
      <c r="V126" s="1330"/>
      <c r="W126" s="1330"/>
      <c r="X126" s="1330"/>
      <c r="Y126" s="1330"/>
      <c r="Z126" s="1330"/>
      <c r="AA126" s="1802"/>
      <c r="AB126" s="736"/>
      <c r="AC126" s="736"/>
      <c r="AD126" s="736"/>
      <c r="AE126" s="736"/>
      <c r="AF126" s="1811">
        <v>11</v>
      </c>
    </row>
    <row s="12668" customFormat="1" customHeight="1" ht="11.549999999999999">
      <c r="A127" s="1157"/>
      <c r="B127" s="1806"/>
      <c r="C127" s="1806"/>
      <c r="D127" s="521"/>
      <c r="K127" s="1330"/>
      <c r="L127" s="1806"/>
      <c r="M127" s="1806"/>
      <c r="N127" s="1330"/>
      <c r="O127" s="1330"/>
      <c r="P127" s="1330"/>
      <c r="Q127" s="1330"/>
      <c r="R127" s="1806"/>
      <c r="S127" s="1330"/>
      <c r="T127" s="1330"/>
      <c r="U127" s="714"/>
      <c r="V127" s="1330"/>
      <c r="W127" s="1330"/>
      <c r="X127" s="1330"/>
      <c r="Y127" s="1330"/>
      <c r="Z127" s="1330"/>
      <c r="AA127" s="1802"/>
      <c r="AB127" s="736"/>
      <c r="AC127" s="736"/>
      <c r="AD127" s="736"/>
      <c r="AE127" s="736"/>
      <c r="AF127" s="1811">
        <v>11</v>
      </c>
    </row>
    <row s="12668" customFormat="1" customHeight="1" ht="11.549999999999999">
      <c r="A128" s="1157"/>
      <c r="B128" s="1806"/>
      <c r="C128" s="1806"/>
      <c r="D128" s="521"/>
      <c r="K128" s="1330"/>
      <c r="L128" s="1806"/>
      <c r="M128" s="1806"/>
      <c r="N128" s="1330"/>
      <c r="O128" s="1330"/>
      <c r="P128" s="1330"/>
      <c r="Q128" s="1330"/>
      <c r="R128" s="1806"/>
      <c r="S128" s="1330"/>
      <c r="T128" s="1330"/>
      <c r="U128" s="714"/>
      <c r="V128" s="1330"/>
      <c r="W128" s="1330"/>
      <c r="X128" s="1330"/>
      <c r="Y128" s="1330"/>
      <c r="Z128" s="1330"/>
      <c r="AA128" s="1802"/>
      <c r="AB128" s="736"/>
      <c r="AC128" s="736"/>
      <c r="AD128" s="736"/>
      <c r="AE128" s="736"/>
      <c r="AF128" s="1811">
        <v>11</v>
      </c>
    </row>
    <row s="12668" customFormat="1" customHeight="1" ht="11.549999999999999">
      <c r="A129" s="1157"/>
      <c r="B129" s="1806"/>
      <c r="C129" s="1806"/>
      <c r="D129" s="521"/>
      <c r="K129" s="1330"/>
      <c r="L129" s="1806"/>
      <c r="M129" s="1806"/>
      <c r="N129" s="1330"/>
      <c r="O129" s="1330"/>
      <c r="P129" s="1330"/>
      <c r="Q129" s="1330"/>
      <c r="R129" s="1806"/>
      <c r="S129" s="1330"/>
      <c r="T129" s="1330"/>
      <c r="U129" s="714"/>
      <c r="V129" s="1330"/>
      <c r="W129" s="1330"/>
      <c r="X129" s="1330"/>
      <c r="Y129" s="1330"/>
      <c r="Z129" s="1330"/>
      <c r="AA129" s="1802"/>
      <c r="AB129" s="736"/>
      <c r="AC129" s="736"/>
      <c r="AD129" s="736"/>
      <c r="AE129" s="736"/>
      <c r="AF129" s="1811">
        <v>11</v>
      </c>
    </row>
    <row s="12668" customFormat="1" customHeight="1" ht="11.549999999999999">
      <c r="A130" s="1157"/>
      <c r="B130" s="1806"/>
      <c r="C130" s="1806"/>
      <c r="D130" s="521"/>
      <c r="K130" s="1330"/>
      <c r="L130" s="1806"/>
      <c r="M130" s="1806"/>
      <c r="N130" s="1330"/>
      <c r="O130" s="1330"/>
      <c r="P130" s="1330"/>
      <c r="Q130" s="1330"/>
      <c r="R130" s="1806"/>
      <c r="S130" s="1330"/>
      <c r="T130" s="1330"/>
      <c r="U130" s="714"/>
      <c r="V130" s="1330"/>
      <c r="W130" s="1330"/>
      <c r="X130" s="1330"/>
      <c r="Y130" s="1330"/>
      <c r="Z130" s="1330"/>
      <c r="AA130" s="1802"/>
      <c r="AB130" s="736"/>
      <c r="AC130" s="736"/>
      <c r="AD130" s="736"/>
      <c r="AE130" s="736"/>
      <c r="AF130" s="1811">
        <v>11</v>
      </c>
    </row>
    <row s="12668" customFormat="1" customHeight="1" ht="11.549999999999999">
      <c r="A131" s="1157"/>
      <c r="B131" s="1806"/>
      <c r="C131" s="1806"/>
      <c r="D131" s="521"/>
      <c r="K131" s="1330"/>
      <c r="L131" s="1806"/>
      <c r="M131" s="1806"/>
      <c r="N131" s="1330"/>
      <c r="O131" s="1330"/>
      <c r="P131" s="1330"/>
      <c r="Q131" s="1330"/>
      <c r="R131" s="1806"/>
      <c r="S131" s="1330"/>
      <c r="T131" s="1330"/>
      <c r="U131" s="714"/>
      <c r="V131" s="1330"/>
      <c r="W131" s="1330"/>
      <c r="X131" s="1330"/>
      <c r="Y131" s="1330"/>
      <c r="Z131" s="1330"/>
      <c r="AA131" s="1802"/>
      <c r="AB131" s="736"/>
      <c r="AC131" s="736"/>
      <c r="AD131" s="736"/>
      <c r="AE131" s="736"/>
      <c r="AF131" s="1811">
        <v>11</v>
      </c>
    </row>
    <row s="12668" customFormat="1" customHeight="1" ht="11.549999999999999">
      <c r="A132" s="1157"/>
      <c r="B132" s="1806"/>
      <c r="C132" s="1806"/>
      <c r="D132" s="521"/>
      <c r="K132" s="1330"/>
      <c r="L132" s="1806"/>
      <c r="M132" s="1806"/>
      <c r="N132" s="1330"/>
      <c r="O132" s="1330"/>
      <c r="P132" s="1330"/>
      <c r="Q132" s="1330"/>
      <c r="R132" s="1806"/>
      <c r="S132" s="1330"/>
      <c r="T132" s="1330"/>
      <c r="U132" s="714"/>
      <c r="V132" s="1330"/>
      <c r="W132" s="1330"/>
      <c r="X132" s="1330"/>
      <c r="Y132" s="1330"/>
      <c r="Z132" s="1330"/>
      <c r="AA132" s="1802"/>
      <c r="AB132" s="736"/>
      <c r="AC132" s="736"/>
      <c r="AD132" s="736"/>
      <c r="AE132" s="736"/>
      <c r="AF132" s="1811">
        <v>11</v>
      </c>
    </row>
    <row s="12668" customFormat="1" customHeight="1" ht="11.549999999999999">
      <c r="A133" s="1157"/>
      <c r="B133" s="1806"/>
      <c r="C133" s="1806"/>
      <c r="D133" s="521"/>
      <c r="K133" s="1330"/>
      <c r="L133" s="1806"/>
      <c r="M133" s="1806"/>
      <c r="N133" s="1330"/>
      <c r="O133" s="1330"/>
      <c r="P133" s="1330"/>
      <c r="Q133" s="1330"/>
      <c r="R133" s="1806"/>
      <c r="S133" s="1330"/>
      <c r="T133" s="1330"/>
      <c r="U133" s="714"/>
      <c r="V133" s="1330"/>
      <c r="W133" s="1330"/>
      <c r="X133" s="1330"/>
      <c r="Y133" s="1330"/>
      <c r="Z133" s="1330"/>
      <c r="AA133" s="1802"/>
      <c r="AB133" s="736"/>
      <c r="AC133" s="736"/>
      <c r="AD133" s="736"/>
      <c r="AE133" s="736"/>
      <c r="AF133" s="1811">
        <v>11</v>
      </c>
    </row>
    <row s="12668" customFormat="1" customHeight="1" ht="11.549999999999999">
      <c r="A134" s="1157"/>
      <c r="B134" s="1806"/>
      <c r="C134" s="1806"/>
      <c r="D134" s="521"/>
      <c r="K134" s="1330"/>
      <c r="L134" s="1806"/>
      <c r="M134" s="1806"/>
      <c r="N134" s="1330"/>
      <c r="O134" s="1330"/>
      <c r="P134" s="1330"/>
      <c r="Q134" s="1330"/>
      <c r="R134" s="1806"/>
      <c r="S134" s="1330"/>
      <c r="T134" s="1330"/>
      <c r="U134" s="714"/>
      <c r="V134" s="1330"/>
      <c r="W134" s="1330"/>
      <c r="X134" s="1330"/>
      <c r="Y134" s="1330"/>
      <c r="Z134" s="1330"/>
      <c r="AA134" s="1802"/>
      <c r="AB134" s="736"/>
      <c r="AC134" s="736"/>
      <c r="AD134" s="736"/>
      <c r="AE134" s="736"/>
      <c r="AF134" s="1811">
        <v>11</v>
      </c>
    </row>
    <row s="12668" customFormat="1" customHeight="1" ht="11.549999999999999">
      <c r="A135" s="1157"/>
      <c r="B135" s="1806"/>
      <c r="C135" s="1806"/>
      <c r="D135" s="521"/>
      <c r="K135" s="1330"/>
      <c r="L135" s="1806"/>
      <c r="M135" s="1806"/>
      <c r="N135" s="1330"/>
      <c r="O135" s="1330"/>
      <c r="P135" s="1330"/>
      <c r="Q135" s="1330"/>
      <c r="R135" s="1806"/>
      <c r="S135" s="1330"/>
      <c r="T135" s="1330"/>
      <c r="U135" s="714"/>
      <c r="V135" s="1330"/>
      <c r="W135" s="1330"/>
      <c r="X135" s="1330"/>
      <c r="Y135" s="1330"/>
      <c r="Z135" s="1330"/>
      <c r="AA135" s="1802"/>
      <c r="AB135" s="736"/>
      <c r="AC135" s="736"/>
      <c r="AD135" s="736"/>
      <c r="AE135" s="736"/>
      <c r="AF135" s="1811">
        <v>11</v>
      </c>
    </row>
    <row s="12668" customFormat="1" customHeight="1" ht="11.549999999999999">
      <c r="A136" s="1157"/>
      <c r="B136" s="1806"/>
      <c r="C136" s="1806"/>
      <c r="D136" s="521"/>
      <c r="K136" s="1330"/>
      <c r="L136" s="1806"/>
      <c r="M136" s="1806"/>
      <c r="N136" s="1330"/>
      <c r="O136" s="1330"/>
      <c r="P136" s="1330"/>
      <c r="Q136" s="1330"/>
      <c r="R136" s="1806"/>
      <c r="S136" s="1330"/>
      <c r="T136" s="1330"/>
      <c r="U136" s="714"/>
      <c r="V136" s="1330"/>
      <c r="W136" s="1330"/>
      <c r="X136" s="1330"/>
      <c r="Y136" s="1330"/>
      <c r="Z136" s="1330"/>
      <c r="AA136" s="1802"/>
      <c r="AB136" s="736"/>
      <c r="AC136" s="736"/>
      <c r="AD136" s="736"/>
      <c r="AE136" s="736"/>
      <c r="AF136" s="1811">
        <v>11</v>
      </c>
    </row>
    <row s="12668" customFormat="1" customHeight="1" ht="11.549999999999999">
      <c r="A137" s="1157"/>
      <c r="B137" s="1806"/>
      <c r="C137" s="1806"/>
      <c r="D137" s="521"/>
      <c r="K137" s="1330"/>
      <c r="L137" s="1806"/>
      <c r="M137" s="1806"/>
      <c r="N137" s="1330"/>
      <c r="O137" s="1330"/>
      <c r="P137" s="1330"/>
      <c r="Q137" s="1330"/>
      <c r="R137" s="1806"/>
      <c r="S137" s="1330"/>
      <c r="T137" s="1330"/>
      <c r="U137" s="714"/>
      <c r="V137" s="1330"/>
      <c r="W137" s="1330"/>
      <c r="X137" s="1330"/>
      <c r="Y137" s="1330"/>
      <c r="Z137" s="1330"/>
      <c r="AA137" s="1802"/>
      <c r="AB137" s="736"/>
      <c r="AC137" s="736"/>
      <c r="AD137" s="736"/>
      <c r="AE137" s="736"/>
      <c r="AF137" s="1811">
        <v>11</v>
      </c>
    </row>
    <row s="12668" customFormat="1" customHeight="1" ht="11.549999999999999">
      <c r="A138" s="1157"/>
      <c r="B138" s="1806"/>
      <c r="C138" s="1806"/>
      <c r="D138" s="521"/>
      <c r="K138" s="1330"/>
      <c r="L138" s="1806"/>
      <c r="M138" s="1806"/>
      <c r="N138" s="1330"/>
      <c r="O138" s="1330"/>
      <c r="P138" s="1330"/>
      <c r="Q138" s="1330"/>
      <c r="R138" s="1806"/>
      <c r="S138" s="1330"/>
      <c r="T138" s="1330"/>
      <c r="U138" s="714"/>
      <c r="V138" s="1330"/>
      <c r="W138" s="1330"/>
      <c r="X138" s="1330"/>
      <c r="Y138" s="1330"/>
      <c r="Z138" s="1330"/>
      <c r="AA138" s="1802"/>
      <c r="AB138" s="736"/>
      <c r="AC138" s="736"/>
      <c r="AD138" s="736"/>
      <c r="AE138" s="736"/>
      <c r="AF138" s="1811">
        <v>11</v>
      </c>
    </row>
    <row s="12668" customFormat="1" customHeight="1" ht="11.549999999999999">
      <c r="A139" s="1157"/>
      <c r="B139" s="1806"/>
      <c r="C139" s="1806"/>
      <c r="D139" s="521"/>
      <c r="K139" s="1330"/>
      <c r="L139" s="1806"/>
      <c r="M139" s="1806"/>
      <c r="N139" s="1330"/>
      <c r="O139" s="1330"/>
      <c r="P139" s="1330"/>
      <c r="Q139" s="1330"/>
      <c r="R139" s="1806"/>
      <c r="S139" s="1330"/>
      <c r="T139" s="1330"/>
      <c r="U139" s="714"/>
      <c r="V139" s="1330"/>
      <c r="W139" s="1330"/>
      <c r="X139" s="1330"/>
      <c r="Y139" s="1330"/>
      <c r="Z139" s="1330"/>
      <c r="AA139" s="1802"/>
      <c r="AB139" s="736"/>
      <c r="AC139" s="736"/>
      <c r="AD139" s="736"/>
      <c r="AE139" s="736"/>
      <c r="AF139" s="1811">
        <v>11</v>
      </c>
    </row>
    <row s="12668" customFormat="1" customHeight="1" ht="11.549999999999999">
      <c r="A140" s="1157"/>
      <c r="B140" s="1806"/>
      <c r="C140" s="1806"/>
      <c r="D140" s="521"/>
      <c r="K140" s="1330"/>
      <c r="L140" s="1806"/>
      <c r="M140" s="1806"/>
      <c r="N140" s="1330"/>
      <c r="O140" s="1330"/>
      <c r="P140" s="1330"/>
      <c r="Q140" s="1330"/>
      <c r="R140" s="1806"/>
      <c r="S140" s="1330"/>
      <c r="T140" s="1330"/>
      <c r="U140" s="714"/>
      <c r="V140" s="1330"/>
      <c r="W140" s="1330"/>
      <c r="X140" s="1330"/>
      <c r="Y140" s="1330"/>
      <c r="Z140" s="1330"/>
      <c r="AA140" s="1802"/>
      <c r="AB140" s="736"/>
      <c r="AC140" s="736"/>
      <c r="AD140" s="736"/>
      <c r="AE140" s="736"/>
      <c r="AF140" s="1811">
        <v>11</v>
      </c>
    </row>
    <row s="12668" customFormat="1" customHeight="1" ht="11.549999999999999">
      <c r="A141" s="1157"/>
      <c r="B141" s="1806"/>
      <c r="C141" s="1806"/>
      <c r="D141" s="521"/>
      <c r="K141" s="1330"/>
      <c r="L141" s="1806"/>
      <c r="M141" s="1806"/>
      <c r="N141" s="1330"/>
      <c r="O141" s="1330"/>
      <c r="P141" s="1330"/>
      <c r="Q141" s="1330"/>
      <c r="R141" s="1806"/>
      <c r="S141" s="1330"/>
      <c r="T141" s="1330"/>
      <c r="U141" s="714"/>
      <c r="V141" s="1330"/>
      <c r="W141" s="1330"/>
      <c r="X141" s="1330"/>
      <c r="Y141" s="1330"/>
      <c r="Z141" s="1330"/>
      <c r="AA141" s="1802"/>
      <c r="AB141" s="736"/>
      <c r="AC141" s="736"/>
      <c r="AD141" s="736"/>
      <c r="AE141" s="736"/>
      <c r="AF141" s="1811">
        <v>11</v>
      </c>
    </row>
    <row s="12668" customFormat="1" customHeight="1" ht="11.549999999999999">
      <c r="A142" s="1157"/>
      <c r="B142" s="1806"/>
      <c r="C142" s="1806"/>
      <c r="D142" s="521"/>
      <c r="K142" s="1330"/>
      <c r="L142" s="1806"/>
      <c r="M142" s="1806"/>
      <c r="N142" s="1330"/>
      <c r="O142" s="1330"/>
      <c r="P142" s="1330"/>
      <c r="Q142" s="1330"/>
      <c r="R142" s="1806"/>
      <c r="S142" s="1330"/>
      <c r="T142" s="1330"/>
      <c r="U142" s="714"/>
      <c r="V142" s="1330"/>
      <c r="W142" s="1330"/>
      <c r="X142" s="1330"/>
      <c r="Y142" s="1330"/>
      <c r="Z142" s="1330"/>
      <c r="AA142" s="1802"/>
      <c r="AB142" s="736"/>
      <c r="AC142" s="736"/>
      <c r="AD142" s="736"/>
      <c r="AE142" s="736"/>
      <c r="AF142" s="1811">
        <v>11</v>
      </c>
    </row>
    <row s="12668" customFormat="1" customHeight="1" ht="11.549999999999999">
      <c r="A143" s="1157"/>
      <c r="B143" s="1806"/>
      <c r="C143" s="1806"/>
      <c r="D143" s="521"/>
      <c r="K143" s="1330"/>
      <c r="L143" s="1806"/>
      <c r="M143" s="1806"/>
      <c r="N143" s="1330"/>
      <c r="O143" s="1330"/>
      <c r="P143" s="1330"/>
      <c r="Q143" s="1330"/>
      <c r="R143" s="1806"/>
      <c r="S143" s="1330"/>
      <c r="T143" s="1330"/>
      <c r="U143" s="714"/>
      <c r="V143" s="1330"/>
      <c r="W143" s="1330"/>
      <c r="X143" s="1330"/>
      <c r="Y143" s="1330"/>
      <c r="Z143" s="1330"/>
      <c r="AA143" s="1802"/>
      <c r="AB143" s="736"/>
      <c r="AC143" s="736"/>
      <c r="AD143" s="736"/>
      <c r="AE143" s="736"/>
      <c r="AF143" s="1811">
        <v>11</v>
      </c>
    </row>
    <row s="12668" customFormat="1" customHeight="1" ht="11.549999999999999">
      <c r="A144" s="1157"/>
      <c r="B144" s="1806"/>
      <c r="C144" s="1806"/>
      <c r="D144" s="521"/>
      <c r="K144" s="1330"/>
      <c r="L144" s="1806"/>
      <c r="M144" s="1806"/>
      <c r="N144" s="1330"/>
      <c r="O144" s="1330"/>
      <c r="P144" s="1330"/>
      <c r="Q144" s="1330"/>
      <c r="R144" s="1806"/>
      <c r="S144" s="1330"/>
      <c r="T144" s="1330"/>
      <c r="U144" s="714"/>
      <c r="V144" s="1330"/>
      <c r="W144" s="1330"/>
      <c r="X144" s="1330"/>
      <c r="Y144" s="1330"/>
      <c r="Z144" s="1330"/>
      <c r="AA144" s="1802"/>
      <c r="AB144" s="736"/>
      <c r="AC144" s="736"/>
      <c r="AD144" s="736"/>
      <c r="AE144" s="736"/>
      <c r="AF144" s="1811">
        <v>11</v>
      </c>
    </row>
    <row s="12668" customFormat="1" customHeight="1" ht="11.549999999999999">
      <c r="A145" s="1157"/>
      <c r="B145" s="1806"/>
      <c r="C145" s="1806"/>
      <c r="D145" s="521"/>
      <c r="K145" s="1330"/>
      <c r="L145" s="1806"/>
      <c r="M145" s="1806"/>
      <c r="N145" s="1330"/>
      <c r="O145" s="1330"/>
      <c r="P145" s="1330"/>
      <c r="Q145" s="1330"/>
      <c r="R145" s="1806"/>
      <c r="S145" s="1330"/>
      <c r="T145" s="1330"/>
      <c r="U145" s="714"/>
      <c r="V145" s="1330"/>
      <c r="W145" s="1330"/>
      <c r="X145" s="1330"/>
      <c r="Y145" s="1330"/>
      <c r="Z145" s="1330"/>
      <c r="AA145" s="1802"/>
      <c r="AB145" s="736"/>
      <c r="AC145" s="736"/>
      <c r="AD145" s="736"/>
      <c r="AE145" s="736"/>
      <c r="AF145" s="1811">
        <v>11</v>
      </c>
    </row>
    <row s="12668" customFormat="1" customHeight="1" ht="11.549999999999999">
      <c r="A146" s="1157"/>
      <c r="B146" s="1806"/>
      <c r="C146" s="1806"/>
      <c r="D146" s="521"/>
      <c r="K146" s="1330"/>
      <c r="L146" s="1806"/>
      <c r="M146" s="1806"/>
      <c r="N146" s="1330"/>
      <c r="O146" s="1330"/>
      <c r="P146" s="1330"/>
      <c r="Q146" s="1330"/>
      <c r="R146" s="1806"/>
      <c r="S146" s="1330"/>
      <c r="T146" s="1330"/>
      <c r="U146" s="714"/>
      <c r="V146" s="1330"/>
      <c r="W146" s="1330"/>
      <c r="X146" s="1330"/>
      <c r="Y146" s="1330"/>
      <c r="Z146" s="1330"/>
      <c r="AA146" s="1802"/>
      <c r="AB146" s="736"/>
      <c r="AC146" s="736"/>
      <c r="AD146" s="736"/>
      <c r="AE146" s="736"/>
      <c r="AF146" s="1811">
        <v>11</v>
      </c>
    </row>
    <row s="12668" customFormat="1" customHeight="1" ht="11.549999999999999">
      <c r="A147" s="1157"/>
      <c r="B147" s="1806"/>
      <c r="C147" s="1806"/>
      <c r="D147" s="521"/>
      <c r="K147" s="1330"/>
      <c r="L147" s="1806"/>
      <c r="M147" s="1806"/>
      <c r="N147" s="1330"/>
      <c r="O147" s="1330"/>
      <c r="P147" s="1330"/>
      <c r="Q147" s="1330"/>
      <c r="R147" s="1806"/>
      <c r="S147" s="1330"/>
      <c r="T147" s="1330"/>
      <c r="U147" s="714"/>
      <c r="V147" s="1330"/>
      <c r="W147" s="1330"/>
      <c r="X147" s="1330"/>
      <c r="Y147" s="1330"/>
      <c r="Z147" s="1330"/>
      <c r="AA147" s="1802"/>
      <c r="AB147" s="736"/>
      <c r="AC147" s="736"/>
      <c r="AD147" s="736"/>
      <c r="AE147" s="736"/>
      <c r="AF147" s="1811">
        <v>11</v>
      </c>
    </row>
    <row s="12668" customFormat="1" customHeight="1" ht="11.549999999999999">
      <c r="A148" s="1157"/>
      <c r="B148" s="1806"/>
      <c r="C148" s="1806"/>
      <c r="D148" s="521"/>
      <c r="K148" s="1330"/>
      <c r="L148" s="1806"/>
      <c r="M148" s="1806"/>
      <c r="N148" s="1330"/>
      <c r="O148" s="1330"/>
      <c r="P148" s="1330"/>
      <c r="Q148" s="1330"/>
      <c r="R148" s="1806"/>
      <c r="S148" s="1330"/>
      <c r="T148" s="1330"/>
      <c r="U148" s="714"/>
      <c r="V148" s="1330"/>
      <c r="W148" s="1330"/>
      <c r="X148" s="1330"/>
      <c r="Y148" s="1330"/>
      <c r="Z148" s="1330"/>
      <c r="AA148" s="1802"/>
      <c r="AB148" s="736"/>
      <c r="AC148" s="736"/>
      <c r="AD148" s="736"/>
      <c r="AE148" s="736"/>
      <c r="AF148" s="1811">
        <v>11</v>
      </c>
    </row>
    <row s="12668" customFormat="1" customHeight="1" ht="11.549999999999999">
      <c r="A149" s="1157"/>
      <c r="B149" s="1806"/>
      <c r="C149" s="1806"/>
      <c r="D149" s="521"/>
      <c r="K149" s="1330"/>
      <c r="L149" s="1806"/>
      <c r="M149" s="1806"/>
      <c r="N149" s="1330"/>
      <c r="O149" s="1330"/>
      <c r="P149" s="1330"/>
      <c r="Q149" s="1330"/>
      <c r="R149" s="1806"/>
      <c r="S149" s="1330"/>
      <c r="T149" s="1330"/>
      <c r="U149" s="714"/>
      <c r="V149" s="1330"/>
      <c r="W149" s="1330"/>
      <c r="X149" s="1330"/>
      <c r="Y149" s="1330"/>
      <c r="Z149" s="1330"/>
      <c r="AA149" s="1802"/>
      <c r="AB149" s="736"/>
      <c r="AC149" s="736"/>
      <c r="AD149" s="736"/>
      <c r="AE149" s="736"/>
      <c r="AF149" s="1811">
        <v>11</v>
      </c>
    </row>
    <row s="12668" customFormat="1" customHeight="1" ht="11.549999999999999">
      <c r="A150" s="1157"/>
      <c r="B150" s="1806"/>
      <c r="C150" s="1806"/>
      <c r="D150" s="521"/>
      <c r="K150" s="1330"/>
      <c r="L150" s="1806"/>
      <c r="M150" s="1806"/>
      <c r="N150" s="1330"/>
      <c r="O150" s="1330"/>
      <c r="P150" s="1330"/>
      <c r="Q150" s="1330"/>
      <c r="R150" s="1806"/>
      <c r="S150" s="1330"/>
      <c r="T150" s="1330"/>
      <c r="U150" s="714"/>
      <c r="V150" s="1330"/>
      <c r="W150" s="1330"/>
      <c r="X150" s="1330"/>
      <c r="Y150" s="1330"/>
      <c r="Z150" s="1330"/>
      <c r="AA150" s="1802"/>
      <c r="AB150" s="736"/>
      <c r="AC150" s="736"/>
      <c r="AD150" s="736"/>
      <c r="AE150" s="736"/>
      <c r="AF150" s="1811">
        <v>11</v>
      </c>
    </row>
    <row s="12668" customFormat="1" customHeight="1" ht="11.549999999999999">
      <c r="A151" s="1157"/>
      <c r="B151" s="1806"/>
      <c r="C151" s="1806"/>
      <c r="D151" s="521"/>
      <c r="K151" s="1330"/>
      <c r="L151" s="1806"/>
      <c r="M151" s="1806"/>
      <c r="N151" s="1330"/>
      <c r="O151" s="1330"/>
      <c r="P151" s="1330"/>
      <c r="Q151" s="1330"/>
      <c r="R151" s="1806"/>
      <c r="S151" s="1330"/>
      <c r="T151" s="1330"/>
      <c r="U151" s="714"/>
      <c r="V151" s="1330"/>
      <c r="W151" s="1330"/>
      <c r="X151" s="1330"/>
      <c r="Y151" s="1330"/>
      <c r="Z151" s="1330"/>
      <c r="AA151" s="1802"/>
      <c r="AB151" s="736"/>
      <c r="AC151" s="736"/>
      <c r="AD151" s="736"/>
      <c r="AE151" s="736"/>
      <c r="AF151" s="1811">
        <v>11</v>
      </c>
    </row>
    <row s="12668" customFormat="1" customHeight="1" ht="11.549999999999999">
      <c r="A152" s="1157"/>
      <c r="B152" s="1806"/>
      <c r="C152" s="1806"/>
      <c r="D152" s="521"/>
      <c r="K152" s="1330"/>
      <c r="L152" s="1806"/>
      <c r="M152" s="1806"/>
      <c r="N152" s="1330"/>
      <c r="O152" s="1330"/>
      <c r="P152" s="1330"/>
      <c r="Q152" s="1330"/>
      <c r="R152" s="1806"/>
      <c r="S152" s="1330"/>
      <c r="T152" s="1330"/>
      <c r="U152" s="714"/>
      <c r="V152" s="1330"/>
      <c r="W152" s="1330"/>
      <c r="X152" s="1330"/>
      <c r="Y152" s="1330"/>
      <c r="Z152" s="1330"/>
      <c r="AA152" s="1802"/>
      <c r="AB152" s="736"/>
      <c r="AC152" s="736"/>
      <c r="AD152" s="736"/>
      <c r="AE152" s="736"/>
      <c r="AF152" s="1811">
        <v>11</v>
      </c>
    </row>
    <row s="12668" customFormat="1" customHeight="1" ht="11.549999999999999">
      <c r="A153" s="1157"/>
      <c r="B153" s="1806"/>
      <c r="C153" s="1806"/>
      <c r="D153" s="521"/>
      <c r="K153" s="1330"/>
      <c r="L153" s="1806"/>
      <c r="M153" s="1806"/>
      <c r="N153" s="1330"/>
      <c r="O153" s="1330"/>
      <c r="P153" s="1330"/>
      <c r="Q153" s="1330"/>
      <c r="R153" s="1806"/>
      <c r="S153" s="1330"/>
      <c r="T153" s="1330"/>
      <c r="U153" s="714"/>
      <c r="V153" s="1330"/>
      <c r="W153" s="1330"/>
      <c r="X153" s="1330"/>
      <c r="Y153" s="1330"/>
      <c r="Z153" s="1330"/>
      <c r="AA153" s="1802"/>
      <c r="AB153" s="736"/>
      <c r="AC153" s="736"/>
      <c r="AD153" s="736"/>
      <c r="AE153" s="736"/>
      <c r="AF153" s="1811">
        <v>11</v>
      </c>
    </row>
    <row s="12668" customFormat="1" customHeight="1" ht="11.549999999999999">
      <c r="A154" s="1157"/>
      <c r="B154" s="1806"/>
      <c r="C154" s="1806"/>
      <c r="D154" s="521"/>
      <c r="K154" s="1330"/>
      <c r="L154" s="1806"/>
      <c r="M154" s="1806"/>
      <c r="N154" s="1330"/>
      <c r="O154" s="1330"/>
      <c r="P154" s="1330"/>
      <c r="Q154" s="1330"/>
      <c r="R154" s="1806"/>
      <c r="S154" s="1330"/>
      <c r="T154" s="1330"/>
      <c r="U154" s="714"/>
      <c r="V154" s="1330"/>
      <c r="W154" s="1330"/>
      <c r="X154" s="1330"/>
      <c r="Y154" s="1330"/>
      <c r="Z154" s="1330"/>
      <c r="AA154" s="1802"/>
      <c r="AB154" s="736"/>
      <c r="AC154" s="736"/>
      <c r="AD154" s="736"/>
      <c r="AE154" s="736"/>
      <c r="AF154" s="1811">
        <v>11</v>
      </c>
    </row>
    <row s="12668" customFormat="1" customHeight="1" ht="11.549999999999999">
      <c r="A155" s="1157"/>
      <c r="B155" s="1806"/>
      <c r="C155" s="1806"/>
      <c r="D155" s="521"/>
      <c r="K155" s="1330"/>
      <c r="L155" s="1806"/>
      <c r="M155" s="1806"/>
      <c r="N155" s="1330"/>
      <c r="O155" s="1330"/>
      <c r="P155" s="1330"/>
      <c r="Q155" s="1330"/>
      <c r="R155" s="1806"/>
      <c r="S155" s="1330"/>
      <c r="T155" s="1330"/>
      <c r="U155" s="714"/>
      <c r="V155" s="1330"/>
      <c r="W155" s="1330"/>
      <c r="X155" s="1330"/>
      <c r="Y155" s="1330"/>
      <c r="Z155" s="1330"/>
      <c r="AA155" s="1802"/>
      <c r="AB155" s="736"/>
      <c r="AC155" s="736"/>
      <c r="AD155" s="736"/>
      <c r="AE155" s="736"/>
      <c r="AF155" s="1811">
        <v>11</v>
      </c>
    </row>
    <row s="12668" customFormat="1" customHeight="1" ht="11.549999999999999">
      <c r="A156" s="1157"/>
      <c r="B156" s="1806"/>
      <c r="C156" s="1806"/>
      <c r="D156" s="521"/>
      <c r="K156" s="1330"/>
      <c r="L156" s="1806"/>
      <c r="M156" s="1806"/>
      <c r="N156" s="1330"/>
      <c r="O156" s="1330"/>
      <c r="P156" s="1330"/>
      <c r="Q156" s="1330"/>
      <c r="R156" s="1806"/>
      <c r="S156" s="1330"/>
      <c r="T156" s="1330"/>
      <c r="U156" s="714"/>
      <c r="V156" s="1330"/>
      <c r="W156" s="1330"/>
      <c r="X156" s="1330"/>
      <c r="Y156" s="1330"/>
      <c r="Z156" s="1330"/>
      <c r="AA156" s="1802"/>
      <c r="AB156" s="736"/>
      <c r="AC156" s="736"/>
      <c r="AD156" s="736"/>
      <c r="AE156" s="736"/>
      <c r="AF156" s="1811">
        <v>11</v>
      </c>
    </row>
    <row s="12668" customFormat="1" customHeight="1" ht="11.549999999999999">
      <c r="A157" s="1157"/>
      <c r="B157" s="1806"/>
      <c r="C157" s="1806"/>
      <c r="D157" s="521"/>
      <c r="K157" s="1330"/>
      <c r="L157" s="1806"/>
      <c r="M157" s="1806"/>
      <c r="N157" s="1330"/>
      <c r="O157" s="1330"/>
      <c r="P157" s="1330"/>
      <c r="Q157" s="1330"/>
      <c r="R157" s="1806"/>
      <c r="S157" s="1330"/>
      <c r="T157" s="1330"/>
      <c r="U157" s="714"/>
      <c r="V157" s="1330"/>
      <c r="W157" s="1330"/>
      <c r="X157" s="1330"/>
      <c r="Y157" s="1330"/>
      <c r="Z157" s="1330"/>
      <c r="AA157" s="1802"/>
      <c r="AB157" s="736"/>
      <c r="AC157" s="736"/>
      <c r="AD157" s="736"/>
      <c r="AE157" s="736"/>
      <c r="AF157" s="1811">
        <v>11</v>
      </c>
    </row>
    <row s="12668" customFormat="1" customHeight="1" ht="11.549999999999999">
      <c r="A158" s="1157"/>
      <c r="B158" s="1806"/>
      <c r="C158" s="1806"/>
      <c r="D158" s="521"/>
      <c r="K158" s="1330"/>
      <c r="L158" s="1806"/>
      <c r="M158" s="1806"/>
      <c r="N158" s="1330"/>
      <c r="O158" s="1330"/>
      <c r="P158" s="1330"/>
      <c r="Q158" s="1330"/>
      <c r="R158" s="1806"/>
      <c r="S158" s="1330"/>
      <c r="T158" s="1330"/>
      <c r="U158" s="714"/>
      <c r="V158" s="1330"/>
      <c r="W158" s="1330"/>
      <c r="X158" s="1330"/>
      <c r="Y158" s="1330"/>
      <c r="Z158" s="1330"/>
      <c r="AA158" s="1802"/>
      <c r="AB158" s="736"/>
      <c r="AC158" s="736"/>
      <c r="AD158" s="736"/>
      <c r="AE158" s="736"/>
      <c r="AF158" s="1811">
        <v>11</v>
      </c>
    </row>
    <row s="12668" customFormat="1" customHeight="1" ht="11.549999999999999">
      <c r="A159" s="1157"/>
      <c r="B159" s="1806"/>
      <c r="C159" s="1806"/>
      <c r="D159" s="521"/>
      <c r="K159" s="1330"/>
      <c r="L159" s="1806"/>
      <c r="M159" s="1806"/>
      <c r="N159" s="1330"/>
      <c r="O159" s="1330"/>
      <c r="P159" s="1330"/>
      <c r="Q159" s="1330"/>
      <c r="R159" s="1806"/>
      <c r="S159" s="1330"/>
      <c r="T159" s="1330"/>
      <c r="U159" s="714"/>
      <c r="V159" s="1330"/>
      <c r="W159" s="1330"/>
      <c r="X159" s="1330"/>
      <c r="Y159" s="1330"/>
      <c r="Z159" s="1330"/>
      <c r="AA159" s="1802"/>
      <c r="AB159" s="736"/>
      <c r="AC159" s="736"/>
      <c r="AD159" s="736"/>
      <c r="AE159" s="736"/>
      <c r="AF159" s="1811">
        <v>11</v>
      </c>
    </row>
    <row s="12668" customFormat="1" customHeight="1" ht="11.549999999999999">
      <c r="A160" s="1157"/>
      <c r="B160" s="1806"/>
      <c r="C160" s="1806"/>
      <c r="D160" s="521"/>
      <c r="K160" s="1330"/>
      <c r="L160" s="1806"/>
      <c r="M160" s="1806"/>
      <c r="N160" s="1330"/>
      <c r="O160" s="1330"/>
      <c r="P160" s="1330"/>
      <c r="Q160" s="1330"/>
      <c r="R160" s="1806"/>
      <c r="S160" s="1330"/>
      <c r="T160" s="1330"/>
      <c r="U160" s="714"/>
      <c r="V160" s="1330"/>
      <c r="W160" s="1330"/>
      <c r="X160" s="1330"/>
      <c r="Y160" s="1330"/>
      <c r="Z160" s="1330"/>
      <c r="AA160" s="1802"/>
      <c r="AB160" s="736"/>
      <c r="AC160" s="736"/>
      <c r="AD160" s="736"/>
      <c r="AE160" s="736"/>
      <c r="AF160" s="1811">
        <v>11</v>
      </c>
    </row>
    <row s="12668" customFormat="1" customHeight="1" ht="11.549999999999999">
      <c r="A161" s="1157"/>
      <c r="B161" s="1806"/>
      <c r="C161" s="1806"/>
      <c r="D161" s="521"/>
      <c r="K161" s="1330"/>
      <c r="L161" s="1806"/>
      <c r="M161" s="1806"/>
      <c r="N161" s="1330"/>
      <c r="O161" s="1330"/>
      <c r="P161" s="1330"/>
      <c r="Q161" s="1330"/>
      <c r="R161" s="1806"/>
      <c r="S161" s="1330"/>
      <c r="T161" s="1330"/>
      <c r="U161" s="714"/>
      <c r="V161" s="1330"/>
      <c r="W161" s="1330"/>
      <c r="X161" s="1330"/>
      <c r="Y161" s="1330"/>
      <c r="Z161" s="1330"/>
      <c r="AA161" s="1802"/>
      <c r="AB161" s="736"/>
      <c r="AC161" s="736"/>
      <c r="AD161" s="736"/>
      <c r="AE161" s="736"/>
      <c r="AF161" s="1811">
        <v>11</v>
      </c>
    </row>
    <row s="12668" customFormat="1" customHeight="1" ht="11.549999999999999">
      <c r="A162" s="1157"/>
      <c r="B162" s="1806"/>
      <c r="C162" s="1806"/>
      <c r="D162" s="521"/>
      <c r="K162" s="1330"/>
      <c r="L162" s="1806"/>
      <c r="M162" s="1806"/>
      <c r="N162" s="1330"/>
      <c r="O162" s="1330"/>
      <c r="P162" s="1330"/>
      <c r="Q162" s="1330"/>
      <c r="R162" s="1806"/>
      <c r="S162" s="1330"/>
      <c r="T162" s="1330"/>
      <c r="U162" s="714"/>
      <c r="V162" s="1330"/>
      <c r="W162" s="1330"/>
      <c r="X162" s="1330"/>
      <c r="Y162" s="1330"/>
      <c r="Z162" s="1330"/>
      <c r="AA162" s="1802"/>
      <c r="AB162" s="736"/>
      <c r="AC162" s="736"/>
      <c r="AD162" s="736"/>
      <c r="AE162" s="736"/>
      <c r="AF162" s="1811">
        <v>11</v>
      </c>
    </row>
    <row s="12668" customFormat="1" customHeight="1" ht="11.549999999999999">
      <c r="A163" s="1157"/>
      <c r="B163" s="1806"/>
      <c r="C163" s="1806"/>
      <c r="D163" s="521"/>
      <c r="K163" s="1330"/>
      <c r="L163" s="1806"/>
      <c r="M163" s="1806"/>
      <c r="N163" s="1330"/>
      <c r="O163" s="1330"/>
      <c r="P163" s="1330"/>
      <c r="Q163" s="1330"/>
      <c r="R163" s="1806"/>
      <c r="S163" s="1330"/>
      <c r="T163" s="1330"/>
      <c r="U163" s="714"/>
      <c r="V163" s="1330"/>
      <c r="W163" s="1330"/>
      <c r="X163" s="1330"/>
      <c r="Y163" s="1330"/>
      <c r="Z163" s="1330"/>
      <c r="AA163" s="1802"/>
      <c r="AB163" s="736"/>
      <c r="AC163" s="736"/>
      <c r="AD163" s="736"/>
      <c r="AE163" s="736"/>
      <c r="AF163" s="1811">
        <v>11</v>
      </c>
    </row>
    <row s="12668" customFormat="1" customHeight="1" ht="11.549999999999999">
      <c r="A164" s="1157"/>
      <c r="B164" s="1806"/>
      <c r="C164" s="1806"/>
      <c r="D164" s="521"/>
      <c r="K164" s="1330"/>
      <c r="L164" s="1806"/>
      <c r="M164" s="1806"/>
      <c r="N164" s="1330"/>
      <c r="O164" s="1330"/>
      <c r="P164" s="1330"/>
      <c r="Q164" s="1330"/>
      <c r="R164" s="1806"/>
      <c r="S164" s="1330"/>
      <c r="T164" s="1330"/>
      <c r="U164" s="714"/>
      <c r="V164" s="1330"/>
      <c r="W164" s="1330"/>
      <c r="X164" s="1330"/>
      <c r="Y164" s="1330"/>
      <c r="Z164" s="1330"/>
      <c r="AA164" s="1802"/>
      <c r="AB164" s="736"/>
      <c r="AC164" s="736"/>
      <c r="AD164" s="736"/>
      <c r="AE164" s="736"/>
      <c r="AF164" s="1811">
        <v>11</v>
      </c>
    </row>
    <row s="12668" customFormat="1" customHeight="1" ht="11.549999999999999">
      <c r="A165" s="1157"/>
      <c r="B165" s="1806"/>
      <c r="C165" s="1806"/>
      <c r="D165" s="521"/>
      <c r="K165" s="1330"/>
      <c r="L165" s="1806"/>
      <c r="M165" s="1806"/>
      <c r="N165" s="1330"/>
      <c r="O165" s="1330"/>
      <c r="P165" s="1330"/>
      <c r="Q165" s="1330"/>
      <c r="R165" s="1806"/>
      <c r="S165" s="1330"/>
      <c r="T165" s="1330"/>
      <c r="U165" s="714"/>
      <c r="V165" s="1330"/>
      <c r="W165" s="1330"/>
      <c r="X165" s="1330"/>
      <c r="Y165" s="1330"/>
      <c r="Z165" s="1330"/>
      <c r="AA165" s="1802"/>
      <c r="AB165" s="736"/>
      <c r="AC165" s="736"/>
      <c r="AD165" s="736"/>
      <c r="AE165" s="736"/>
      <c r="AF165" s="1811">
        <v>11</v>
      </c>
    </row>
    <row s="12668" customFormat="1" customHeight="1" ht="11.549999999999999">
      <c r="A166" s="1157"/>
      <c r="B166" s="1806"/>
      <c r="C166" s="1806"/>
      <c r="D166" s="521"/>
      <c r="K166" s="1330"/>
      <c r="L166" s="1806"/>
      <c r="M166" s="1806"/>
      <c r="N166" s="1330"/>
      <c r="O166" s="1330"/>
      <c r="P166" s="1330"/>
      <c r="Q166" s="1330"/>
      <c r="R166" s="1806"/>
      <c r="S166" s="1330"/>
      <c r="T166" s="1330"/>
      <c r="U166" s="714"/>
      <c r="V166" s="1330"/>
      <c r="W166" s="1330"/>
      <c r="X166" s="1330"/>
      <c r="Y166" s="1330"/>
      <c r="Z166" s="1330"/>
      <c r="AA166" s="1802"/>
      <c r="AB166" s="736"/>
      <c r="AC166" s="736"/>
      <c r="AD166" s="736"/>
      <c r="AE166" s="736"/>
      <c r="AF166" s="1811">
        <v>11</v>
      </c>
    </row>
    <row s="12668" customFormat="1" customHeight="1" ht="11.549999999999999">
      <c r="A167" s="1157"/>
      <c r="B167" s="1806"/>
      <c r="C167" s="1806"/>
      <c r="D167" s="521"/>
      <c r="K167" s="1330"/>
      <c r="L167" s="1806"/>
      <c r="M167" s="1806"/>
      <c r="N167" s="1330"/>
      <c r="O167" s="1330"/>
      <c r="P167" s="1330"/>
      <c r="Q167" s="1330"/>
      <c r="R167" s="1806"/>
      <c r="S167" s="1330"/>
      <c r="T167" s="1330"/>
      <c r="U167" s="714"/>
      <c r="V167" s="1330"/>
      <c r="W167" s="1330"/>
      <c r="X167" s="1330"/>
      <c r="Y167" s="1330"/>
      <c r="Z167" s="1330"/>
      <c r="AA167" s="1802"/>
      <c r="AB167" s="736"/>
      <c r="AC167" s="736"/>
      <c r="AD167" s="736"/>
      <c r="AE167" s="736"/>
      <c r="AF167" s="1811">
        <v>11</v>
      </c>
    </row>
    <row s="12668" customFormat="1" customHeight="1" ht="11.549999999999999">
      <c r="A168" s="1157"/>
      <c r="B168" s="1806"/>
      <c r="C168" s="1806"/>
      <c r="D168" s="521"/>
      <c r="K168" s="1330"/>
      <c r="L168" s="1806"/>
      <c r="M168" s="1806"/>
      <c r="N168" s="1330"/>
      <c r="O168" s="1330"/>
      <c r="P168" s="1330"/>
      <c r="Q168" s="1330"/>
      <c r="R168" s="1806"/>
      <c r="S168" s="1330"/>
      <c r="T168" s="1330"/>
      <c r="U168" s="714"/>
      <c r="V168" s="1330"/>
      <c r="W168" s="1330"/>
      <c r="X168" s="1330"/>
      <c r="Y168" s="1330"/>
      <c r="Z168" s="1330"/>
      <c r="AA168" s="1802"/>
      <c r="AB168" s="736"/>
      <c r="AC168" s="736"/>
      <c r="AD168" s="736"/>
      <c r="AE168" s="736"/>
      <c r="AF168" s="1811">
        <v>11</v>
      </c>
    </row>
    <row s="12668" customFormat="1" customHeight="1" ht="11.549999999999999">
      <c r="A169" s="1157"/>
      <c r="B169" s="1806"/>
      <c r="C169" s="1806"/>
      <c r="D169" s="521"/>
      <c r="K169" s="1330"/>
      <c r="L169" s="1806"/>
      <c r="M169" s="1806"/>
      <c r="N169" s="1330"/>
      <c r="O169" s="1330"/>
      <c r="P169" s="1330"/>
      <c r="Q169" s="1330"/>
      <c r="R169" s="1806"/>
      <c r="S169" s="1330"/>
      <c r="T169" s="1330"/>
      <c r="U169" s="714"/>
      <c r="V169" s="1330"/>
      <c r="W169" s="1330"/>
      <c r="X169" s="1330"/>
      <c r="Y169" s="1330"/>
      <c r="Z169" s="1330"/>
      <c r="AA169" s="1802"/>
      <c r="AB169" s="736"/>
      <c r="AC169" s="736"/>
      <c r="AD169" s="736"/>
      <c r="AE169" s="736"/>
      <c r="AF169" s="1811">
        <v>11</v>
      </c>
    </row>
    <row s="12668" customFormat="1" customHeight="1" ht="11.549999999999999">
      <c r="A170" s="1157"/>
      <c r="B170" s="1806"/>
      <c r="C170" s="1806"/>
      <c r="D170" s="521"/>
      <c r="K170" s="1330"/>
      <c r="L170" s="1806"/>
      <c r="M170" s="1806"/>
      <c r="N170" s="1330"/>
      <c r="O170" s="1330"/>
      <c r="P170" s="1330"/>
      <c r="Q170" s="1330"/>
      <c r="R170" s="1806"/>
      <c r="S170" s="1330"/>
      <c r="T170" s="1330"/>
      <c r="U170" s="714"/>
      <c r="V170" s="1330"/>
      <c r="W170" s="1330"/>
      <c r="X170" s="1330"/>
      <c r="Y170" s="1330"/>
      <c r="Z170" s="1330"/>
      <c r="AA170" s="1802"/>
      <c r="AB170" s="736"/>
      <c r="AC170" s="736"/>
      <c r="AD170" s="736"/>
      <c r="AE170" s="736"/>
      <c r="AF170" s="1811">
        <v>11</v>
      </c>
    </row>
    <row s="12668" customFormat="1" customHeight="1" ht="11.549999999999999">
      <c r="A171" s="1157"/>
      <c r="B171" s="1806"/>
      <c r="C171" s="1806"/>
      <c r="D171" s="521"/>
      <c r="K171" s="1330"/>
      <c r="L171" s="1806"/>
      <c r="M171" s="1806"/>
      <c r="N171" s="1330"/>
      <c r="O171" s="1330"/>
      <c r="P171" s="1330"/>
      <c r="Q171" s="1330"/>
      <c r="R171" s="1806"/>
      <c r="S171" s="1330"/>
      <c r="T171" s="1330"/>
      <c r="U171" s="714"/>
      <c r="V171" s="1330"/>
      <c r="W171" s="1330"/>
      <c r="X171" s="1330"/>
      <c r="Y171" s="1330"/>
      <c r="Z171" s="1330"/>
      <c r="AA171" s="1802"/>
      <c r="AB171" s="736"/>
      <c r="AC171" s="736"/>
      <c r="AD171" s="736"/>
      <c r="AE171" s="736"/>
      <c r="AF171" s="1811">
        <v>11</v>
      </c>
    </row>
    <row s="12668" customFormat="1" customHeight="1" ht="11.549999999999999">
      <c r="A172" s="1157"/>
      <c r="B172" s="1806"/>
      <c r="C172" s="1806"/>
      <c r="D172" s="521"/>
      <c r="K172" s="1330"/>
      <c r="L172" s="1806"/>
      <c r="M172" s="1806"/>
      <c r="N172" s="1330"/>
      <c r="O172" s="1330"/>
      <c r="P172" s="1330"/>
      <c r="Q172" s="1330"/>
      <c r="R172" s="1806"/>
      <c r="S172" s="1330"/>
      <c r="T172" s="1330"/>
      <c r="U172" s="714"/>
      <c r="V172" s="1330"/>
      <c r="W172" s="1330"/>
      <c r="X172" s="1330"/>
      <c r="Y172" s="1330"/>
      <c r="Z172" s="1330"/>
      <c r="AA172" s="1802"/>
      <c r="AB172" s="736"/>
      <c r="AC172" s="736"/>
      <c r="AD172" s="736"/>
      <c r="AE172" s="736"/>
      <c r="AF172" s="1811">
        <v>11</v>
      </c>
    </row>
    <row s="12668" customFormat="1" customHeight="1" ht="11.549999999999999">
      <c r="A173" s="1157"/>
      <c r="B173" s="1806"/>
      <c r="C173" s="1806"/>
      <c r="D173" s="521"/>
      <c r="K173" s="1330"/>
      <c r="L173" s="1806"/>
      <c r="M173" s="1806"/>
      <c r="N173" s="1330"/>
      <c r="O173" s="1330"/>
      <c r="P173" s="1330"/>
      <c r="Q173" s="1330"/>
      <c r="R173" s="1806"/>
      <c r="S173" s="1330"/>
      <c r="T173" s="1330"/>
      <c r="U173" s="714"/>
      <c r="V173" s="1330"/>
      <c r="W173" s="1330"/>
      <c r="X173" s="1330"/>
      <c r="Y173" s="1330"/>
      <c r="Z173" s="1330"/>
      <c r="AA173" s="1802"/>
      <c r="AB173" s="736"/>
      <c r="AC173" s="736"/>
      <c r="AD173" s="736"/>
      <c r="AE173" s="736"/>
      <c r="AF173" s="1811">
        <v>11</v>
      </c>
    </row>
    <row s="12668" customFormat="1" customHeight="1" ht="11.549999999999999">
      <c r="A174" s="1157"/>
      <c r="B174" s="1806"/>
      <c r="C174" s="1806"/>
      <c r="D174" s="521"/>
      <c r="K174" s="1330"/>
      <c r="L174" s="1806"/>
      <c r="M174" s="1806"/>
      <c r="N174" s="1330"/>
      <c r="O174" s="1330"/>
      <c r="P174" s="1330"/>
      <c r="Q174" s="1330"/>
      <c r="R174" s="1806"/>
      <c r="S174" s="1330"/>
      <c r="T174" s="1330"/>
      <c r="U174" s="714"/>
      <c r="V174" s="1330"/>
      <c r="W174" s="1330"/>
      <c r="X174" s="1330"/>
      <c r="Y174" s="1330"/>
      <c r="Z174" s="1330"/>
      <c r="AA174" s="1802"/>
      <c r="AB174" s="736"/>
      <c r="AC174" s="736"/>
      <c r="AD174" s="736"/>
      <c r="AE174" s="736"/>
      <c r="AF174" s="1811">
        <v>11</v>
      </c>
    </row>
    <row s="12668" customFormat="1" customHeight="1" ht="11.549999999999999">
      <c r="A175" s="1157"/>
      <c r="B175" s="1806"/>
      <c r="C175" s="1806"/>
      <c r="D175" s="521"/>
      <c r="K175" s="1330"/>
      <c r="L175" s="1806"/>
      <c r="M175" s="1806"/>
      <c r="N175" s="1330"/>
      <c r="O175" s="1330"/>
      <c r="P175" s="1330"/>
      <c r="Q175" s="1330"/>
      <c r="R175" s="1806"/>
      <c r="S175" s="1330"/>
      <c r="T175" s="1330"/>
      <c r="U175" s="714"/>
      <c r="V175" s="1330"/>
      <c r="W175" s="1330"/>
      <c r="X175" s="1330"/>
      <c r="Y175" s="1330"/>
      <c r="Z175" s="1330"/>
      <c r="AA175" s="1802"/>
      <c r="AB175" s="736"/>
      <c r="AC175" s="736"/>
      <c r="AD175" s="736"/>
      <c r="AE175" s="736"/>
      <c r="AF175" s="1811">
        <v>11</v>
      </c>
    </row>
    <row s="12668" customFormat="1" customHeight="1" ht="11.549999999999999">
      <c r="A176" s="1157"/>
      <c r="B176" s="1806"/>
      <c r="C176" s="1806"/>
      <c r="D176" s="521"/>
      <c r="K176" s="1330"/>
      <c r="L176" s="1806"/>
      <c r="M176" s="1806"/>
      <c r="N176" s="1330"/>
      <c r="O176" s="1330"/>
      <c r="P176" s="1330"/>
      <c r="Q176" s="1330"/>
      <c r="R176" s="1806"/>
      <c r="S176" s="1330"/>
      <c r="T176" s="1330"/>
      <c r="U176" s="714"/>
      <c r="V176" s="1330"/>
      <c r="W176" s="1330"/>
      <c r="X176" s="1330"/>
      <c r="Y176" s="1330"/>
      <c r="Z176" s="1330"/>
      <c r="AA176" s="1802"/>
      <c r="AB176" s="736"/>
      <c r="AC176" s="736"/>
      <c r="AD176" s="736"/>
      <c r="AE176" s="736"/>
      <c r="AF176" s="1811">
        <v>11</v>
      </c>
    </row>
    <row s="12668" customFormat="1" customHeight="1" ht="11.549999999999999">
      <c r="A177" s="1157"/>
      <c r="B177" s="1806"/>
      <c r="C177" s="1806"/>
      <c r="D177" s="521"/>
      <c r="K177" s="1330"/>
      <c r="L177" s="1806"/>
      <c r="M177" s="1806"/>
      <c r="N177" s="1330"/>
      <c r="O177" s="1330"/>
      <c r="P177" s="1330"/>
      <c r="Q177" s="1330"/>
      <c r="R177" s="1806"/>
      <c r="S177" s="1330"/>
      <c r="T177" s="1330"/>
      <c r="U177" s="714"/>
      <c r="V177" s="1330"/>
      <c r="W177" s="1330"/>
      <c r="X177" s="1330"/>
      <c r="Y177" s="1330"/>
      <c r="Z177" s="1330"/>
      <c r="AA177" s="1802"/>
      <c r="AB177" s="736"/>
      <c r="AC177" s="736"/>
      <c r="AD177" s="736"/>
      <c r="AE177" s="736"/>
      <c r="AF177" s="1811">
        <v>11</v>
      </c>
    </row>
    <row s="12668" customFormat="1" customHeight="1" ht="11.549999999999999">
      <c r="A178" s="1157"/>
      <c r="B178" s="1806"/>
      <c r="C178" s="1806"/>
      <c r="D178" s="521"/>
      <c r="K178" s="1330"/>
      <c r="L178" s="1806"/>
      <c r="M178" s="1806"/>
      <c r="N178" s="1330"/>
      <c r="O178" s="1330"/>
      <c r="P178" s="1330"/>
      <c r="Q178" s="1330"/>
      <c r="R178" s="1806"/>
      <c r="S178" s="1330"/>
      <c r="T178" s="1330"/>
      <c r="U178" s="714"/>
      <c r="V178" s="1330"/>
      <c r="W178" s="1330"/>
      <c r="X178" s="1330"/>
      <c r="Y178" s="1330"/>
      <c r="Z178" s="1330"/>
      <c r="AA178" s="1802"/>
      <c r="AB178" s="736"/>
      <c r="AC178" s="736"/>
      <c r="AD178" s="736"/>
      <c r="AE178" s="736"/>
      <c r="AF178" s="1811">
        <v>11</v>
      </c>
    </row>
    <row s="12668" customFormat="1" customHeight="1" ht="11.549999999999999">
      <c r="A179" s="1157"/>
      <c r="B179" s="1806"/>
      <c r="C179" s="1806"/>
      <c r="D179" s="521"/>
      <c r="K179" s="1330"/>
      <c r="L179" s="1806"/>
      <c r="M179" s="1806"/>
      <c r="N179" s="1330"/>
      <c r="O179" s="1330"/>
      <c r="P179" s="1330"/>
      <c r="Q179" s="1330"/>
      <c r="R179" s="1806"/>
      <c r="S179" s="1330"/>
      <c r="T179" s="1330"/>
      <c r="U179" s="714"/>
      <c r="V179" s="1330"/>
      <c r="W179" s="1330"/>
      <c r="X179" s="1330"/>
      <c r="Y179" s="1330"/>
      <c r="Z179" s="1330"/>
      <c r="AA179" s="1802"/>
      <c r="AB179" s="736"/>
      <c r="AC179" s="736"/>
      <c r="AD179" s="736"/>
      <c r="AE179" s="736"/>
      <c r="AF179" s="1811">
        <v>11</v>
      </c>
    </row>
    <row s="12668" customFormat="1" customHeight="1" ht="11.549999999999999">
      <c r="A180" s="1157"/>
      <c r="B180" s="1806"/>
      <c r="C180" s="1806"/>
      <c r="D180" s="521"/>
      <c r="K180" s="1330"/>
      <c r="L180" s="1806"/>
      <c r="M180" s="1806"/>
      <c r="N180" s="1330"/>
      <c r="O180" s="1330"/>
      <c r="P180" s="1330"/>
      <c r="Q180" s="1330"/>
      <c r="R180" s="1806"/>
      <c r="S180" s="1330"/>
      <c r="T180" s="1330"/>
      <c r="U180" s="714"/>
      <c r="V180" s="1330"/>
      <c r="W180" s="1330"/>
      <c r="X180" s="1330"/>
      <c r="Y180" s="1330"/>
      <c r="Z180" s="1330"/>
      <c r="AA180" s="1802"/>
      <c r="AB180" s="736"/>
      <c r="AC180" s="736"/>
      <c r="AD180" s="736"/>
      <c r="AE180" s="736"/>
      <c r="AF180" s="1811">
        <v>11</v>
      </c>
    </row>
    <row s="12668" customFormat="1" customHeight="1" ht="11.549999999999999">
      <c r="A181" s="1157"/>
      <c r="B181" s="1806"/>
      <c r="C181" s="1806"/>
      <c r="D181" s="521"/>
      <c r="K181" s="1330"/>
      <c r="L181" s="1806"/>
      <c r="M181" s="1806"/>
      <c r="N181" s="1330"/>
      <c r="O181" s="1330"/>
      <c r="P181" s="1330"/>
      <c r="Q181" s="1330"/>
      <c r="R181" s="1806"/>
      <c r="S181" s="1330"/>
      <c r="T181" s="1330"/>
      <c r="U181" s="714"/>
      <c r="V181" s="1330"/>
      <c r="W181" s="1330"/>
      <c r="X181" s="1330"/>
      <c r="Y181" s="1330"/>
      <c r="Z181" s="1330"/>
      <c r="AA181" s="1802"/>
      <c r="AB181" s="736"/>
      <c r="AC181" s="736"/>
      <c r="AD181" s="736"/>
      <c r="AE181" s="736"/>
      <c r="AF181" s="1811">
        <v>11</v>
      </c>
    </row>
    <row s="12668" customFormat="1" customHeight="1" ht="11.549999999999999">
      <c r="A182" s="1157"/>
      <c r="B182" s="1806"/>
      <c r="C182" s="1806"/>
      <c r="D182" s="521"/>
      <c r="K182" s="1330"/>
      <c r="L182" s="1806"/>
      <c r="M182" s="1806"/>
      <c r="N182" s="1330"/>
      <c r="O182" s="1330"/>
      <c r="P182" s="1330"/>
      <c r="Q182" s="1330"/>
      <c r="R182" s="1806"/>
      <c r="S182" s="1330"/>
      <c r="T182" s="1330"/>
      <c r="U182" s="714"/>
      <c r="V182" s="1330"/>
      <c r="W182" s="1330"/>
      <c r="X182" s="1330"/>
      <c r="Y182" s="1330"/>
      <c r="Z182" s="1330"/>
      <c r="AA182" s="1802"/>
      <c r="AB182" s="736"/>
      <c r="AC182" s="736"/>
      <c r="AD182" s="736"/>
      <c r="AE182" s="736"/>
      <c r="AF182" s="1811">
        <v>11</v>
      </c>
    </row>
    <row s="12668" customFormat="1" customHeight="1" ht="11.549999999999999">
      <c r="A183" s="1157"/>
      <c r="B183" s="1806"/>
      <c r="C183" s="1806"/>
      <c r="D183" s="521"/>
      <c r="K183" s="1330"/>
      <c r="L183" s="1806"/>
      <c r="M183" s="1806"/>
      <c r="N183" s="1330"/>
      <c r="O183" s="1330"/>
      <c r="P183" s="1330"/>
      <c r="Q183" s="1330"/>
      <c r="R183" s="1806"/>
      <c r="S183" s="1330"/>
      <c r="T183" s="1330"/>
      <c r="U183" s="714"/>
      <c r="V183" s="1330"/>
      <c r="W183" s="1330"/>
      <c r="X183" s="1330"/>
      <c r="Y183" s="1330"/>
      <c r="Z183" s="1330"/>
      <c r="AA183" s="1802"/>
      <c r="AB183" s="736"/>
      <c r="AC183" s="736"/>
      <c r="AD183" s="736"/>
      <c r="AE183" s="736"/>
      <c r="AF183" s="1811">
        <v>11</v>
      </c>
    </row>
    <row s="12668" customFormat="1" customHeight="1" ht="11.549999999999999">
      <c r="A184" s="1157"/>
      <c r="B184" s="1806"/>
      <c r="C184" s="1806"/>
      <c r="D184" s="521"/>
      <c r="K184" s="1330"/>
      <c r="L184" s="1806"/>
      <c r="M184" s="1806"/>
      <c r="N184" s="1330"/>
      <c r="O184" s="1330"/>
      <c r="P184" s="1330"/>
      <c r="Q184" s="1330"/>
      <c r="R184" s="1806"/>
      <c r="S184" s="1330"/>
      <c r="T184" s="1330"/>
      <c r="U184" s="714"/>
      <c r="V184" s="1330"/>
      <c r="W184" s="1330"/>
      <c r="X184" s="1330"/>
      <c r="Y184" s="1330"/>
      <c r="Z184" s="1330"/>
      <c r="AA184" s="1802"/>
      <c r="AB184" s="736"/>
      <c r="AC184" s="736"/>
      <c r="AD184" s="736"/>
      <c r="AE184" s="736"/>
      <c r="AF184" s="1811">
        <v>11</v>
      </c>
    </row>
    <row s="12668" customFormat="1" customHeight="1" ht="11.549999999999999">
      <c r="A185" s="1157"/>
      <c r="B185" s="1806"/>
      <c r="C185" s="1806"/>
      <c r="D185" s="521"/>
      <c r="K185" s="1330"/>
      <c r="L185" s="1806"/>
      <c r="M185" s="1806"/>
      <c r="N185" s="1330"/>
      <c r="O185" s="1330"/>
      <c r="P185" s="1330"/>
      <c r="Q185" s="1330"/>
      <c r="R185" s="1806"/>
      <c r="S185" s="1330"/>
      <c r="T185" s="1330"/>
      <c r="U185" s="714"/>
      <c r="V185" s="1330"/>
      <c r="W185" s="1330"/>
      <c r="X185" s="1330"/>
      <c r="Y185" s="1330"/>
      <c r="Z185" s="1330"/>
      <c r="AA185" s="1802"/>
      <c r="AB185" s="736"/>
      <c r="AC185" s="736"/>
      <c r="AD185" s="736"/>
      <c r="AE185" s="736"/>
      <c r="AF185" s="1811">
        <v>11</v>
      </c>
    </row>
    <row s="12668" customFormat="1" customHeight="1" ht="11.549999999999999">
      <c r="A186" s="1157"/>
      <c r="B186" s="1806"/>
      <c r="C186" s="1806"/>
      <c r="D186" s="521"/>
      <c r="K186" s="1330"/>
      <c r="L186" s="1806"/>
      <c r="M186" s="1806"/>
      <c r="N186" s="1330"/>
      <c r="O186" s="1330"/>
      <c r="P186" s="1330"/>
      <c r="Q186" s="1330"/>
      <c r="R186" s="1806"/>
      <c r="S186" s="1330"/>
      <c r="T186" s="1330"/>
      <c r="U186" s="714"/>
      <c r="V186" s="1330"/>
      <c r="W186" s="1330"/>
      <c r="X186" s="1330"/>
      <c r="Y186" s="1330"/>
      <c r="Z186" s="1330"/>
      <c r="AA186" s="1802"/>
      <c r="AB186" s="736"/>
      <c r="AC186" s="736"/>
      <c r="AD186" s="736"/>
      <c r="AE186" s="736"/>
      <c r="AF186" s="1811">
        <v>11</v>
      </c>
    </row>
    <row s="12668" customFormat="1" customHeight="1" ht="11.549999999999999">
      <c r="A187" s="1157"/>
      <c r="B187" s="1806"/>
      <c r="C187" s="1806"/>
      <c r="D187" s="521"/>
      <c r="K187" s="1330"/>
      <c r="L187" s="1806"/>
      <c r="M187" s="1806"/>
      <c r="N187" s="1330"/>
      <c r="O187" s="1330"/>
      <c r="P187" s="1330"/>
      <c r="Q187" s="1330"/>
      <c r="R187" s="1806"/>
      <c r="S187" s="1330"/>
      <c r="T187" s="1330"/>
      <c r="U187" s="714"/>
      <c r="V187" s="1330"/>
      <c r="W187" s="1330"/>
      <c r="X187" s="1330"/>
      <c r="Y187" s="1330"/>
      <c r="Z187" s="1330"/>
      <c r="AA187" s="1802"/>
      <c r="AB187" s="736"/>
      <c r="AC187" s="736"/>
      <c r="AD187" s="736"/>
      <c r="AE187" s="736"/>
      <c r="AF187" s="1811">
        <v>11</v>
      </c>
    </row>
    <row s="12668" customFormat="1" customHeight="1" ht="11.549999999999999">
      <c r="A188" s="1157"/>
      <c r="B188" s="1806"/>
      <c r="C188" s="1806"/>
      <c r="D188" s="521"/>
      <c r="K188" s="1330"/>
      <c r="L188" s="1806"/>
      <c r="M188" s="1806"/>
      <c r="N188" s="1330"/>
      <c r="O188" s="1330"/>
      <c r="P188" s="1330"/>
      <c r="Q188" s="1330"/>
      <c r="R188" s="1806"/>
      <c r="S188" s="1330"/>
      <c r="T188" s="1330"/>
      <c r="U188" s="714"/>
      <c r="V188" s="1330"/>
      <c r="W188" s="1330"/>
      <c r="X188" s="1330"/>
      <c r="Y188" s="1330"/>
      <c r="Z188" s="1330"/>
      <c r="AA188" s="1802"/>
      <c r="AB188" s="736"/>
      <c r="AC188" s="736"/>
      <c r="AD188" s="736"/>
      <c r="AE188" s="736"/>
      <c r="AF188" s="1811">
        <v>11</v>
      </c>
    </row>
    <row s="12668" customFormat="1" customHeight="1" ht="11.549999999999999">
      <c r="A189" s="1157"/>
      <c r="B189" s="1806"/>
      <c r="C189" s="1806"/>
      <c r="D189" s="521"/>
      <c r="K189" s="1330"/>
      <c r="L189" s="1806"/>
      <c r="M189" s="1806"/>
      <c r="N189" s="1330"/>
      <c r="O189" s="1330"/>
      <c r="P189" s="1330"/>
      <c r="Q189" s="1330"/>
      <c r="R189" s="1806"/>
      <c r="S189" s="1330"/>
      <c r="T189" s="1330"/>
      <c r="U189" s="714"/>
      <c r="V189" s="1330"/>
      <c r="W189" s="1330"/>
      <c r="X189" s="1330"/>
      <c r="Y189" s="1330"/>
      <c r="Z189" s="1330"/>
      <c r="AA189" s="1802"/>
      <c r="AB189" s="736"/>
      <c r="AC189" s="736"/>
      <c r="AD189" s="736"/>
      <c r="AE189" s="736"/>
      <c r="AF189" s="1811">
        <v>11</v>
      </c>
    </row>
    <row s="12668" customFormat="1" customHeight="1" ht="11.549999999999999">
      <c r="A190" s="1157"/>
      <c r="B190" s="1806"/>
      <c r="C190" s="1806"/>
      <c r="D190" s="521"/>
      <c r="K190" s="1330"/>
      <c r="L190" s="1806"/>
      <c r="M190" s="1806"/>
      <c r="N190" s="1330"/>
      <c r="O190" s="1330"/>
      <c r="P190" s="1330"/>
      <c r="Q190" s="1330"/>
      <c r="R190" s="1806"/>
      <c r="S190" s="1330"/>
      <c r="T190" s="1330"/>
      <c r="U190" s="714"/>
      <c r="V190" s="1330"/>
      <c r="W190" s="1330"/>
      <c r="X190" s="1330"/>
      <c r="Y190" s="1330"/>
      <c r="Z190" s="1330"/>
      <c r="AA190" s="1802"/>
      <c r="AB190" s="736"/>
      <c r="AC190" s="736"/>
      <c r="AD190" s="736"/>
      <c r="AE190" s="736"/>
      <c r="AF190" s="1811">
        <v>11</v>
      </c>
    </row>
    <row s="12668" customFormat="1" customHeight="1" ht="11.549999999999999">
      <c r="A191" s="1157"/>
      <c r="B191" s="1806"/>
      <c r="C191" s="1806"/>
      <c r="D191" s="521"/>
      <c r="K191" s="1330"/>
      <c r="L191" s="1806"/>
      <c r="M191" s="1806"/>
      <c r="N191" s="1330"/>
      <c r="O191" s="1330"/>
      <c r="P191" s="1330"/>
      <c r="Q191" s="1330"/>
      <c r="R191" s="1806"/>
      <c r="S191" s="1330"/>
      <c r="T191" s="1330"/>
      <c r="U191" s="714"/>
      <c r="V191" s="1330"/>
      <c r="W191" s="1330"/>
      <c r="X191" s="1330"/>
      <c r="Y191" s="1330"/>
      <c r="Z191" s="1330"/>
      <c r="AA191" s="1802"/>
      <c r="AB191" s="736"/>
      <c r="AC191" s="736"/>
      <c r="AD191" s="736"/>
      <c r="AE191" s="736"/>
      <c r="AF191" s="1811">
        <v>11</v>
      </c>
    </row>
    <row s="12668" customFormat="1" customHeight="1" ht="11.549999999999999">
      <c r="A192" s="1157"/>
      <c r="B192" s="1806"/>
      <c r="C192" s="1806"/>
      <c r="D192" s="521"/>
      <c r="K192" s="1330"/>
      <c r="L192" s="1806"/>
      <c r="M192" s="1806"/>
      <c r="N192" s="1330"/>
      <c r="O192" s="1330"/>
      <c r="P192" s="1330"/>
      <c r="Q192" s="1330"/>
      <c r="R192" s="1806"/>
      <c r="S192" s="1330"/>
      <c r="T192" s="1330"/>
      <c r="U192" s="714"/>
      <c r="V192" s="1330"/>
      <c r="W192" s="1330"/>
      <c r="X192" s="1330"/>
      <c r="Y192" s="1330"/>
      <c r="Z192" s="1330"/>
      <c r="AA192" s="1802"/>
      <c r="AB192" s="736"/>
      <c r="AC192" s="736"/>
      <c r="AD192" s="736"/>
      <c r="AE192" s="736"/>
      <c r="AF192" s="1811">
        <v>11</v>
      </c>
    </row>
    <row s="12668" customFormat="1" customHeight="1" ht="11.549999999999999">
      <c r="A193" s="1157"/>
      <c r="B193" s="1806"/>
      <c r="C193" s="1806"/>
      <c r="D193" s="521"/>
      <c r="K193" s="1330"/>
      <c r="L193" s="1806"/>
      <c r="M193" s="1806"/>
      <c r="N193" s="1330"/>
      <c r="O193" s="1330"/>
      <c r="P193" s="1330"/>
      <c r="Q193" s="1330"/>
      <c r="R193" s="1806"/>
      <c r="S193" s="1330"/>
      <c r="T193" s="1330"/>
      <c r="U193" s="714"/>
      <c r="V193" s="1330"/>
      <c r="W193" s="1330"/>
      <c r="X193" s="1330"/>
      <c r="Y193" s="1330"/>
      <c r="Z193" s="1330"/>
      <c r="AA193" s="1802"/>
      <c r="AB193" s="736"/>
      <c r="AC193" s="736"/>
      <c r="AD193" s="736"/>
      <c r="AE193" s="736"/>
      <c r="AF193" s="1811">
        <v>11</v>
      </c>
    </row>
    <row s="12668" customFormat="1" customHeight="1" ht="11.549999999999999">
      <c r="A194" s="1157"/>
      <c r="B194" s="1806"/>
      <c r="C194" s="1806"/>
      <c r="D194" s="521"/>
      <c r="K194" s="1330"/>
      <c r="L194" s="1806"/>
      <c r="M194" s="1806"/>
      <c r="N194" s="1330"/>
      <c r="O194" s="1330"/>
      <c r="P194" s="1330"/>
      <c r="Q194" s="1330"/>
      <c r="R194" s="1806"/>
      <c r="S194" s="1330"/>
      <c r="T194" s="1330"/>
      <c r="U194" s="714"/>
      <c r="V194" s="1330"/>
      <c r="W194" s="1330"/>
      <c r="X194" s="1330"/>
      <c r="Y194" s="1330"/>
      <c r="Z194" s="1330"/>
      <c r="AA194" s="1802"/>
      <c r="AB194" s="736"/>
      <c r="AC194" s="736"/>
      <c r="AD194" s="736"/>
      <c r="AE194" s="736"/>
      <c r="AF194" s="1811">
        <v>11</v>
      </c>
    </row>
    <row s="12668" customFormat="1" customHeight="1" ht="11.549999999999999">
      <c r="A195" s="1157"/>
      <c r="B195" s="1806"/>
      <c r="C195" s="1806"/>
      <c r="D195" s="521"/>
      <c r="K195" s="1330"/>
      <c r="L195" s="1806"/>
      <c r="M195" s="1806"/>
      <c r="N195" s="1330"/>
      <c r="O195" s="1330"/>
      <c r="P195" s="1330"/>
      <c r="Q195" s="1330"/>
      <c r="R195" s="1806"/>
      <c r="S195" s="1330"/>
      <c r="T195" s="1330"/>
      <c r="U195" s="714"/>
      <c r="V195" s="1330"/>
      <c r="W195" s="1330"/>
      <c r="X195" s="1330"/>
      <c r="Y195" s="1330"/>
      <c r="Z195" s="1330"/>
      <c r="AA195" s="1802"/>
      <c r="AB195" s="736"/>
      <c r="AC195" s="736"/>
      <c r="AD195" s="736"/>
      <c r="AE195" s="736"/>
      <c r="AF195" s="1811">
        <v>11</v>
      </c>
    </row>
    <row customHeight="1" ht="11.549999999999999">
      <c r="AF196" s="1801">
        <v>11</v>
      </c>
    </row>
    <row customHeight="1" ht="11.549999999999999">
      <c r="AF197" s="1801">
        <v>11</v>
      </c>
    </row>
    <row customHeight="1" ht="11.549999999999999">
      <c r="AF198" s="1801">
        <v>11</v>
      </c>
    </row>
    <row customHeight="1" ht="11.549999999999999">
      <c r="A199" s="1160"/>
      <c r="B199" s="1801"/>
      <c r="D199" s="1801"/>
      <c r="K199" s="1801"/>
      <c r="N199" s="1801"/>
      <c r="O199" s="1801"/>
      <c r="P199" s="1801"/>
      <c r="Q199" s="1801"/>
      <c r="S199" s="1801"/>
      <c r="T199" s="1801"/>
      <c r="U199" s="1801"/>
      <c r="V199" s="1801"/>
      <c r="W199" s="1801"/>
      <c r="X199" s="1801"/>
      <c r="Y199" s="1801"/>
      <c r="Z199" s="1801"/>
      <c r="AA199" s="1801"/>
      <c r="AB199" s="1801"/>
      <c r="AC199" s="1801"/>
      <c r="AD199" s="1801"/>
      <c r="AE199" s="1801"/>
      <c r="AF199" s="1801">
        <v>11</v>
      </c>
    </row>
    <row customHeight="1" ht="11.549999999999999">
      <c r="A200" s="1160"/>
      <c r="B200" s="1801"/>
      <c r="D200" s="1801"/>
      <c r="K200" s="1801"/>
      <c r="N200" s="1801"/>
      <c r="O200" s="1801"/>
      <c r="P200" s="1801"/>
      <c r="Q200" s="1801"/>
      <c r="S200" s="1801"/>
      <c r="T200" s="1801"/>
      <c r="U200" s="1801"/>
      <c r="V200" s="1801"/>
      <c r="W200" s="1801"/>
      <c r="X200" s="1801"/>
      <c r="Y200" s="1801"/>
      <c r="Z200" s="1801"/>
      <c r="AA200" s="1801"/>
      <c r="AB200" s="1801"/>
      <c r="AC200" s="1801"/>
      <c r="AD200" s="1801"/>
      <c r="AE200" s="1801"/>
      <c r="AF200" s="1801">
        <v>11</v>
      </c>
    </row>
    <row customHeight="1" ht="11.549999999999999">
      <c r="A201" s="1160"/>
      <c r="B201" s="1801"/>
      <c r="D201" s="1801"/>
      <c r="K201" s="1801"/>
      <c r="N201" s="1801"/>
      <c r="O201" s="1801"/>
      <c r="P201" s="1801"/>
      <c r="Q201" s="1801"/>
      <c r="S201" s="1801"/>
      <c r="T201" s="1801"/>
      <c r="U201" s="1801"/>
      <c r="V201" s="1801"/>
      <c r="W201" s="1801"/>
      <c r="X201" s="1801"/>
      <c r="Y201" s="1801"/>
      <c r="Z201" s="1801"/>
      <c r="AA201" s="1801"/>
      <c r="AB201" s="1801"/>
      <c r="AC201" s="1801"/>
      <c r="AD201" s="1801"/>
      <c r="AE201" s="1801"/>
      <c r="AF201" s="1801">
        <v>11</v>
      </c>
    </row>
    <row customHeight="1" ht="11.549999999999999">
      <c r="A202" s="1160"/>
      <c r="B202" s="1801"/>
      <c r="D202" s="1801"/>
      <c r="K202" s="1801"/>
      <c r="N202" s="1801"/>
      <c r="O202" s="1801"/>
      <c r="P202" s="1801"/>
      <c r="Q202" s="1801"/>
      <c r="S202" s="1801"/>
      <c r="T202" s="1801"/>
      <c r="U202" s="1801"/>
      <c r="V202" s="1801"/>
      <c r="W202" s="1801"/>
      <c r="X202" s="1801"/>
      <c r="Y202" s="1801"/>
      <c r="Z202" s="1801"/>
      <c r="AA202" s="1801"/>
      <c r="AB202" s="1801"/>
      <c r="AC202" s="1801"/>
      <c r="AD202" s="1801"/>
      <c r="AE202" s="1801"/>
      <c r="AF202" s="1801">
        <v>11</v>
      </c>
    </row>
    <row customHeight="1" ht="11.549999999999999">
      <c r="A203" s="1160"/>
      <c r="B203" s="1801"/>
      <c r="D203" s="1801"/>
      <c r="K203" s="1801"/>
      <c r="N203" s="1801"/>
      <c r="O203" s="1801"/>
      <c r="P203" s="1801"/>
      <c r="Q203" s="1801"/>
      <c r="S203" s="1801"/>
      <c r="T203" s="1801"/>
      <c r="U203" s="1801"/>
      <c r="V203" s="1801"/>
      <c r="W203" s="1801"/>
      <c r="X203" s="1801"/>
      <c r="Y203" s="1801"/>
      <c r="Z203" s="1801"/>
      <c r="AA203" s="1801"/>
      <c r="AB203" s="1801"/>
      <c r="AC203" s="1801"/>
      <c r="AD203" s="1801"/>
      <c r="AE203" s="1801"/>
      <c r="AF203" s="1801">
        <v>11</v>
      </c>
    </row>
    <row customHeight="1" ht="11.549999999999999">
      <c r="A204" s="1160"/>
      <c r="B204" s="1801"/>
      <c r="D204" s="1801"/>
      <c r="K204" s="1801"/>
      <c r="N204" s="1801"/>
      <c r="O204" s="1801"/>
      <c r="P204" s="1801"/>
      <c r="Q204" s="1801"/>
      <c r="S204" s="1801"/>
      <c r="T204" s="1801"/>
      <c r="U204" s="1801"/>
      <c r="V204" s="1801"/>
      <c r="W204" s="1801"/>
      <c r="X204" s="1801"/>
      <c r="Y204" s="1801"/>
      <c r="Z204" s="1801"/>
      <c r="AA204" s="1801"/>
      <c r="AB204" s="1801"/>
      <c r="AC204" s="1801"/>
      <c r="AD204" s="1801"/>
      <c r="AE204" s="1801"/>
      <c r="AF204" s="1801">
        <v>11</v>
      </c>
    </row>
    <row customHeight="1" ht="11.549999999999999">
      <c r="A205" s="1160"/>
      <c r="B205" s="1801"/>
      <c r="D205" s="1801"/>
      <c r="K205" s="1801"/>
      <c r="N205" s="1801"/>
      <c r="O205" s="1801"/>
      <c r="P205" s="1801"/>
      <c r="Q205" s="1801"/>
      <c r="S205" s="1801"/>
      <c r="T205" s="1801"/>
      <c r="U205" s="1801"/>
      <c r="V205" s="1801"/>
      <c r="W205" s="1801"/>
      <c r="X205" s="1801"/>
      <c r="Y205" s="1801"/>
      <c r="Z205" s="1801"/>
      <c r="AA205" s="1801"/>
      <c r="AB205" s="1801"/>
      <c r="AC205" s="1801"/>
      <c r="AD205" s="1801"/>
      <c r="AE205" s="1801"/>
      <c r="AF205" s="1801">
        <v>11</v>
      </c>
    </row>
    <row customHeight="1" ht="11.549999999999999">
      <c r="A206" s="1160"/>
      <c r="B206" s="1801"/>
      <c r="D206" s="1801"/>
      <c r="K206" s="1801"/>
      <c r="N206" s="1801"/>
      <c r="O206" s="1801"/>
      <c r="P206" s="1801"/>
      <c r="Q206" s="1801"/>
      <c r="S206" s="1801"/>
      <c r="T206" s="1801"/>
      <c r="U206" s="1801"/>
      <c r="V206" s="1801"/>
      <c r="W206" s="1801"/>
      <c r="X206" s="1801"/>
      <c r="Y206" s="1801"/>
      <c r="Z206" s="1801"/>
      <c r="AA206" s="1801"/>
      <c r="AB206" s="1801"/>
      <c r="AC206" s="1801"/>
      <c r="AD206" s="1801"/>
      <c r="AE206" s="1801"/>
      <c r="AF206" s="1801">
        <v>11</v>
      </c>
    </row>
    <row customHeight="1" ht="11.549999999999999">
      <c r="A207" s="1160"/>
      <c r="B207" s="1801"/>
      <c r="D207" s="1801"/>
      <c r="K207" s="1801"/>
      <c r="N207" s="1801"/>
      <c r="O207" s="1801"/>
      <c r="P207" s="1801"/>
      <c r="Q207" s="1801"/>
      <c r="S207" s="1801"/>
      <c r="T207" s="1801"/>
      <c r="U207" s="1801"/>
      <c r="V207" s="1801"/>
      <c r="W207" s="1801"/>
      <c r="X207" s="1801"/>
      <c r="Y207" s="1801"/>
      <c r="Z207" s="1801"/>
      <c r="AA207" s="1801"/>
      <c r="AB207" s="1801"/>
      <c r="AC207" s="1801"/>
      <c r="AD207" s="1801"/>
      <c r="AE207" s="1801"/>
      <c r="AF207" s="1801">
        <v>11</v>
      </c>
    </row>
    <row customHeight="1" ht="11.549999999999999">
      <c r="A208" s="1160"/>
      <c r="B208" s="1801"/>
      <c r="D208" s="1801"/>
      <c r="K208" s="1801"/>
      <c r="N208" s="1801"/>
      <c r="O208" s="1801"/>
      <c r="P208" s="1801"/>
      <c r="Q208" s="1801"/>
      <c r="S208" s="1801"/>
      <c r="T208" s="1801"/>
      <c r="U208" s="1801"/>
      <c r="V208" s="1801"/>
      <c r="W208" s="1801"/>
      <c r="X208" s="1801"/>
      <c r="Y208" s="1801"/>
      <c r="Z208" s="1801"/>
      <c r="AA208" s="1801"/>
      <c r="AB208" s="1801"/>
      <c r="AC208" s="1801"/>
      <c r="AD208" s="1801"/>
      <c r="AE208" s="1801"/>
      <c r="AF208" s="1801">
        <v>11</v>
      </c>
    </row>
    <row customHeight="1" ht="11.549999999999999">
      <c r="A209" s="1160"/>
      <c r="B209" s="1801"/>
      <c r="D209" s="1801"/>
      <c r="K209" s="1801"/>
      <c r="N209" s="1801"/>
      <c r="O209" s="1801"/>
      <c r="P209" s="1801"/>
      <c r="Q209" s="1801"/>
      <c r="S209" s="1801"/>
      <c r="T209" s="1801"/>
      <c r="U209" s="1801"/>
      <c r="V209" s="1801"/>
      <c r="W209" s="1801"/>
      <c r="X209" s="1801"/>
      <c r="Y209" s="1801"/>
      <c r="Z209" s="1801"/>
      <c r="AA209" s="1801"/>
      <c r="AB209" s="1801"/>
      <c r="AC209" s="1801"/>
      <c r="AD209" s="1801"/>
      <c r="AE209" s="1801"/>
      <c r="AF209" s="1801">
        <v>11</v>
      </c>
    </row>
    <row customHeight="1" ht="11.25" hidden="1">
      <c r="A210" s="1157" t="s">
        <v>85</v>
      </c>
      <c r="B210" s="1330">
        <v>0</v>
      </c>
      <c r="C210" s="1806">
        <v>0</v>
      </c>
      <c r="D210" s="1805">
        <v>3</v>
      </c>
      <c r="E210" s="1801">
        <v>7</v>
      </c>
      <c r="F210" s="1801">
        <v>54</v>
      </c>
      <c r="G210" s="1801">
        <v>10</v>
      </c>
      <c r="H210" s="1801">
        <v>0</v>
      </c>
      <c r="I210" s="1801">
        <v>40</v>
      </c>
      <c r="J210" s="1801">
        <v>102</v>
      </c>
      <c r="K210" s="1330">
        <v>9</v>
      </c>
      <c r="L210" s="1806">
        <v>5</v>
      </c>
      <c r="M210" s="1806">
        <v>3</v>
      </c>
      <c r="N210" s="1330">
        <v>3</v>
      </c>
      <c r="O210" s="1330">
        <v>3</v>
      </c>
      <c r="P210" s="1330">
        <v>3</v>
      </c>
      <c r="Q210" s="1330">
        <v>3</v>
      </c>
      <c r="R210" s="1806">
        <v>10</v>
      </c>
      <c r="S210" s="1330">
        <v>34</v>
      </c>
      <c r="T210" s="1330">
        <v>9</v>
      </c>
      <c r="U210" s="714">
        <v>8</v>
      </c>
      <c r="V210" s="1330">
        <v>8</v>
      </c>
      <c r="W210" s="1330">
        <v>8</v>
      </c>
      <c r="X210" s="1330">
        <v>8</v>
      </c>
      <c r="Y210" s="1330">
        <v>8</v>
      </c>
      <c r="Z210" s="1330">
        <v>8</v>
      </c>
      <c r="AA210" s="1802">
        <v>8</v>
      </c>
      <c r="AB210" s="1802">
        <v>8</v>
      </c>
      <c r="AC210" s="1802">
        <v>8</v>
      </c>
      <c r="AD210" s="1802">
        <v>8</v>
      </c>
      <c r="AE210" s="1802">
        <v>8</v>
      </c>
      <c r="AF210" s="180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EA5ACB-D6EF-DD9E-D071-1036BDF7555C}"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4764" width="9.140625" hidden="1" customWidth="1"/>
    <col min="2" max="2" style="11993" width="3.57421875" hidden="1" customWidth="1"/>
    <col min="3" max="3" style="11913" width="3.00390625" customWidth="1"/>
    <col min="4" max="4" style="11913" width="7.00390625" customWidth="1"/>
    <col min="5" max="5" style="11913" width="69.00390625" customWidth="1"/>
    <col min="6" max="6" style="11913" width="10.00390625" customWidth="1"/>
    <col min="7" max="8" style="11913" width="44.00390625" hidden="1" customWidth="1"/>
    <col min="9" max="9" style="11913" width="44.00390625" customWidth="1"/>
    <col min="10" max="10" style="11913" width="43.00390625" customWidth="1"/>
    <col min="11" max="11" style="11913" width="73.00390625" customWidth="1"/>
    <col min="12" max="12" style="11913" width="3.00390625" customWidth="1"/>
    <col min="13" max="23" style="11913" width="10.00390625" customWidth="1"/>
    <col min="24" max="24" style="11913" width="10.57421875" hidden="1"/>
  </cols>
  <sheetData>
    <row s="11992" customFormat="1" customHeight="1" ht="22.5" hidden="1">
      <c r="A1" s="706"/>
      <c r="B1" s="681"/>
      <c r="G1" s="587">
        <v>4</v>
      </c>
      <c r="I1" s="587">
        <v>4</v>
      </c>
      <c r="K1" s="587">
        <v>5</v>
      </c>
      <c r="X1" s="587" t="s">
        <v>14</v>
      </c>
    </row>
    <row customHeight="1" ht="3">
      <c r="X2" s="675">
        <v>3</v>
      </c>
    </row>
    <row customHeight="1" ht="78.75">
      <c r="D3" s="240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409"/>
      <c r="F3" s="2410"/>
      <c r="X3" s="675">
        <v>75</v>
      </c>
    </row>
    <row s="11913" customFormat="1" customHeight="1" ht="21">
      <c r="A4" s="1121"/>
      <c r="B4" s="681"/>
      <c r="D4" s="2384" t="str">
        <f>IF(org=0,"Не определено",org)</f>
        <v>Филиал "Шатурская ГРЭС" ПАО "Юнипро"</v>
      </c>
      <c r="E4" s="2385"/>
      <c r="F4" s="2386"/>
      <c r="X4" s="928">
        <v>20</v>
      </c>
    </row>
    <row customHeight="1" ht="11.549999999999999">
      <c r="C5" s="679"/>
      <c r="D5" s="758"/>
      <c r="E5" s="758"/>
      <c r="F5" s="758"/>
      <c r="G5" s="758"/>
      <c r="H5" s="922"/>
      <c r="I5" s="758"/>
      <c r="J5" s="922"/>
      <c r="K5" s="758"/>
      <c r="X5" s="675">
        <v>11</v>
      </c>
    </row>
    <row customHeight="1" ht="1.05">
      <c r="C6" s="679"/>
      <c r="D6" s="679"/>
      <c r="E6" s="692"/>
      <c r="F6" s="784"/>
      <c r="G6" s="1192"/>
      <c r="H6" s="1192"/>
      <c r="I6" s="1192" t="s">
        <v>120</v>
      </c>
      <c r="J6" s="1192"/>
      <c r="X6" s="675">
        <v>1</v>
      </c>
    </row>
    <row customHeight="1" ht="11.549999999999999">
      <c r="D7" s="881"/>
      <c r="E7" s="2537" t="s">
        <v>108</v>
      </c>
      <c r="F7" s="2538"/>
      <c r="G7" s="2563" t="str">
        <f>IF(G6="","",INDEX(DIFFERENTIATION_UNMERGE_VD,MATCH(G6,DIFFERENTIATION_ID_DIFF,0)))</f>
        <v/>
      </c>
      <c r="H7" s="2564"/>
      <c r="I7" s="2563">
        <f>IF(I6="","",INDEX(DIFFERENTIATION_UNMERGE_VD,MATCH(I6,DIFFERENTIATION_ID_DIFF,0)))</f>
        <v>0</v>
      </c>
      <c r="J7" s="2564"/>
      <c r="K7" s="2345"/>
      <c r="L7" s="679"/>
      <c r="X7" s="675">
        <v>11</v>
      </c>
    </row>
    <row customHeight="1" ht="11.549999999999999">
      <c r="A8" s="874"/>
      <c r="D8" s="881"/>
      <c r="E8" s="2537" t="s">
        <v>579</v>
      </c>
      <c r="F8" s="2538"/>
      <c r="G8" s="2563" t="str">
        <f>IF(G6="","",INDEX(DIFFERENTIATION_UNMERGE_AREA,MATCH(G6,DIFFERENTIATION_ID_DIFF,0)))</f>
        <v/>
      </c>
      <c r="H8" s="2564"/>
      <c r="I8" s="2563" t="str">
        <f>IF(I6="","",INDEX(DIFFERENTIATION_UNMERGE_AREA,MATCH(I6,DIFFERENTIATION_ID_DIFF,0)))</f>
        <v/>
      </c>
      <c r="J8" s="2564"/>
      <c r="K8" s="2369"/>
      <c r="L8" s="679"/>
      <c r="X8" s="675">
        <v>11</v>
      </c>
    </row>
    <row customHeight="1" ht="11.549999999999999">
      <c r="A9" s="874"/>
      <c r="D9" s="881"/>
      <c r="E9" s="2537" t="s">
        <v>580</v>
      </c>
      <c r="F9" s="2538"/>
      <c r="G9" s="2563" t="str">
        <f>IF(G6="","",INDEX(DIFFERENTIATION_UNMERGE_SYSTEM,MATCH(G6,DIFFERENTIATION_ID_DIFF,0)))</f>
        <v/>
      </c>
      <c r="H9" s="2564"/>
      <c r="I9" s="2563" t="str">
        <f>IF(I6="","",INDEX(DIFFERENTIATION_UNMERGE_SYSTEM,MATCH(I6,DIFFERENTIATION_ID_DIFF,0)))</f>
        <v>без дифференциации</v>
      </c>
      <c r="J9" s="2564"/>
      <c r="K9" s="2369"/>
      <c r="L9" s="679"/>
      <c r="X9" s="675">
        <v>11</v>
      </c>
    </row>
    <row s="11913" customFormat="1" customHeight="1" ht="11.549999999999999">
      <c r="A10" s="1191"/>
      <c r="B10" s="681"/>
      <c r="D10" s="2271" t="s">
        <v>312</v>
      </c>
      <c r="E10" s="2272"/>
      <c r="F10" s="2272"/>
      <c r="G10" s="2272"/>
      <c r="H10" s="2272"/>
      <c r="I10" s="2272"/>
      <c r="J10" s="2273"/>
      <c r="K10" s="2369"/>
      <c r="L10" s="679"/>
      <c r="X10" s="928">
        <v>11</v>
      </c>
    </row>
    <row s="11913" customFormat="1" customHeight="1" ht="24">
      <c r="A11" s="2555"/>
      <c r="B11" s="2555"/>
      <c r="C11" s="827"/>
      <c r="D11" s="873" t="s">
        <v>91</v>
      </c>
      <c r="E11" s="875" t="s">
        <v>821</v>
      </c>
      <c r="F11" s="875" t="s">
        <v>581</v>
      </c>
      <c r="G11" s="635" t="s">
        <v>315</v>
      </c>
      <c r="H11" s="635" t="s">
        <v>402</v>
      </c>
      <c r="I11" s="977" t="s">
        <v>315</v>
      </c>
      <c r="J11" s="978" t="s">
        <v>402</v>
      </c>
      <c r="K11" s="2402"/>
      <c r="L11" s="828"/>
      <c r="X11" s="679">
        <v>23</v>
      </c>
    </row>
    <row s="11993" customFormat="1" customHeight="1" ht="10.5">
      <c r="A12" s="1122"/>
      <c r="D12" s="1195" t="s">
        <v>112</v>
      </c>
      <c r="E12" s="1195" t="s">
        <v>113</v>
      </c>
      <c r="F12" s="1195" t="s">
        <v>93</v>
      </c>
      <c r="G12" s="1196" t="str">
        <f>G1&amp;".1"</f>
        <v>4.1</v>
      </c>
      <c r="H12" s="1196" t="str">
        <f>G1&amp;".2"</f>
        <v>4.2</v>
      </c>
      <c r="I12" s="1196" t="str">
        <f>I1&amp;".1"</f>
        <v>4.1</v>
      </c>
      <c r="J12" s="1196" t="str">
        <f>I1&amp;".2"</f>
        <v>4.2</v>
      </c>
      <c r="K12" s="1196"/>
      <c r="X12" s="681">
        <v>10</v>
      </c>
    </row>
    <row customHeight="1" ht="22.5">
      <c r="A13" s="2562" t="s">
        <v>822</v>
      </c>
      <c r="D13" s="1123" t="s">
        <v>112</v>
      </c>
      <c r="E13" s="449" t="s">
        <v>823</v>
      </c>
      <c r="F13" s="830" t="s">
        <v>824</v>
      </c>
      <c r="G13" s="727"/>
      <c r="H13" s="831"/>
      <c r="I13" s="727"/>
      <c r="J13" s="831"/>
      <c r="K13" s="459" t="s">
        <v>825</v>
      </c>
      <c r="L13" s="890"/>
      <c r="X13" s="675">
        <v>0</v>
      </c>
    </row>
    <row customHeight="1" ht="22.5">
      <c r="A14" s="2562"/>
      <c r="D14" s="709" t="s">
        <v>113</v>
      </c>
      <c r="E14" s="449" t="s">
        <v>826</v>
      </c>
      <c r="F14" s="830" t="s">
        <v>827</v>
      </c>
      <c r="G14" s="727"/>
      <c r="H14" s="832"/>
      <c r="I14" s="727"/>
      <c r="J14" s="832"/>
      <c r="K14" s="459" t="s">
        <v>828</v>
      </c>
      <c r="L14" s="890"/>
      <c r="X14" s="675">
        <v>0</v>
      </c>
    </row>
    <row s="11913" customFormat="1" customHeight="1" ht="78.75">
      <c r="A15" s="2562"/>
      <c r="B15" s="681"/>
      <c r="D15" s="1123" t="s">
        <v>93</v>
      </c>
      <c r="E15" s="877" t="s">
        <v>829</v>
      </c>
      <c r="F15" s="1120" t="s">
        <v>318</v>
      </c>
      <c r="G15" s="1120" t="s">
        <v>318</v>
      </c>
      <c r="H15" s="276"/>
      <c r="I15" s="1120" t="s">
        <v>318</v>
      </c>
      <c r="J15" s="276"/>
      <c r="K15" s="459" t="s">
        <v>830</v>
      </c>
      <c r="L15" s="890"/>
      <c r="X15" s="928">
        <v>0</v>
      </c>
    </row>
    <row s="11913" customFormat="1" customHeight="1" ht="22.5">
      <c r="A16" s="2562"/>
      <c r="B16" s="681"/>
      <c r="D16" s="1123" t="s">
        <v>336</v>
      </c>
      <c r="E16" s="1124" t="s">
        <v>831</v>
      </c>
      <c r="F16" s="1120" t="s">
        <v>832</v>
      </c>
      <c r="G16" s="987"/>
      <c r="H16" s="276"/>
      <c r="I16" s="987"/>
      <c r="J16" s="276"/>
      <c r="K16" s="459"/>
      <c r="L16" s="890"/>
      <c r="X16" s="928">
        <v>0</v>
      </c>
    </row>
    <row s="11913" customFormat="1" customHeight="1" ht="22.5">
      <c r="A17" s="2562"/>
      <c r="B17" s="681"/>
      <c r="D17" s="1123" t="s">
        <v>344</v>
      </c>
      <c r="E17" s="1124" t="s">
        <v>833</v>
      </c>
      <c r="F17" s="1120" t="s">
        <v>834</v>
      </c>
      <c r="G17" s="987"/>
      <c r="H17" s="276"/>
      <c r="I17" s="987"/>
      <c r="J17" s="276"/>
      <c r="K17" s="459"/>
      <c r="L17" s="890"/>
      <c r="X17" s="928">
        <v>0</v>
      </c>
    </row>
    <row s="11913" customFormat="1" customHeight="1" ht="33.75">
      <c r="A18" s="2562"/>
      <c r="B18" s="681"/>
      <c r="D18" s="1123" t="s">
        <v>346</v>
      </c>
      <c r="E18" s="1124" t="s">
        <v>835</v>
      </c>
      <c r="F18" s="1120" t="s">
        <v>586</v>
      </c>
      <c r="G18" s="850"/>
      <c r="H18" s="276"/>
      <c r="I18" s="850"/>
      <c r="J18" s="276"/>
      <c r="K18" s="459"/>
      <c r="L18" s="890"/>
      <c r="X18" s="928">
        <v>0</v>
      </c>
    </row>
    <row customHeight="1" ht="101.25">
      <c r="A19" s="2562"/>
      <c r="D19" s="1123" t="s">
        <v>94</v>
      </c>
      <c r="E19" s="449" t="s">
        <v>836</v>
      </c>
      <c r="F19" s="830" t="s">
        <v>561</v>
      </c>
      <c r="G19" s="833"/>
      <c r="H19" s="832"/>
      <c r="I19" s="1125"/>
      <c r="J19" s="832"/>
      <c r="K19" s="459" t="s">
        <v>837</v>
      </c>
      <c r="L19" s="890"/>
      <c r="X19" s="675">
        <v>0</v>
      </c>
    </row>
    <row s="11913" customFormat="1" customHeight="1" ht="18.75">
      <c r="A20" s="2562"/>
      <c r="C20" s="1126"/>
      <c r="D20" s="1123" t="s">
        <v>768</v>
      </c>
      <c r="E20" s="1124" t="s">
        <v>838</v>
      </c>
      <c r="F20" s="1120" t="s">
        <v>318</v>
      </c>
      <c r="G20" s="1120" t="s">
        <v>318</v>
      </c>
      <c r="H20" s="1119" t="s">
        <v>318</v>
      </c>
      <c r="I20" s="1120" t="s">
        <v>318</v>
      </c>
      <c r="J20" s="1119" t="s">
        <v>318</v>
      </c>
      <c r="K20" s="1118"/>
      <c r="L20" s="890"/>
      <c r="W20" s="845"/>
      <c r="X20" s="928">
        <v>0</v>
      </c>
    </row>
    <row s="11913" customFormat="1" customHeight="1" ht="33.75">
      <c r="A21" s="2562"/>
      <c r="C21" s="1126"/>
      <c r="D21" s="1123" t="s">
        <v>771</v>
      </c>
      <c r="E21" s="746" t="s">
        <v>839</v>
      </c>
      <c r="F21" s="1120" t="s">
        <v>840</v>
      </c>
      <c r="G21" s="850"/>
      <c r="H21" s="276"/>
      <c r="I21" s="850"/>
      <c r="J21" s="276"/>
      <c r="K21" s="1118"/>
      <c r="L21" s="890"/>
      <c r="W21" s="845"/>
      <c r="X21" s="928">
        <v>0</v>
      </c>
    </row>
    <row s="11913" customFormat="1" customHeight="1" ht="33.75">
      <c r="A22" s="2562"/>
      <c r="C22" s="1126"/>
      <c r="D22" s="1123" t="s">
        <v>774</v>
      </c>
      <c r="E22" s="746" t="s">
        <v>841</v>
      </c>
      <c r="F22" s="1120" t="s">
        <v>842</v>
      </c>
      <c r="G22" s="850"/>
      <c r="H22" s="276"/>
      <c r="I22" s="850"/>
      <c r="J22" s="276"/>
      <c r="K22" s="1118"/>
      <c r="L22" s="890"/>
      <c r="W22" s="845"/>
      <c r="X22" s="928">
        <v>0</v>
      </c>
    </row>
    <row s="11913" customFormat="1" customHeight="1" ht="22.5">
      <c r="A23" s="2562"/>
      <c r="C23" s="1126"/>
      <c r="D23" s="1123" t="s">
        <v>810</v>
      </c>
      <c r="E23" s="1124" t="s">
        <v>843</v>
      </c>
      <c r="F23" s="1120" t="s">
        <v>318</v>
      </c>
      <c r="G23" s="1120" t="s">
        <v>318</v>
      </c>
      <c r="H23" s="1119" t="s">
        <v>318</v>
      </c>
      <c r="I23" s="1120" t="s">
        <v>318</v>
      </c>
      <c r="J23" s="1119" t="s">
        <v>318</v>
      </c>
      <c r="K23" s="1118"/>
      <c r="L23" s="890"/>
      <c r="W23" s="845"/>
      <c r="X23" s="928">
        <v>0</v>
      </c>
    </row>
    <row s="11913" customFormat="1" customHeight="1" ht="22.5">
      <c r="A24" s="2562"/>
      <c r="C24" s="1126"/>
      <c r="D24" s="1123" t="s">
        <v>844</v>
      </c>
      <c r="E24" s="746" t="s">
        <v>845</v>
      </c>
      <c r="F24" s="1120" t="s">
        <v>846</v>
      </c>
      <c r="G24" s="850"/>
      <c r="H24" s="856"/>
      <c r="I24" s="850"/>
      <c r="J24" s="856"/>
      <c r="K24" s="1118"/>
      <c r="L24" s="890"/>
      <c r="W24" s="845"/>
      <c r="X24" s="928">
        <v>0</v>
      </c>
    </row>
    <row s="11913" customFormat="1" customHeight="1" ht="22.5">
      <c r="A25" s="2562"/>
      <c r="C25" s="1126"/>
      <c r="D25" s="1123" t="s">
        <v>847</v>
      </c>
      <c r="E25" s="746" t="s">
        <v>848</v>
      </c>
      <c r="F25" s="1120" t="s">
        <v>318</v>
      </c>
      <c r="G25" s="1120" t="s">
        <v>318</v>
      </c>
      <c r="H25" s="1119" t="s">
        <v>318</v>
      </c>
      <c r="I25" s="1120" t="s">
        <v>318</v>
      </c>
      <c r="J25" s="1119" t="s">
        <v>318</v>
      </c>
      <c r="K25" s="1118"/>
      <c r="L25" s="890"/>
      <c r="W25" s="845"/>
      <c r="X25" s="928">
        <v>0</v>
      </c>
    </row>
    <row s="11913" customFormat="1" customHeight="1" ht="18.75">
      <c r="A26" s="2562"/>
      <c r="C26" s="1126"/>
      <c r="D26" s="1123" t="s">
        <v>849</v>
      </c>
      <c r="E26" s="723" t="s">
        <v>850</v>
      </c>
      <c r="F26" s="1120" t="s">
        <v>851</v>
      </c>
      <c r="G26" s="850"/>
      <c r="H26" s="856"/>
      <c r="I26" s="850"/>
      <c r="J26" s="856"/>
      <c r="K26" s="1118"/>
      <c r="L26" s="890"/>
      <c r="W26" s="845"/>
      <c r="X26" s="928">
        <v>0</v>
      </c>
    </row>
    <row s="11913" customFormat="1" customHeight="1" ht="18.75">
      <c r="A27" s="2562"/>
      <c r="C27" s="1126"/>
      <c r="D27" s="1123" t="s">
        <v>852</v>
      </c>
      <c r="E27" s="723" t="s">
        <v>853</v>
      </c>
      <c r="F27" s="1120" t="s">
        <v>854</v>
      </c>
      <c r="G27" s="850"/>
      <c r="H27" s="856"/>
      <c r="I27" s="850"/>
      <c r="J27" s="856"/>
      <c r="K27" s="1118"/>
      <c r="L27" s="890"/>
      <c r="W27" s="845"/>
      <c r="X27" s="928">
        <v>0</v>
      </c>
    </row>
    <row s="11913" customFormat="1" customHeight="1" ht="18.75">
      <c r="A28" s="2562"/>
      <c r="C28" s="1126"/>
      <c r="D28" s="1123" t="s">
        <v>855</v>
      </c>
      <c r="E28" s="746" t="s">
        <v>856</v>
      </c>
      <c r="F28" s="1120" t="s">
        <v>318</v>
      </c>
      <c r="G28" s="1120" t="s">
        <v>318</v>
      </c>
      <c r="H28" s="1119" t="s">
        <v>318</v>
      </c>
      <c r="I28" s="1120" t="s">
        <v>318</v>
      </c>
      <c r="J28" s="1119" t="s">
        <v>318</v>
      </c>
      <c r="K28" s="1118"/>
      <c r="L28" s="890"/>
      <c r="W28" s="845"/>
      <c r="X28" s="928">
        <v>0</v>
      </c>
    </row>
    <row s="11913" customFormat="1" customHeight="1" ht="18.75">
      <c r="A29" s="2562"/>
      <c r="C29" s="1126"/>
      <c r="D29" s="1123" t="s">
        <v>857</v>
      </c>
      <c r="E29" s="723" t="s">
        <v>850</v>
      </c>
      <c r="F29" s="1120" t="s">
        <v>858</v>
      </c>
      <c r="G29" s="850"/>
      <c r="H29" s="856"/>
      <c r="I29" s="850"/>
      <c r="J29" s="856"/>
      <c r="K29" s="1118"/>
      <c r="L29" s="890"/>
      <c r="W29" s="845"/>
      <c r="X29" s="928">
        <v>0</v>
      </c>
    </row>
    <row s="11913" customFormat="1" customHeight="1" ht="18.75">
      <c r="A30" s="2562"/>
      <c r="C30" s="1126"/>
      <c r="D30" s="1123" t="s">
        <v>859</v>
      </c>
      <c r="E30" s="723" t="s">
        <v>860</v>
      </c>
      <c r="F30" s="1120" t="s">
        <v>861</v>
      </c>
      <c r="G30" s="850"/>
      <c r="H30" s="856"/>
      <c r="I30" s="850"/>
      <c r="J30" s="856"/>
      <c r="K30" s="1118"/>
      <c r="L30" s="890"/>
      <c r="W30" s="845"/>
      <c r="X30" s="928">
        <v>0</v>
      </c>
    </row>
    <row customHeight="1" ht="126.75">
      <c r="A31" s="2562"/>
      <c r="D31" s="1123" t="s">
        <v>114</v>
      </c>
      <c r="E31" s="449" t="s">
        <v>862</v>
      </c>
      <c r="F31" s="830" t="s">
        <v>573</v>
      </c>
      <c r="G31" s="727"/>
      <c r="H31" s="832"/>
      <c r="I31" s="727"/>
      <c r="J31" s="832"/>
      <c r="K31" s="459" t="s">
        <v>863</v>
      </c>
      <c r="L31" s="890"/>
      <c r="X31" s="675">
        <v>0</v>
      </c>
    </row>
    <row customHeight="1" ht="56.25">
      <c r="A32" s="2562"/>
      <c r="D32" s="1123" t="s">
        <v>95</v>
      </c>
      <c r="E32" s="449" t="s">
        <v>864</v>
      </c>
      <c r="F32" s="709" t="s">
        <v>834</v>
      </c>
      <c r="G32" s="727"/>
      <c r="H32" s="832"/>
      <c r="I32" s="727"/>
      <c r="J32" s="832"/>
      <c r="K32" s="459" t="s">
        <v>865</v>
      </c>
      <c r="L32" s="890"/>
      <c r="X32" s="675">
        <v>0</v>
      </c>
    </row>
    <row customHeight="1" ht="11.25">
      <c r="A33" s="2562"/>
      <c r="E33" s="834"/>
      <c r="F33" s="351"/>
      <c r="G33" s="351"/>
      <c r="H33" s="351"/>
      <c r="I33" s="351"/>
      <c r="J33" s="351"/>
      <c r="K33" s="351"/>
      <c r="X33" s="675">
        <v>0</v>
      </c>
    </row>
    <row customHeight="1" ht="12.75">
      <c r="A34" s="2562"/>
      <c r="D34" s="235">
        <v>1</v>
      </c>
      <c r="E34" s="505" t="s">
        <v>866</v>
      </c>
      <c r="X34" s="675">
        <v>0</v>
      </c>
    </row>
    <row customHeight="1" ht="11.25">
      <c r="A35" s="2562"/>
      <c r="D35" s="539"/>
      <c r="E35" s="505" t="s">
        <v>867</v>
      </c>
      <c r="X35" s="675">
        <v>0</v>
      </c>
    </row>
    <row s="11913" customFormat="1" customHeight="1" ht="11.549999999999999">
      <c r="A36" s="1203"/>
      <c r="B36" s="688"/>
      <c r="D36" s="1204"/>
      <c r="E36" s="1205"/>
      <c r="X36" s="679">
        <v>11</v>
      </c>
    </row>
    <row s="11913" customFormat="1" customHeight="1" ht="22.5" hidden="1">
      <c r="A37" s="2562" t="s">
        <v>868</v>
      </c>
      <c r="B37" s="681"/>
      <c r="D37" s="1123">
        <v>1</v>
      </c>
      <c r="E37" s="877" t="s">
        <v>869</v>
      </c>
      <c r="F37" s="830" t="s">
        <v>824</v>
      </c>
      <c r="G37" s="727"/>
      <c r="H37" s="689"/>
      <c r="I37" s="727"/>
      <c r="J37" s="689"/>
      <c r="K37" s="459" t="s">
        <v>870</v>
      </c>
      <c r="X37" s="928">
        <v>0</v>
      </c>
    </row>
    <row s="11913" customFormat="1" customHeight="1" ht="22.5" hidden="1">
      <c r="A38" s="2562"/>
      <c r="B38" s="681"/>
      <c r="D38" s="839" t="s">
        <v>113</v>
      </c>
      <c r="E38" s="1202" t="s">
        <v>871</v>
      </c>
      <c r="F38" s="1206" t="s">
        <v>561</v>
      </c>
      <c r="G38" s="1206" t="s">
        <v>561</v>
      </c>
      <c r="H38" s="1200"/>
      <c r="I38" s="1206" t="s">
        <v>561</v>
      </c>
      <c r="J38" s="1200"/>
      <c r="K38" s="1201"/>
      <c r="X38" s="928">
        <v>0</v>
      </c>
    </row>
    <row s="11913" customFormat="1" customHeight="1" ht="33.75" hidden="1">
      <c r="A39" s="2562"/>
      <c r="B39" s="681"/>
      <c r="D39" s="835" t="s">
        <v>726</v>
      </c>
      <c r="E39" s="893" t="s">
        <v>872</v>
      </c>
      <c r="F39" s="830" t="s">
        <v>873</v>
      </c>
      <c r="G39" s="838"/>
      <c r="H39" s="1193"/>
      <c r="I39" s="838"/>
      <c r="J39" s="1193"/>
      <c r="K39" s="459" t="s">
        <v>874</v>
      </c>
      <c r="X39" s="928">
        <v>0</v>
      </c>
    </row>
    <row s="11913" customFormat="1" customHeight="1" ht="33.75" hidden="1">
      <c r="A40" s="2562"/>
      <c r="B40" s="681"/>
      <c r="D40" s="835" t="s">
        <v>729</v>
      </c>
      <c r="E40" s="893" t="s">
        <v>875</v>
      </c>
      <c r="F40" s="1197" t="s">
        <v>876</v>
      </c>
      <c r="G40" s="911"/>
      <c r="H40" s="1193"/>
      <c r="I40" s="911"/>
      <c r="J40" s="1193"/>
      <c r="K40" s="459" t="s">
        <v>877</v>
      </c>
      <c r="X40" s="928">
        <v>0</v>
      </c>
    </row>
    <row s="11913" customFormat="1" customHeight="1" ht="22.5" hidden="1">
      <c r="A41" s="2562"/>
      <c r="B41" s="681"/>
      <c r="D41" s="835" t="s">
        <v>93</v>
      </c>
      <c r="E41" s="892" t="s">
        <v>878</v>
      </c>
      <c r="F41" s="830" t="s">
        <v>561</v>
      </c>
      <c r="G41" s="830" t="s">
        <v>561</v>
      </c>
      <c r="H41" s="1194"/>
      <c r="I41" s="830" t="s">
        <v>561</v>
      </c>
      <c r="J41" s="1194"/>
      <c r="K41" s="472"/>
      <c r="X41" s="928">
        <v>0</v>
      </c>
    </row>
    <row s="11913" customFormat="1" customHeight="1" ht="45" hidden="1">
      <c r="A42" s="2562"/>
      <c r="B42" s="681"/>
      <c r="D42" s="835" t="s">
        <v>336</v>
      </c>
      <c r="E42" s="893" t="s">
        <v>879</v>
      </c>
      <c r="F42" s="830" t="s">
        <v>573</v>
      </c>
      <c r="G42" s="727"/>
      <c r="H42" s="1194"/>
      <c r="I42" s="727"/>
      <c r="J42" s="1194"/>
      <c r="K42" s="472" t="s">
        <v>880</v>
      </c>
      <c r="X42" s="928">
        <v>0</v>
      </c>
    </row>
    <row s="11913" customFormat="1" customHeight="1" ht="45" hidden="1">
      <c r="A43" s="2562"/>
      <c r="B43" s="681"/>
      <c r="D43" s="835" t="s">
        <v>344</v>
      </c>
      <c r="E43" s="837" t="s">
        <v>881</v>
      </c>
      <c r="F43" s="1198" t="s">
        <v>573</v>
      </c>
      <c r="G43" s="912"/>
      <c r="H43" s="1193"/>
      <c r="I43" s="912"/>
      <c r="J43" s="1193"/>
      <c r="K43" s="472" t="s">
        <v>882</v>
      </c>
      <c r="X43" s="928">
        <v>0</v>
      </c>
    </row>
    <row s="11913" customFormat="1" customHeight="1" ht="11.25" hidden="1">
      <c r="A44" s="2562"/>
      <c r="B44" s="681"/>
      <c r="D44" s="835" t="s">
        <v>94</v>
      </c>
      <c r="E44" s="836" t="s">
        <v>883</v>
      </c>
      <c r="F44" s="830" t="s">
        <v>873</v>
      </c>
      <c r="G44" s="838"/>
      <c r="H44" s="1193"/>
      <c r="I44" s="838"/>
      <c r="J44" s="1193"/>
      <c r="K44" s="459"/>
      <c r="X44" s="928">
        <v>0</v>
      </c>
    </row>
    <row s="11913" customFormat="1" customHeight="1" ht="11.25" hidden="1">
      <c r="A45" s="2562"/>
      <c r="B45" s="681"/>
      <c r="D45" s="835" t="s">
        <v>768</v>
      </c>
      <c r="E45" s="837" t="s">
        <v>884</v>
      </c>
      <c r="F45" s="830" t="s">
        <v>873</v>
      </c>
      <c r="G45" s="838"/>
      <c r="H45" s="1193"/>
      <c r="I45" s="838"/>
      <c r="J45" s="1193"/>
      <c r="K45" s="459"/>
      <c r="X45" s="928">
        <v>0</v>
      </c>
    </row>
    <row s="11913" customFormat="1" customHeight="1" ht="11.25" hidden="1">
      <c r="A46" s="2562"/>
      <c r="B46" s="681"/>
      <c r="D46" s="835" t="s">
        <v>810</v>
      </c>
      <c r="E46" s="837" t="s">
        <v>885</v>
      </c>
      <c r="F46" s="830" t="s">
        <v>873</v>
      </c>
      <c r="G46" s="838"/>
      <c r="H46" s="1193"/>
      <c r="I46" s="838"/>
      <c r="J46" s="1193"/>
      <c r="K46" s="459"/>
      <c r="X46" s="928">
        <v>0</v>
      </c>
    </row>
    <row s="11913" customFormat="1" customHeight="1" ht="11.25" hidden="1">
      <c r="A47" s="2562"/>
      <c r="B47" s="681"/>
      <c r="D47" s="835" t="s">
        <v>813</v>
      </c>
      <c r="E47" s="837" t="s">
        <v>886</v>
      </c>
      <c r="F47" s="830" t="s">
        <v>873</v>
      </c>
      <c r="G47" s="838"/>
      <c r="H47" s="1193"/>
      <c r="I47" s="838"/>
      <c r="J47" s="1193"/>
      <c r="K47" s="459"/>
      <c r="X47" s="928">
        <v>0</v>
      </c>
    </row>
    <row s="11913" customFormat="1" customHeight="1" ht="11.25" hidden="1">
      <c r="A48" s="2562"/>
      <c r="B48" s="681"/>
      <c r="D48" s="835" t="s">
        <v>887</v>
      </c>
      <c r="E48" s="841" t="s">
        <v>888</v>
      </c>
      <c r="F48" s="830" t="s">
        <v>873</v>
      </c>
      <c r="G48" s="838"/>
      <c r="H48" s="1193"/>
      <c r="I48" s="838"/>
      <c r="J48" s="1193"/>
      <c r="K48" s="459"/>
      <c r="X48" s="928">
        <v>0</v>
      </c>
    </row>
    <row s="11913" customFormat="1" customHeight="1" ht="11.25" hidden="1">
      <c r="A49" s="2562"/>
      <c r="B49" s="681"/>
      <c r="D49" s="835" t="s">
        <v>889</v>
      </c>
      <c r="E49" s="841" t="s">
        <v>890</v>
      </c>
      <c r="F49" s="830" t="s">
        <v>873</v>
      </c>
      <c r="G49" s="838"/>
      <c r="H49" s="1193"/>
      <c r="I49" s="838"/>
      <c r="J49" s="1193"/>
      <c r="K49" s="459"/>
      <c r="X49" s="928">
        <v>0</v>
      </c>
    </row>
    <row s="11913" customFormat="1" customHeight="1" ht="11.25" hidden="1">
      <c r="A50" s="2562"/>
      <c r="B50" s="681"/>
      <c r="D50" s="835" t="s">
        <v>891</v>
      </c>
      <c r="E50" s="837" t="s">
        <v>892</v>
      </c>
      <c r="F50" s="830" t="s">
        <v>873</v>
      </c>
      <c r="G50" s="838"/>
      <c r="H50" s="1193"/>
      <c r="I50" s="838"/>
      <c r="J50" s="1193"/>
      <c r="K50" s="459"/>
      <c r="X50" s="928">
        <v>0</v>
      </c>
    </row>
    <row s="11913" customFormat="1" customHeight="1" ht="11.25" hidden="1">
      <c r="A51" s="2562"/>
      <c r="B51" s="681"/>
      <c r="D51" s="835" t="s">
        <v>893</v>
      </c>
      <c r="E51" s="837" t="s">
        <v>894</v>
      </c>
      <c r="F51" s="830" t="s">
        <v>873</v>
      </c>
      <c r="G51" s="838"/>
      <c r="H51" s="1193"/>
      <c r="I51" s="838"/>
      <c r="J51" s="1193"/>
      <c r="K51" s="459"/>
      <c r="X51" s="928">
        <v>0</v>
      </c>
    </row>
    <row s="11913" customFormat="1" customHeight="1" ht="45" hidden="1">
      <c r="A52" s="2562"/>
      <c r="B52" s="681"/>
      <c r="D52" s="835" t="s">
        <v>114</v>
      </c>
      <c r="E52" s="836" t="s">
        <v>895</v>
      </c>
      <c r="F52" s="830" t="s">
        <v>873</v>
      </c>
      <c r="G52" s="838"/>
      <c r="H52" s="1193"/>
      <c r="I52" s="838"/>
      <c r="J52" s="1193"/>
      <c r="K52" s="459"/>
      <c r="X52" s="928">
        <v>0</v>
      </c>
    </row>
    <row s="11913" customFormat="1" customHeight="1" ht="11.25" hidden="1">
      <c r="A53" s="2562"/>
      <c r="B53" s="681"/>
      <c r="D53" s="835" t="s">
        <v>325</v>
      </c>
      <c r="E53" s="837" t="s">
        <v>884</v>
      </c>
      <c r="F53" s="830" t="s">
        <v>873</v>
      </c>
      <c r="G53" s="838"/>
      <c r="H53" s="1193"/>
      <c r="I53" s="838"/>
      <c r="J53" s="1193"/>
      <c r="K53" s="459"/>
      <c r="X53" s="928">
        <v>0</v>
      </c>
    </row>
    <row s="11913" customFormat="1" customHeight="1" ht="11.25" hidden="1">
      <c r="A54" s="2562"/>
      <c r="B54" s="681"/>
      <c r="D54" s="835" t="s">
        <v>896</v>
      </c>
      <c r="E54" s="837" t="s">
        <v>885</v>
      </c>
      <c r="F54" s="830" t="s">
        <v>873</v>
      </c>
      <c r="G54" s="838"/>
      <c r="H54" s="1193"/>
      <c r="I54" s="838"/>
      <c r="J54" s="1193"/>
      <c r="K54" s="459"/>
      <c r="X54" s="928">
        <v>0</v>
      </c>
    </row>
    <row s="11913" customFormat="1" customHeight="1" ht="11.25" hidden="1">
      <c r="A55" s="2562"/>
      <c r="B55" s="681"/>
      <c r="D55" s="835" t="s">
        <v>897</v>
      </c>
      <c r="E55" s="837" t="s">
        <v>886</v>
      </c>
      <c r="F55" s="830" t="s">
        <v>873</v>
      </c>
      <c r="G55" s="838"/>
      <c r="H55" s="1193"/>
      <c r="I55" s="838"/>
      <c r="J55" s="1193"/>
      <c r="K55" s="459"/>
      <c r="X55" s="928">
        <v>0</v>
      </c>
    </row>
    <row s="11913" customFormat="1" customHeight="1" ht="11.25" hidden="1">
      <c r="A56" s="2562"/>
      <c r="B56" s="681"/>
      <c r="D56" s="835" t="s">
        <v>898</v>
      </c>
      <c r="E56" s="841" t="s">
        <v>888</v>
      </c>
      <c r="F56" s="830" t="s">
        <v>873</v>
      </c>
      <c r="G56" s="838"/>
      <c r="H56" s="1193"/>
      <c r="I56" s="838"/>
      <c r="J56" s="1193"/>
      <c r="K56" s="459"/>
      <c r="X56" s="928">
        <v>0</v>
      </c>
    </row>
    <row s="11913" customFormat="1" customHeight="1" ht="11.25" hidden="1">
      <c r="A57" s="2562"/>
      <c r="B57" s="681"/>
      <c r="D57" s="835" t="s">
        <v>899</v>
      </c>
      <c r="E57" s="841" t="s">
        <v>890</v>
      </c>
      <c r="F57" s="830" t="s">
        <v>873</v>
      </c>
      <c r="G57" s="838"/>
      <c r="H57" s="1193"/>
      <c r="I57" s="838"/>
      <c r="J57" s="1193"/>
      <c r="K57" s="459"/>
      <c r="X57" s="928">
        <v>0</v>
      </c>
    </row>
    <row s="11913" customFormat="1" customHeight="1" ht="11.25" hidden="1">
      <c r="A58" s="2562"/>
      <c r="B58" s="681"/>
      <c r="D58" s="835" t="s">
        <v>900</v>
      </c>
      <c r="E58" s="837" t="s">
        <v>892</v>
      </c>
      <c r="F58" s="830" t="s">
        <v>873</v>
      </c>
      <c r="G58" s="838"/>
      <c r="H58" s="1193"/>
      <c r="I58" s="838"/>
      <c r="J58" s="1193"/>
      <c r="K58" s="459"/>
      <c r="X58" s="928">
        <v>0</v>
      </c>
    </row>
    <row s="11913" customFormat="1" customHeight="1" ht="11.25" hidden="1">
      <c r="A59" s="2562"/>
      <c r="B59" s="681"/>
      <c r="D59" s="835" t="s">
        <v>901</v>
      </c>
      <c r="E59" s="837" t="s">
        <v>894</v>
      </c>
      <c r="F59" s="830" t="s">
        <v>873</v>
      </c>
      <c r="G59" s="838"/>
      <c r="H59" s="1193"/>
      <c r="I59" s="838"/>
      <c r="J59" s="1193"/>
      <c r="K59" s="459"/>
      <c r="X59" s="928">
        <v>0</v>
      </c>
    </row>
    <row s="11913" customFormat="1" customHeight="1" ht="33.75" hidden="1">
      <c r="A60" s="2562"/>
      <c r="B60" s="681"/>
      <c r="D60" s="835" t="s">
        <v>95</v>
      </c>
      <c r="E60" s="836" t="s">
        <v>902</v>
      </c>
      <c r="F60" s="891" t="s">
        <v>573</v>
      </c>
      <c r="G60" s="912"/>
      <c r="H60" s="1193"/>
      <c r="I60" s="912"/>
      <c r="J60" s="1193"/>
      <c r="K60" s="472" t="s">
        <v>903</v>
      </c>
      <c r="X60" s="928">
        <v>0</v>
      </c>
    </row>
    <row s="11913" customFormat="1" customHeight="1" ht="33.75" hidden="1">
      <c r="A61" s="2562"/>
      <c r="B61" s="681"/>
      <c r="D61" s="835" t="s">
        <v>96</v>
      </c>
      <c r="E61" s="836" t="s">
        <v>904</v>
      </c>
      <c r="F61" s="896" t="s">
        <v>834</v>
      </c>
      <c r="G61" s="838"/>
      <c r="H61" s="1193"/>
      <c r="I61" s="838"/>
      <c r="J61" s="1193"/>
      <c r="K61" s="459"/>
      <c r="X61" s="928">
        <v>0</v>
      </c>
    </row>
    <row s="11913" customFormat="1" customHeight="1" ht="22.5" hidden="1">
      <c r="A62" s="2562"/>
      <c r="B62" s="681" t="s">
        <v>603</v>
      </c>
      <c r="D62" s="835" t="s">
        <v>115</v>
      </c>
      <c r="E62" s="836" t="s">
        <v>905</v>
      </c>
      <c r="F62" s="896" t="s">
        <v>318</v>
      </c>
      <c r="G62" s="552"/>
      <c r="H62" s="1193"/>
      <c r="I62" s="552"/>
      <c r="J62" s="1193"/>
      <c r="K62" s="459" t="s">
        <v>646</v>
      </c>
      <c r="X62" s="928">
        <v>0</v>
      </c>
    </row>
    <row s="11913" customFormat="1" customHeight="1" ht="45" hidden="1">
      <c r="A63" s="2562"/>
      <c r="B63" s="681" t="s">
        <v>603</v>
      </c>
      <c r="D63" s="835" t="s">
        <v>906</v>
      </c>
      <c r="E63" s="837" t="s">
        <v>907</v>
      </c>
      <c r="F63" s="891" t="s">
        <v>318</v>
      </c>
      <c r="G63" s="552"/>
      <c r="H63" s="1193"/>
      <c r="I63" s="552"/>
      <c r="J63" s="1193"/>
      <c r="K63" s="459" t="s">
        <v>646</v>
      </c>
      <c r="X63" s="928">
        <v>0</v>
      </c>
    </row>
    <row s="11913" customFormat="1" customHeight="1" ht="11.549999999999999">
      <c r="A64" s="1203"/>
      <c r="B64" s="688"/>
      <c r="D64" s="1204"/>
      <c r="E64" s="1205"/>
      <c r="X64" s="679">
        <v>11</v>
      </c>
    </row>
    <row s="11913" customFormat="1" customHeight="1" ht="22.5" hidden="1">
      <c r="A65" s="2562" t="s">
        <v>908</v>
      </c>
      <c r="B65" s="681"/>
      <c r="D65" s="835">
        <v>1</v>
      </c>
      <c r="E65" s="914" t="s">
        <v>909</v>
      </c>
      <c r="F65" s="910" t="s">
        <v>824</v>
      </c>
      <c r="G65" s="911"/>
      <c r="H65" s="1199"/>
      <c r="I65" s="911"/>
      <c r="J65" s="1199"/>
      <c r="K65" s="471" t="s">
        <v>910</v>
      </c>
      <c r="X65" s="928">
        <v>0</v>
      </c>
    </row>
    <row s="11913" customFormat="1" customHeight="1" ht="56.25" hidden="1">
      <c r="A66" s="2562"/>
      <c r="B66" s="681"/>
      <c r="D66" s="913" t="s">
        <v>113</v>
      </c>
      <c r="E66" s="877" t="s">
        <v>911</v>
      </c>
      <c r="F66" s="830" t="s">
        <v>561</v>
      </c>
      <c r="G66" s="830" t="s">
        <v>561</v>
      </c>
      <c r="H66" s="689"/>
      <c r="I66" s="830" t="s">
        <v>561</v>
      </c>
      <c r="J66" s="689"/>
      <c r="K66" s="459"/>
      <c r="X66" s="928">
        <v>0</v>
      </c>
    </row>
    <row s="11913" customFormat="1" customHeight="1" ht="33.75" hidden="1">
      <c r="A67" s="2562"/>
      <c r="B67" s="681"/>
      <c r="D67" s="913" t="s">
        <v>723</v>
      </c>
      <c r="E67" s="1124" t="s">
        <v>912</v>
      </c>
      <c r="F67" s="830" t="s">
        <v>876</v>
      </c>
      <c r="G67" s="897"/>
      <c r="H67" s="689"/>
      <c r="I67" s="897"/>
      <c r="J67" s="689"/>
      <c r="K67" s="459"/>
      <c r="X67" s="928">
        <v>0</v>
      </c>
    </row>
    <row s="11913" customFormat="1" customHeight="1" ht="22.5" hidden="1">
      <c r="A68" s="2562"/>
      <c r="B68" s="681"/>
      <c r="D68" s="913" t="s">
        <v>319</v>
      </c>
      <c r="E68" s="1124" t="s">
        <v>913</v>
      </c>
      <c r="F68" s="830" t="s">
        <v>876</v>
      </c>
      <c r="G68" s="897"/>
      <c r="H68" s="689"/>
      <c r="I68" s="897"/>
      <c r="J68" s="689"/>
      <c r="K68" s="459"/>
      <c r="X68" s="928">
        <v>0</v>
      </c>
    </row>
    <row s="11913" customFormat="1" customHeight="1" ht="22.5" hidden="1">
      <c r="A69" s="2562"/>
      <c r="B69" s="681"/>
      <c r="D69" s="913" t="s">
        <v>322</v>
      </c>
      <c r="E69" s="1124" t="s">
        <v>914</v>
      </c>
      <c r="F69" s="891" t="s">
        <v>573</v>
      </c>
      <c r="G69" s="912"/>
      <c r="H69" s="689"/>
      <c r="I69" s="912"/>
      <c r="J69" s="689"/>
      <c r="K69" s="459"/>
      <c r="X69" s="928">
        <v>0</v>
      </c>
    </row>
    <row s="11913" customFormat="1" customHeight="1" ht="22.5" hidden="1">
      <c r="A70" s="2562"/>
      <c r="B70" s="681"/>
      <c r="D70" s="913" t="s">
        <v>743</v>
      </c>
      <c r="E70" s="1124" t="s">
        <v>915</v>
      </c>
      <c r="F70" s="891" t="s">
        <v>573</v>
      </c>
      <c r="G70" s="912"/>
      <c r="H70" s="689"/>
      <c r="I70" s="912"/>
      <c r="J70" s="689"/>
      <c r="K70" s="459"/>
      <c r="X70" s="928">
        <v>0</v>
      </c>
    </row>
    <row s="11913" customFormat="1" customHeight="1" ht="22.5" hidden="1">
      <c r="A71" s="2562"/>
      <c r="B71" s="681"/>
      <c r="D71" s="835" t="s">
        <v>93</v>
      </c>
      <c r="E71" s="836" t="s">
        <v>916</v>
      </c>
      <c r="F71" s="830" t="s">
        <v>876</v>
      </c>
      <c r="G71" s="727"/>
      <c r="H71" s="1200"/>
      <c r="I71" s="727"/>
      <c r="J71" s="1200"/>
      <c r="K71" s="472"/>
      <c r="X71" s="928">
        <v>0</v>
      </c>
    </row>
    <row s="11913" customFormat="1" customHeight="1" ht="56.25" hidden="1">
      <c r="A72" s="2562"/>
      <c r="B72" s="681"/>
      <c r="D72" s="835" t="s">
        <v>94</v>
      </c>
      <c r="E72" s="836" t="s">
        <v>917</v>
      </c>
      <c r="F72" s="891" t="s">
        <v>573</v>
      </c>
      <c r="G72" s="912"/>
      <c r="H72" s="1193"/>
      <c r="I72" s="912"/>
      <c r="J72" s="1193"/>
      <c r="K72" s="472"/>
      <c r="X72" s="928">
        <v>0</v>
      </c>
    </row>
    <row s="11913" customFormat="1" customHeight="1" ht="33.75" hidden="1">
      <c r="A73" s="2562"/>
      <c r="B73" s="681"/>
      <c r="D73" s="835" t="s">
        <v>114</v>
      </c>
      <c r="E73" s="836" t="s">
        <v>918</v>
      </c>
      <c r="F73" s="896" t="s">
        <v>834</v>
      </c>
      <c r="G73" s="838"/>
      <c r="H73" s="1193"/>
      <c r="I73" s="838"/>
      <c r="J73" s="1193"/>
      <c r="K73" s="459"/>
      <c r="X73" s="928">
        <v>0</v>
      </c>
    </row>
    <row s="11913" customFormat="1" customHeight="1" ht="22.5" hidden="1">
      <c r="A74" s="2562"/>
      <c r="B74" s="681" t="s">
        <v>603</v>
      </c>
      <c r="D74" s="835" t="s">
        <v>95</v>
      </c>
      <c r="E74" s="836" t="s">
        <v>919</v>
      </c>
      <c r="F74" s="896" t="s">
        <v>318</v>
      </c>
      <c r="G74" s="552"/>
      <c r="H74" s="1193"/>
      <c r="I74" s="552"/>
      <c r="J74" s="1193"/>
      <c r="K74" s="459" t="s">
        <v>646</v>
      </c>
      <c r="X74" s="928">
        <v>0</v>
      </c>
    </row>
    <row s="11913" customFormat="1" customHeight="1" ht="45" hidden="1">
      <c r="A75" s="2562"/>
      <c r="B75" s="681" t="s">
        <v>603</v>
      </c>
      <c r="D75" s="835" t="s">
        <v>667</v>
      </c>
      <c r="E75" s="837" t="s">
        <v>920</v>
      </c>
      <c r="F75" s="891" t="s">
        <v>318</v>
      </c>
      <c r="G75" s="552"/>
      <c r="H75" s="1193"/>
      <c r="I75" s="552"/>
      <c r="J75" s="1193"/>
      <c r="K75" s="459" t="s">
        <v>646</v>
      </c>
      <c r="X75" s="928">
        <v>0</v>
      </c>
    </row>
    <row s="11913" customFormat="1" customHeight="1" ht="11.549999999999999">
      <c r="A76" s="1203"/>
      <c r="B76" s="688"/>
      <c r="D76" s="1204"/>
      <c r="E76" s="1205"/>
      <c r="X76" s="679">
        <v>11</v>
      </c>
    </row>
    <row s="11913" customFormat="1" customHeight="1" ht="11.25" hidden="1">
      <c r="A77" s="2562" t="s">
        <v>921</v>
      </c>
      <c r="B77" s="681"/>
      <c r="D77" s="835">
        <v>1</v>
      </c>
      <c r="E77" s="836" t="s">
        <v>922</v>
      </c>
      <c r="F77" s="891" t="s">
        <v>824</v>
      </c>
      <c r="G77" s="894"/>
      <c r="H77" s="1193"/>
      <c r="I77" s="894"/>
      <c r="J77" s="1193"/>
      <c r="K77" s="459" t="s">
        <v>923</v>
      </c>
      <c r="X77" s="928">
        <v>0</v>
      </c>
    </row>
    <row s="11913" customFormat="1" customHeight="1" ht="11.25" hidden="1">
      <c r="A78" s="2562"/>
      <c r="B78" s="681"/>
      <c r="D78" s="835" t="s">
        <v>113</v>
      </c>
      <c r="E78" s="836" t="s">
        <v>924</v>
      </c>
      <c r="F78" s="891" t="s">
        <v>824</v>
      </c>
      <c r="G78" s="894"/>
      <c r="H78" s="1193"/>
      <c r="I78" s="894"/>
      <c r="J78" s="1193"/>
      <c r="K78" s="459" t="s">
        <v>925</v>
      </c>
      <c r="X78" s="928">
        <v>0</v>
      </c>
    </row>
    <row s="11913" customFormat="1" customHeight="1" ht="22.5" hidden="1">
      <c r="A79" s="2562"/>
      <c r="B79" s="681"/>
      <c r="D79" s="835" t="s">
        <v>93</v>
      </c>
      <c r="E79" s="892" t="s">
        <v>926</v>
      </c>
      <c r="F79" s="830" t="s">
        <v>873</v>
      </c>
      <c r="G79" s="894"/>
      <c r="H79" s="1193"/>
      <c r="I79" s="894"/>
      <c r="J79" s="1193"/>
      <c r="K79" s="459" t="s">
        <v>927</v>
      </c>
      <c r="X79" s="928">
        <v>0</v>
      </c>
    </row>
    <row s="11913" customFormat="1" customHeight="1" ht="11.25" hidden="1">
      <c r="A80" s="2562"/>
      <c r="B80" s="681"/>
      <c r="D80" s="835" t="s">
        <v>336</v>
      </c>
      <c r="E80" s="893" t="s">
        <v>928</v>
      </c>
      <c r="F80" s="830" t="s">
        <v>873</v>
      </c>
      <c r="G80" s="894"/>
      <c r="H80" s="1193"/>
      <c r="I80" s="894"/>
      <c r="J80" s="1193"/>
      <c r="K80" s="459"/>
      <c r="X80" s="928">
        <v>0</v>
      </c>
    </row>
    <row s="11913" customFormat="1" customHeight="1" ht="11.25" hidden="1">
      <c r="A81" s="2562"/>
      <c r="B81" s="681"/>
      <c r="D81" s="835" t="s">
        <v>344</v>
      </c>
      <c r="E81" s="893" t="s">
        <v>929</v>
      </c>
      <c r="F81" s="830" t="s">
        <v>873</v>
      </c>
      <c r="G81" s="894"/>
      <c r="H81" s="1193"/>
      <c r="I81" s="894"/>
      <c r="J81" s="1193"/>
      <c r="K81" s="459"/>
      <c r="X81" s="928">
        <v>0</v>
      </c>
    </row>
    <row s="11913" customFormat="1" customHeight="1" ht="11.25" hidden="1">
      <c r="A82" s="2562"/>
      <c r="B82" s="681"/>
      <c r="D82" s="835" t="s">
        <v>346</v>
      </c>
      <c r="E82" s="893" t="s">
        <v>930</v>
      </c>
      <c r="F82" s="830" t="s">
        <v>873</v>
      </c>
      <c r="G82" s="894"/>
      <c r="H82" s="1193"/>
      <c r="I82" s="894"/>
      <c r="J82" s="1193"/>
      <c r="K82" s="459"/>
      <c r="X82" s="928">
        <v>0</v>
      </c>
    </row>
    <row s="11913" customFormat="1" customHeight="1" ht="11.25" hidden="1">
      <c r="A83" s="2562"/>
      <c r="B83" s="681"/>
      <c r="D83" s="835" t="s">
        <v>348</v>
      </c>
      <c r="E83" s="893" t="s">
        <v>931</v>
      </c>
      <c r="F83" s="830" t="s">
        <v>873</v>
      </c>
      <c r="G83" s="894"/>
      <c r="H83" s="1193"/>
      <c r="I83" s="894"/>
      <c r="J83" s="1193"/>
      <c r="K83" s="459"/>
      <c r="X83" s="928">
        <v>0</v>
      </c>
    </row>
    <row s="11913" customFormat="1" customHeight="1" ht="11.25" hidden="1">
      <c r="A84" s="2562"/>
      <c r="B84" s="681"/>
      <c r="D84" s="835" t="s">
        <v>932</v>
      </c>
      <c r="E84" s="893" t="s">
        <v>933</v>
      </c>
      <c r="F84" s="830" t="s">
        <v>873</v>
      </c>
      <c r="G84" s="894"/>
      <c r="H84" s="1193"/>
      <c r="I84" s="894"/>
      <c r="J84" s="1193"/>
      <c r="K84" s="459"/>
      <c r="X84" s="928">
        <v>0</v>
      </c>
    </row>
    <row s="11913" customFormat="1" customHeight="1" ht="11.25" hidden="1">
      <c r="A85" s="2562"/>
      <c r="B85" s="681"/>
      <c r="D85" s="835" t="s">
        <v>934</v>
      </c>
      <c r="E85" s="893" t="s">
        <v>935</v>
      </c>
      <c r="F85" s="830" t="s">
        <v>873</v>
      </c>
      <c r="G85" s="894"/>
      <c r="H85" s="1193"/>
      <c r="I85" s="894"/>
      <c r="J85" s="1193"/>
      <c r="K85" s="459"/>
      <c r="X85" s="928">
        <v>0</v>
      </c>
    </row>
    <row s="11913" customFormat="1" customHeight="1" ht="11.25" hidden="1">
      <c r="A86" s="2562"/>
      <c r="B86" s="681"/>
      <c r="D86" s="835" t="s">
        <v>936</v>
      </c>
      <c r="E86" s="893" t="s">
        <v>937</v>
      </c>
      <c r="F86" s="830" t="s">
        <v>873</v>
      </c>
      <c r="G86" s="894"/>
      <c r="H86" s="1193"/>
      <c r="I86" s="894"/>
      <c r="J86" s="1193"/>
      <c r="K86" s="459"/>
      <c r="X86" s="928">
        <v>0</v>
      </c>
    </row>
    <row s="11913" customFormat="1" customHeight="1" ht="45" hidden="1">
      <c r="A87" s="2562"/>
      <c r="B87" s="681"/>
      <c r="D87" s="835" t="s">
        <v>94</v>
      </c>
      <c r="E87" s="836" t="s">
        <v>938</v>
      </c>
      <c r="F87" s="830" t="s">
        <v>873</v>
      </c>
      <c r="G87" s="894"/>
      <c r="H87" s="1193"/>
      <c r="I87" s="894"/>
      <c r="J87" s="1193"/>
      <c r="K87" s="459" t="s">
        <v>939</v>
      </c>
      <c r="X87" s="928">
        <v>0</v>
      </c>
    </row>
    <row s="11913" customFormat="1" customHeight="1" ht="11.25" hidden="1">
      <c r="A88" s="2562"/>
      <c r="B88" s="681"/>
      <c r="D88" s="835" t="s">
        <v>768</v>
      </c>
      <c r="E88" s="893" t="s">
        <v>928</v>
      </c>
      <c r="F88" s="830" t="s">
        <v>873</v>
      </c>
      <c r="G88" s="894"/>
      <c r="H88" s="1193"/>
      <c r="I88" s="894"/>
      <c r="J88" s="1193"/>
      <c r="K88" s="459"/>
      <c r="X88" s="928">
        <v>0</v>
      </c>
    </row>
    <row s="11913" customFormat="1" customHeight="1" ht="11.25" hidden="1">
      <c r="A89" s="2562"/>
      <c r="B89" s="681"/>
      <c r="D89" s="835" t="s">
        <v>810</v>
      </c>
      <c r="E89" s="893" t="s">
        <v>929</v>
      </c>
      <c r="F89" s="830" t="s">
        <v>873</v>
      </c>
      <c r="G89" s="894"/>
      <c r="H89" s="1193"/>
      <c r="I89" s="894"/>
      <c r="J89" s="1193"/>
      <c r="K89" s="459"/>
      <c r="X89" s="928">
        <v>0</v>
      </c>
    </row>
    <row s="11913" customFormat="1" customHeight="1" ht="11.25" hidden="1">
      <c r="A90" s="2562"/>
      <c r="B90" s="681"/>
      <c r="D90" s="835" t="s">
        <v>813</v>
      </c>
      <c r="E90" s="893" t="s">
        <v>930</v>
      </c>
      <c r="F90" s="830" t="s">
        <v>873</v>
      </c>
      <c r="G90" s="894"/>
      <c r="H90" s="1193"/>
      <c r="I90" s="894"/>
      <c r="J90" s="1193"/>
      <c r="K90" s="459"/>
      <c r="X90" s="928">
        <v>0</v>
      </c>
    </row>
    <row s="11913" customFormat="1" customHeight="1" ht="11.25" hidden="1">
      <c r="A91" s="2562"/>
      <c r="B91" s="681"/>
      <c r="D91" s="835" t="s">
        <v>891</v>
      </c>
      <c r="E91" s="893" t="s">
        <v>931</v>
      </c>
      <c r="F91" s="830" t="s">
        <v>873</v>
      </c>
      <c r="G91" s="894"/>
      <c r="H91" s="1193"/>
      <c r="I91" s="894"/>
      <c r="J91" s="1193"/>
      <c r="K91" s="459"/>
      <c r="X91" s="928">
        <v>0</v>
      </c>
    </row>
    <row s="11913" customFormat="1" customHeight="1" ht="11.25" hidden="1">
      <c r="A92" s="2562"/>
      <c r="B92" s="681"/>
      <c r="D92" s="835" t="s">
        <v>893</v>
      </c>
      <c r="E92" s="893" t="s">
        <v>933</v>
      </c>
      <c r="F92" s="830" t="s">
        <v>873</v>
      </c>
      <c r="G92" s="894"/>
      <c r="H92" s="1193"/>
      <c r="I92" s="894"/>
      <c r="J92" s="1193"/>
      <c r="K92" s="459"/>
      <c r="X92" s="928">
        <v>0</v>
      </c>
    </row>
    <row s="11913" customFormat="1" customHeight="1" ht="11.25" hidden="1">
      <c r="A93" s="2562"/>
      <c r="B93" s="681"/>
      <c r="D93" s="835" t="s">
        <v>940</v>
      </c>
      <c r="E93" s="893" t="s">
        <v>935</v>
      </c>
      <c r="F93" s="830" t="s">
        <v>873</v>
      </c>
      <c r="G93" s="894"/>
      <c r="H93" s="1193"/>
      <c r="I93" s="894"/>
      <c r="J93" s="1193"/>
      <c r="K93" s="459"/>
      <c r="X93" s="928">
        <v>0</v>
      </c>
    </row>
    <row s="11913" customFormat="1" customHeight="1" ht="11.25" hidden="1">
      <c r="A94" s="2562"/>
      <c r="B94" s="681"/>
      <c r="D94" s="835" t="s">
        <v>941</v>
      </c>
      <c r="E94" s="893" t="s">
        <v>937</v>
      </c>
      <c r="F94" s="830" t="s">
        <v>873</v>
      </c>
      <c r="G94" s="894"/>
      <c r="H94" s="1193"/>
      <c r="I94" s="894"/>
      <c r="J94" s="1193"/>
      <c r="K94" s="459"/>
      <c r="X94" s="928">
        <v>0</v>
      </c>
    </row>
    <row s="11913" customFormat="1" customHeight="1" ht="24.75" hidden="1">
      <c r="A95" s="2562"/>
      <c r="B95" s="681"/>
      <c r="D95" s="835" t="s">
        <v>114</v>
      </c>
      <c r="E95" s="836" t="s">
        <v>942</v>
      </c>
      <c r="F95" s="895" t="s">
        <v>573</v>
      </c>
      <c r="G95" s="897"/>
      <c r="H95" s="1193"/>
      <c r="I95" s="897"/>
      <c r="J95" s="1193"/>
      <c r="K95" s="459" t="s">
        <v>943</v>
      </c>
      <c r="X95" s="928">
        <v>0</v>
      </c>
    </row>
    <row s="11913" customFormat="1" customHeight="1" ht="33.75" hidden="1">
      <c r="A96" s="2562"/>
      <c r="B96" s="681"/>
      <c r="D96" s="835" t="s">
        <v>95</v>
      </c>
      <c r="E96" s="836" t="s">
        <v>944</v>
      </c>
      <c r="F96" s="896" t="s">
        <v>834</v>
      </c>
      <c r="G96" s="898"/>
      <c r="H96" s="1193"/>
      <c r="I96" s="898"/>
      <c r="J96" s="1193"/>
      <c r="K96" s="459"/>
      <c r="X96" s="928">
        <v>0</v>
      </c>
    </row>
    <row s="11913" customFormat="1" customHeight="1" ht="22.5" hidden="1">
      <c r="A97" s="2562"/>
      <c r="B97" s="681" t="s">
        <v>603</v>
      </c>
      <c r="D97" s="835" t="s">
        <v>96</v>
      </c>
      <c r="E97" s="836" t="s">
        <v>945</v>
      </c>
      <c r="F97" s="896" t="s">
        <v>318</v>
      </c>
      <c r="G97" s="555"/>
      <c r="H97" s="1193"/>
      <c r="I97" s="555"/>
      <c r="J97" s="1193"/>
      <c r="K97" s="459" t="s">
        <v>646</v>
      </c>
      <c r="X97" s="928">
        <v>0</v>
      </c>
    </row>
    <row s="11913" customFormat="1" customHeight="1" ht="45" hidden="1">
      <c r="A98" s="2562"/>
      <c r="B98" s="681" t="s">
        <v>603</v>
      </c>
      <c r="D98" s="835" t="s">
        <v>946</v>
      </c>
      <c r="E98" s="837" t="s">
        <v>947</v>
      </c>
      <c r="F98" s="891" t="s">
        <v>318</v>
      </c>
      <c r="G98" s="555"/>
      <c r="H98" s="1193"/>
      <c r="I98" s="555"/>
      <c r="J98" s="1193"/>
      <c r="K98" s="459" t="s">
        <v>646</v>
      </c>
      <c r="X98" s="928">
        <v>0</v>
      </c>
    </row>
    <row s="11913" customFormat="1" customHeight="1" ht="95.25" hidden="1">
      <c r="A99" s="2562"/>
      <c r="B99" s="681" t="s">
        <v>603</v>
      </c>
      <c r="D99" s="835" t="s">
        <v>115</v>
      </c>
      <c r="E99" s="836" t="s">
        <v>948</v>
      </c>
      <c r="F99" s="891" t="s">
        <v>318</v>
      </c>
      <c r="G99" s="555"/>
      <c r="H99" s="1193"/>
      <c r="I99" s="555"/>
      <c r="J99" s="1193"/>
      <c r="K99" s="459" t="s">
        <v>646</v>
      </c>
      <c r="X99" s="928">
        <v>0</v>
      </c>
    </row>
    <row s="11913" customFormat="1" customHeight="1" ht="22.5" hidden="1">
      <c r="A100" s="2562"/>
      <c r="B100" s="681" t="s">
        <v>603</v>
      </c>
      <c r="D100" s="835" t="s">
        <v>151</v>
      </c>
      <c r="E100" s="836" t="s">
        <v>949</v>
      </c>
      <c r="F100" s="891" t="s">
        <v>318</v>
      </c>
      <c r="G100" s="555"/>
      <c r="H100" s="1193"/>
      <c r="I100" s="555"/>
      <c r="J100" s="1193"/>
      <c r="K100" s="459" t="s">
        <v>646</v>
      </c>
      <c r="X100" s="928">
        <v>0</v>
      </c>
    </row>
    <row s="11913" customFormat="1" customHeight="1" ht="11.549999999999999">
      <c r="A101" s="1203"/>
      <c r="B101" s="688"/>
      <c r="D101" s="1204"/>
      <c r="E101" s="1205"/>
      <c r="X101" s="679">
        <v>11</v>
      </c>
    </row>
    <row customHeight="1" ht="22.5" hidden="1">
      <c r="A102" s="706" t="s">
        <v>85</v>
      </c>
      <c r="B102" s="681">
        <v>0</v>
      </c>
      <c r="C102" s="675">
        <v>3</v>
      </c>
      <c r="D102" s="675">
        <v>7</v>
      </c>
      <c r="E102" s="675">
        <v>69</v>
      </c>
      <c r="F102" s="675">
        <v>10</v>
      </c>
      <c r="G102" s="675">
        <v>0</v>
      </c>
      <c r="H102" s="675">
        <v>0</v>
      </c>
      <c r="I102" s="928">
        <v>43</v>
      </c>
      <c r="J102" s="928">
        <v>43</v>
      </c>
      <c r="K102" s="675">
        <v>73</v>
      </c>
      <c r="L102" s="675">
        <v>3</v>
      </c>
      <c r="M102" s="675">
        <v>10</v>
      </c>
      <c r="N102" s="675">
        <v>10</v>
      </c>
      <c r="O102" s="675">
        <v>10</v>
      </c>
      <c r="P102" s="675">
        <v>10</v>
      </c>
      <c r="Q102" s="675">
        <v>10</v>
      </c>
      <c r="R102" s="675">
        <v>10</v>
      </c>
      <c r="S102" s="675">
        <v>10</v>
      </c>
      <c r="T102" s="675">
        <v>10</v>
      </c>
      <c r="U102" s="675">
        <v>10</v>
      </c>
      <c r="V102" s="675">
        <v>10</v>
      </c>
      <c r="W102" s="675">
        <v>10</v>
      </c>
      <c r="X102" s="67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12C2E6-C6A4-60E5-9044-ECF10676E47F}"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2119" width="6.421875" hidden="1" customWidth="1"/>
    <col min="2" max="2" style="12119" width="2.00390625" hidden="1" customWidth="1"/>
    <col min="3" max="3" style="12119" width="3.00390625" customWidth="1"/>
    <col min="4" max="4" style="12119" width="4.00390625" customWidth="1"/>
    <col min="5" max="5" style="12119" width="44.00390625" customWidth="1"/>
    <col min="6" max="6" style="12119" width="6.421875" customWidth="1"/>
    <col min="7" max="7" style="12119" width="4.00390625" customWidth="1"/>
    <col min="8" max="8" style="12119" width="5.00390625" customWidth="1"/>
    <col min="9" max="9" style="12119" width="52.00390625" customWidth="1"/>
    <col min="10" max="10" style="12119" width="7.00390625" customWidth="1"/>
    <col min="11" max="11" style="12119" width="3.00390625" customWidth="1"/>
    <col min="12" max="12" style="12119" width="6.00390625" customWidth="1"/>
    <col min="13" max="13" style="12119" width="56.00390625" customWidth="1"/>
    <col min="14" max="14" style="12170" width="8.00390625" customWidth="1"/>
    <col min="15" max="20" style="12082" width="9.140625" hidden="1"/>
    <col min="21" max="24" style="12171" width="9.140625" hidden="1"/>
    <col min="25" max="37" style="12170" width="9.140625" hidden="1"/>
    <col min="38" max="38" style="12170" width="8.00390625" customWidth="1"/>
    <col min="39" max="39" style="12119" width="9.140625" hidden="1"/>
  </cols>
  <sheetData>
    <row customHeight="1" ht="11.25" hidden="1">
      <c r="AM1" s="753" t="s">
        <v>14</v>
      </c>
    </row>
    <row customHeight="1" ht="11.25" hidden="1">
      <c r="AM2" s="753">
        <v>0</v>
      </c>
    </row>
    <row customHeight="1" ht="11.549999999999999">
      <c r="AM3" s="753">
        <v>11</v>
      </c>
    </row>
    <row customHeight="1" ht="35.699999999999996">
      <c r="A4" s="755"/>
      <c r="B4" s="755"/>
      <c r="D4" s="2289" t="str">
        <f>Титульный!E5</f>
        <v>Показатели, подлежащие раскрытию в сфере теплоснабжения (цены и тарифы)</v>
      </c>
      <c r="E4" s="2290"/>
      <c r="F4" s="2290"/>
      <c r="G4" s="2290"/>
      <c r="H4" s="2290"/>
      <c r="I4" s="2291"/>
      <c r="J4" s="754"/>
      <c r="K4" s="754"/>
      <c r="L4" s="754"/>
      <c r="M4" s="754"/>
      <c r="AM4" s="753">
        <v>34</v>
      </c>
    </row>
    <row s="12090" customFormat="1" customHeight="1" ht="14.699999999999998">
      <c r="A5" s="755"/>
      <c r="B5" s="755"/>
      <c r="C5" s="755"/>
      <c r="D5" s="2292" t="str">
        <f>IF(org=0,"Не определено",org)</f>
        <v>Филиал "Шатурская ГРЭС" ПАО "Юнипро"</v>
      </c>
      <c r="E5" s="2293"/>
      <c r="F5" s="2293"/>
      <c r="G5" s="2293"/>
      <c r="H5" s="2293"/>
      <c r="I5" s="2294"/>
      <c r="J5" s="756"/>
      <c r="K5" s="756"/>
      <c r="L5" s="756"/>
      <c r="M5" s="756"/>
      <c r="N5" s="756"/>
      <c r="O5" s="1040"/>
      <c r="P5" s="1040"/>
      <c r="Q5" s="1040"/>
      <c r="R5" s="1040"/>
      <c r="S5" s="1040"/>
      <c r="T5" s="1040"/>
      <c r="U5" s="1431"/>
      <c r="V5" s="1431"/>
      <c r="W5" s="1431"/>
      <c r="X5" s="1431"/>
      <c r="Y5" s="756"/>
      <c r="Z5" s="756"/>
      <c r="AA5" s="756"/>
      <c r="AB5" s="756"/>
      <c r="AC5" s="756"/>
      <c r="AD5" s="756"/>
      <c r="AE5" s="756"/>
      <c r="AF5" s="756"/>
      <c r="AG5" s="756"/>
      <c r="AH5" s="756"/>
      <c r="AI5" s="756"/>
      <c r="AJ5" s="756"/>
      <c r="AK5" s="756"/>
      <c r="AL5" s="756"/>
      <c r="AM5" s="757">
        <v>14</v>
      </c>
    </row>
    <row s="12090" customFormat="1" customHeight="1" ht="6.3">
      <c r="A6" s="2295"/>
      <c r="B6" s="2295"/>
      <c r="C6" s="2295"/>
      <c r="D6" s="2295"/>
      <c r="E6" s="2295"/>
      <c r="F6" s="2295"/>
      <c r="G6" s="758"/>
      <c r="H6" s="758"/>
      <c r="I6" s="758"/>
      <c r="J6" s="758"/>
      <c r="K6" s="758"/>
      <c r="N6" s="760"/>
      <c r="O6" s="1584"/>
      <c r="P6" s="1584"/>
      <c r="Q6" s="1584"/>
      <c r="R6" s="1584"/>
      <c r="S6" s="1584"/>
      <c r="T6" s="1584"/>
      <c r="U6" s="1434"/>
      <c r="V6" s="1434"/>
      <c r="W6" s="1434"/>
      <c r="X6" s="1434"/>
      <c r="Y6" s="760"/>
      <c r="Z6" s="760"/>
      <c r="AA6" s="760"/>
      <c r="AB6" s="760"/>
      <c r="AC6" s="760"/>
      <c r="AD6" s="760"/>
      <c r="AE6" s="760"/>
      <c r="AF6" s="760"/>
      <c r="AG6" s="760"/>
      <c r="AH6" s="760"/>
      <c r="AI6" s="760"/>
      <c r="AJ6" s="760"/>
      <c r="AK6" s="760"/>
      <c r="AL6" s="760"/>
      <c r="AM6" s="759">
        <v>6</v>
      </c>
    </row>
    <row customHeight="1" ht="45.75" hidden="1">
      <c r="E7" s="230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301"/>
      <c r="G7" s="2301"/>
      <c r="H7" s="2301"/>
      <c r="I7" s="2301"/>
      <c r="J7" s="2301"/>
      <c r="K7" s="2301"/>
      <c r="L7" s="2301"/>
      <c r="M7" s="2301"/>
      <c r="AM7" s="753">
        <v>0</v>
      </c>
    </row>
    <row s="12090" customFormat="1" customHeight="1" ht="6.3">
      <c r="A8" s="761"/>
      <c r="B8" s="761"/>
      <c r="C8" s="761"/>
      <c r="D8" s="761"/>
      <c r="E8" s="761"/>
      <c r="F8" s="761"/>
      <c r="G8" s="761"/>
      <c r="H8" s="761"/>
      <c r="I8" s="761"/>
      <c r="J8" s="761"/>
      <c r="K8" s="761"/>
      <c r="L8" s="761"/>
      <c r="M8" s="759"/>
      <c r="N8" s="756"/>
      <c r="O8" s="1040"/>
      <c r="P8" s="1040"/>
      <c r="Q8" s="1040"/>
      <c r="R8" s="1040"/>
      <c r="S8" s="1040"/>
      <c r="T8" s="1040"/>
      <c r="U8" s="1431"/>
      <c r="V8" s="1431"/>
      <c r="W8" s="1431"/>
      <c r="X8" s="1431"/>
      <c r="Y8" s="756"/>
      <c r="Z8" s="756"/>
      <c r="AA8" s="756"/>
      <c r="AB8" s="756"/>
      <c r="AC8" s="756"/>
      <c r="AD8" s="756"/>
      <c r="AE8" s="756"/>
      <c r="AF8" s="756"/>
      <c r="AG8" s="756"/>
      <c r="AH8" s="756"/>
      <c r="AI8" s="756"/>
      <c r="AJ8" s="756"/>
      <c r="AK8" s="756"/>
      <c r="AL8" s="756"/>
      <c r="AM8" s="757">
        <v>6</v>
      </c>
    </row>
    <row customHeight="1" ht="18.75">
      <c r="A9" s="2296"/>
      <c r="B9" s="493"/>
      <c r="C9" s="493"/>
      <c r="D9" s="2297" t="s">
        <v>108</v>
      </c>
      <c r="E9" s="2297"/>
      <c r="F9" s="2298" t="s">
        <v>109</v>
      </c>
      <c r="G9" s="2299"/>
      <c r="H9" s="2299"/>
      <c r="I9" s="2299"/>
      <c r="J9" s="2302" t="s">
        <v>110</v>
      </c>
      <c r="K9" s="2302"/>
      <c r="L9" s="2302"/>
      <c r="M9" s="2302"/>
      <c r="AM9" s="753">
        <v>18</v>
      </c>
    </row>
    <row customHeight="1" ht="24">
      <c r="A10" s="2296"/>
      <c r="B10" s="762"/>
      <c r="C10" s="695"/>
      <c r="D10" s="693" t="s">
        <v>91</v>
      </c>
      <c r="E10" s="693" t="s">
        <v>92</v>
      </c>
      <c r="F10" s="693" t="s">
        <v>111</v>
      </c>
      <c r="G10" s="2303" t="s">
        <v>91</v>
      </c>
      <c r="H10" s="2304"/>
      <c r="I10" s="693" t="s">
        <v>92</v>
      </c>
      <c r="J10" s="693" t="s">
        <v>111</v>
      </c>
      <c r="K10" s="2303" t="s">
        <v>91</v>
      </c>
      <c r="L10" s="2304"/>
      <c r="M10" s="693" t="s">
        <v>92</v>
      </c>
      <c r="N10" s="1797"/>
      <c r="AM10" s="753">
        <v>23</v>
      </c>
    </row>
    <row s="12119" customFormat="1" customHeight="1" ht="11.25" hidden="1">
      <c r="A11" s="763"/>
      <c r="B11" s="763"/>
      <c r="C11" s="763"/>
      <c r="D11" s="764" t="s">
        <v>112</v>
      </c>
      <c r="E11" s="764" t="s">
        <v>113</v>
      </c>
      <c r="F11" s="764" t="s">
        <v>93</v>
      </c>
      <c r="G11" s="2285" t="s">
        <v>94</v>
      </c>
      <c r="H11" s="2286"/>
      <c r="I11" s="764" t="s">
        <v>114</v>
      </c>
      <c r="J11" s="764" t="s">
        <v>95</v>
      </c>
      <c r="K11" s="2287" t="s">
        <v>96</v>
      </c>
      <c r="L11" s="2288"/>
      <c r="M11" s="764" t="s">
        <v>115</v>
      </c>
      <c r="N11" s="1796"/>
      <c r="O11" s="1583"/>
      <c r="P11" s="1585"/>
      <c r="Q11" s="1585"/>
      <c r="R11" s="1585"/>
      <c r="S11" s="1585"/>
      <c r="T11" s="1585"/>
      <c r="U11" s="1435"/>
      <c r="V11" s="1435"/>
      <c r="W11" s="1435"/>
      <c r="X11" s="1435"/>
      <c r="Y11" s="765"/>
      <c r="Z11" s="765"/>
      <c r="AA11" s="765"/>
      <c r="AB11" s="765"/>
      <c r="AC11" s="765"/>
      <c r="AD11" s="765"/>
      <c r="AE11" s="765"/>
      <c r="AF11" s="765"/>
      <c r="AG11" s="765"/>
      <c r="AH11" s="765"/>
      <c r="AI11" s="765"/>
      <c r="AJ11" s="765"/>
      <c r="AK11" s="765"/>
      <c r="AL11" s="765"/>
      <c r="AM11" s="766">
        <v>0</v>
      </c>
    </row>
    <row customHeight="1" ht="1.05">
      <c r="A12" s="767"/>
      <c r="B12" s="768"/>
      <c r="C12" s="768"/>
      <c r="D12" s="769"/>
      <c r="E12" s="537"/>
      <c r="F12" s="770"/>
      <c r="G12" s="1229"/>
      <c r="H12" s="1229"/>
      <c r="I12" s="770"/>
      <c r="J12" s="770"/>
      <c r="K12" s="344"/>
      <c r="L12" s="537"/>
      <c r="M12" s="771"/>
      <c r="N12" s="1797"/>
      <c r="O12" s="1583" t="s">
        <v>116</v>
      </c>
      <c r="P12" s="1583" t="s">
        <v>117</v>
      </c>
      <c r="Q12" s="1583" t="s">
        <v>118</v>
      </c>
      <c r="R12" s="1583" t="s">
        <v>119</v>
      </c>
      <c r="AM12" s="753">
        <v>1</v>
      </c>
    </row>
    <row s="12119" customFormat="1" customHeight="1" ht="15.75">
      <c r="A13" s="463"/>
      <c r="B13" s="463"/>
      <c r="C13" s="696"/>
      <c r="D13" s="2278" t="s">
        <v>112</v>
      </c>
      <c r="E13" s="2279"/>
      <c r="F13" s="2282" t="s">
        <v>64</v>
      </c>
      <c r="G13" s="2283"/>
      <c r="H13" s="2284">
        <v>1</v>
      </c>
      <c r="I13" s="2275" t="str">
        <f>IF(U13="","",INDEX(TERRITORY_MR_LIST,MATCH(U13,TERRITORY_LIST_ID,0)))</f>
        <v/>
      </c>
      <c r="J13" s="2277" t="s">
        <v>19</v>
      </c>
      <c r="K13" s="772"/>
      <c r="L13" s="697" t="s">
        <v>112</v>
      </c>
      <c r="M13" s="773" t="s">
        <v>28</v>
      </c>
      <c r="N13" s="982"/>
      <c r="O13" s="1586" t="s">
        <v>120</v>
      </c>
      <c r="P13" s="1583">
        <f>$E$13</f>
        <v>0</v>
      </c>
      <c r="Q13" s="1583" t="str">
        <f>IF($F$13="нет","без дифференциации",$I$13)</f>
        <v/>
      </c>
      <c r="R13" s="1583" t="str">
        <f>IF($J$13="нет","без дифференциации",M13)</f>
        <v>без дифференциации</v>
      </c>
      <c r="S13" s="1586"/>
      <c r="T13" s="1586"/>
      <c r="U13" s="1436"/>
      <c r="V13" s="1436"/>
      <c r="W13" s="1436"/>
      <c r="X13" s="1436"/>
      <c r="Y13" s="774" t="s">
        <v>121</v>
      </c>
      <c r="Z13" s="774">
        <v>1705000</v>
      </c>
      <c r="AA13" s="774"/>
      <c r="AB13" s="774"/>
      <c r="AC13" s="774"/>
      <c r="AD13" s="774"/>
      <c r="AE13" s="774"/>
      <c r="AF13" s="774"/>
      <c r="AG13" s="774"/>
      <c r="AH13" s="774"/>
      <c r="AI13" s="774"/>
      <c r="AJ13" s="774"/>
      <c r="AK13" s="774"/>
      <c r="AL13" s="774"/>
      <c r="AM13" s="776">
        <v>15</v>
      </c>
    </row>
    <row s="12119" customFormat="1" customHeight="1" ht="15.75">
      <c r="A14" s="463"/>
      <c r="B14" s="463"/>
      <c r="C14" s="346"/>
      <c r="D14" s="2278"/>
      <c r="E14" s="2280"/>
      <c r="F14" s="2277"/>
      <c r="G14" s="2283"/>
      <c r="H14" s="2284"/>
      <c r="I14" s="2276"/>
      <c r="J14" s="2277"/>
      <c r="K14" s="591"/>
      <c r="L14" s="347"/>
      <c r="M14" s="777" t="s">
        <v>122</v>
      </c>
      <c r="N14" s="982"/>
      <c r="O14" s="1586"/>
      <c r="P14" s="1583"/>
      <c r="Q14" s="1583"/>
      <c r="R14" s="1583"/>
      <c r="S14" s="1586"/>
      <c r="T14" s="1586"/>
      <c r="U14" s="1436"/>
      <c r="V14" s="1436"/>
      <c r="W14" s="1436"/>
      <c r="X14" s="1436"/>
      <c r="Y14" s="774"/>
      <c r="Z14" s="774"/>
      <c r="AA14" s="774"/>
      <c r="AB14" s="774"/>
      <c r="AC14" s="774"/>
      <c r="AD14" s="774"/>
      <c r="AE14" s="774"/>
      <c r="AF14" s="774"/>
      <c r="AG14" s="774"/>
      <c r="AH14" s="774"/>
      <c r="AI14" s="774"/>
      <c r="AJ14" s="774"/>
      <c r="AK14" s="774"/>
      <c r="AL14" s="774"/>
      <c r="AM14" s="776">
        <v>15</v>
      </c>
    </row>
    <row s="12119" customFormat="1" customHeight="1" ht="15.75">
      <c r="A15" s="463"/>
      <c r="B15" s="463"/>
      <c r="C15" s="346"/>
      <c r="D15" s="2278"/>
      <c r="E15" s="2281"/>
      <c r="F15" s="2277"/>
      <c r="G15" s="1230"/>
      <c r="H15" s="1231"/>
      <c r="I15" s="750" t="s">
        <v>123</v>
      </c>
      <c r="J15" s="347"/>
      <c r="K15" s="347"/>
      <c r="L15" s="347"/>
      <c r="M15" s="778"/>
      <c r="N15" s="982"/>
      <c r="O15" s="1586"/>
      <c r="P15" s="1583"/>
      <c r="Q15" s="1583"/>
      <c r="R15" s="1583"/>
      <c r="S15" s="1586"/>
      <c r="T15" s="1586"/>
      <c r="U15" s="1436"/>
      <c r="V15" s="1436"/>
      <c r="W15" s="1436"/>
      <c r="X15" s="1436"/>
      <c r="Y15" s="774"/>
      <c r="Z15" s="774"/>
      <c r="AA15" s="774"/>
      <c r="AB15" s="774"/>
      <c r="AC15" s="774"/>
      <c r="AD15" s="774"/>
      <c r="AE15" s="774"/>
      <c r="AF15" s="774"/>
      <c r="AG15" s="774"/>
      <c r="AH15" s="774"/>
      <c r="AI15" s="774"/>
      <c r="AJ15" s="774"/>
      <c r="AK15" s="774"/>
      <c r="AL15" s="774"/>
      <c r="AM15" s="776">
        <v>15</v>
      </c>
    </row>
    <row customHeight="1" ht="15.75">
      <c r="A16" s="779"/>
      <c r="B16" s="305"/>
      <c r="C16" s="976"/>
      <c r="D16" s="591"/>
      <c r="E16" s="741" t="s">
        <v>124</v>
      </c>
      <c r="F16" s="347"/>
      <c r="G16" s="347"/>
      <c r="H16" s="347"/>
      <c r="I16" s="347"/>
      <c r="J16" s="347"/>
      <c r="K16" s="347" t="s">
        <v>28</v>
      </c>
      <c r="L16" s="347"/>
      <c r="M16" s="778"/>
      <c r="N16" s="1797"/>
      <c r="AM16" s="753">
        <v>15</v>
      </c>
    </row>
    <row customHeight="1" ht="11.25" hidden="1">
      <c r="A17" s="753" t="s">
        <v>85</v>
      </c>
      <c r="B17" s="753">
        <v>0</v>
      </c>
      <c r="C17" s="753">
        <v>3</v>
      </c>
      <c r="D17" s="753">
        <v>4</v>
      </c>
      <c r="E17" s="753">
        <v>44</v>
      </c>
      <c r="F17" s="753">
        <v>6</v>
      </c>
      <c r="G17" s="753">
        <v>4</v>
      </c>
      <c r="H17" s="753">
        <v>5</v>
      </c>
      <c r="I17" s="753">
        <v>52</v>
      </c>
      <c r="J17" s="753">
        <v>6</v>
      </c>
      <c r="K17" s="753">
        <v>3</v>
      </c>
      <c r="L17" s="753">
        <v>6</v>
      </c>
      <c r="M17" s="753">
        <v>56</v>
      </c>
      <c r="N17" s="754">
        <v>8</v>
      </c>
      <c r="O17" s="1583">
        <v>0</v>
      </c>
      <c r="P17" s="1583">
        <v>0</v>
      </c>
      <c r="Q17" s="1583">
        <v>0</v>
      </c>
      <c r="R17" s="1583">
        <v>0</v>
      </c>
      <c r="S17" s="1583">
        <v>0</v>
      </c>
      <c r="T17" s="1583">
        <v>0</v>
      </c>
      <c r="U17" s="1433">
        <v>0</v>
      </c>
      <c r="V17" s="1433">
        <v>0</v>
      </c>
      <c r="W17" s="1433">
        <v>0</v>
      </c>
      <c r="X17" s="1433">
        <v>0</v>
      </c>
      <c r="Y17" s="754">
        <v>0</v>
      </c>
      <c r="Z17" s="754">
        <v>0</v>
      </c>
      <c r="AA17" s="754">
        <v>0</v>
      </c>
      <c r="AB17" s="754">
        <v>0</v>
      </c>
      <c r="AC17" s="754">
        <v>0</v>
      </c>
      <c r="AD17" s="754">
        <v>0</v>
      </c>
      <c r="AE17" s="754">
        <v>0</v>
      </c>
      <c r="AF17" s="754">
        <v>0</v>
      </c>
      <c r="AG17" s="754">
        <v>0</v>
      </c>
      <c r="AH17" s="754">
        <v>0</v>
      </c>
      <c r="AI17" s="754">
        <v>0</v>
      </c>
      <c r="AJ17" s="754">
        <v>0</v>
      </c>
      <c r="AK17" s="754">
        <v>0</v>
      </c>
      <c r="AL17" s="754">
        <v>8</v>
      </c>
      <c r="AM17" s="75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25A6CB-78AB-E5C9-1BBC-A91735381288}"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1877" width="9.140625" hidden="1" customWidth="1"/>
    <col min="2" max="2" style="11913" width="9.140625" hidden="1" customWidth="1"/>
    <col min="3" max="3" style="14793" width="4.00390625" customWidth="1"/>
    <col min="4" max="4" style="11913" width="6.00390625" customWidth="1"/>
    <col min="5" max="5" style="11913" width="36.00390625" customWidth="1"/>
    <col min="6" max="6" style="11913" width="9.00390625" customWidth="1"/>
    <col min="7" max="7" style="11913" width="25.7109375" hidden="1" customWidth="1"/>
    <col min="8" max="8" style="11913" width="33.7109375" hidden="1" customWidth="1"/>
    <col min="9" max="9" style="11913" width="25.7109375" customWidth="1"/>
    <col min="10" max="10" style="11913" width="33.00390625" customWidth="1"/>
    <col min="11" max="11" style="11992" width="93.00390625" customWidth="1"/>
    <col min="12" max="20" style="11913" width="10.00390625" customWidth="1"/>
    <col min="21" max="21" style="14794" width="10.00390625" customWidth="1"/>
    <col min="22" max="22" style="11913" width="10.57421875" hidden="1"/>
  </cols>
  <sheetData>
    <row s="11992" customFormat="1" customHeight="1" ht="22.5" hidden="1">
      <c r="C1" s="842"/>
      <c r="G1" s="587">
        <v>4</v>
      </c>
      <c r="I1" s="587">
        <v>4</v>
      </c>
      <c r="U1" s="590"/>
      <c r="V1" s="587" t="s">
        <v>14</v>
      </c>
    </row>
    <row s="11992" customFormat="1" customHeight="1" ht="15" hidden="1">
      <c r="C2" s="842"/>
      <c r="U2" s="590"/>
      <c r="V2" s="587">
        <v>0</v>
      </c>
    </row>
    <row customHeight="1" ht="22.5" hidden="1">
      <c r="A3" s="675"/>
      <c r="B3" s="2567"/>
      <c r="C3" s="2568" t="s">
        <v>437</v>
      </c>
      <c r="D3" s="859" t="str">
        <f>B3&amp;".1"</f>
        <v>.1</v>
      </c>
      <c r="E3" s="860" t="s">
        <v>950</v>
      </c>
      <c r="F3" s="861" t="s">
        <v>318</v>
      </c>
      <c r="G3" s="856"/>
      <c r="H3" s="571"/>
      <c r="I3" s="856"/>
      <c r="J3" s="571"/>
      <c r="K3" s="459" t="s">
        <v>951</v>
      </c>
      <c r="V3" s="675">
        <v>0</v>
      </c>
    </row>
    <row customHeight="1" ht="15" hidden="1">
      <c r="A4" s="675"/>
      <c r="B4" s="2567"/>
      <c r="C4" s="2568"/>
      <c r="D4" s="859" t="str">
        <f>B3&amp;".2"</f>
        <v>.2</v>
      </c>
      <c r="E4" s="860" t="s">
        <v>952</v>
      </c>
      <c r="F4" s="861" t="s">
        <v>318</v>
      </c>
      <c r="G4" s="1908" t="s">
        <v>28</v>
      </c>
      <c r="H4" s="571"/>
      <c r="I4" s="1908" t="s">
        <v>28</v>
      </c>
      <c r="J4" s="571"/>
      <c r="K4" s="459" t="s">
        <v>953</v>
      </c>
      <c r="V4" s="675">
        <v>0</v>
      </c>
    </row>
    <row s="11992" customFormat="1" customHeight="1" ht="15" hidden="1">
      <c r="C5" s="842"/>
      <c r="U5" s="590"/>
      <c r="V5" s="587">
        <v>0</v>
      </c>
    </row>
    <row customHeight="1" ht="22.5" hidden="1">
      <c r="A6" s="675"/>
      <c r="B6" s="2567"/>
      <c r="C6" s="2568" t="s">
        <v>437</v>
      </c>
      <c r="D6" s="859" t="str">
        <f>B6&amp;".1"</f>
        <v>.1</v>
      </c>
      <c r="E6" s="860" t="s">
        <v>954</v>
      </c>
      <c r="F6" s="861" t="s">
        <v>318</v>
      </c>
      <c r="G6" s="856"/>
      <c r="H6" s="571"/>
      <c r="I6" s="856"/>
      <c r="J6" s="571"/>
      <c r="K6" s="459" t="s">
        <v>955</v>
      </c>
      <c r="V6" s="675">
        <v>0</v>
      </c>
    </row>
    <row customHeight="1" ht="15" hidden="1">
      <c r="A7" s="675"/>
      <c r="B7" s="2567"/>
      <c r="C7" s="2568"/>
      <c r="D7" s="859" t="str">
        <f>B6&amp;".2"</f>
        <v>.2</v>
      </c>
      <c r="E7" s="860" t="s">
        <v>952</v>
      </c>
      <c r="F7" s="861" t="s">
        <v>318</v>
      </c>
      <c r="G7" s="1908" t="s">
        <v>28</v>
      </c>
      <c r="H7" s="571"/>
      <c r="I7" s="1908" t="s">
        <v>28</v>
      </c>
      <c r="J7" s="571"/>
      <c r="K7" s="459" t="s">
        <v>953</v>
      </c>
      <c r="V7" s="675">
        <v>0</v>
      </c>
    </row>
    <row s="11992" customFormat="1" customHeight="1" ht="15" hidden="1">
      <c r="C8" s="842"/>
      <c r="U8" s="590"/>
      <c r="V8" s="587">
        <v>0</v>
      </c>
    </row>
    <row customHeight="1" ht="22.5" hidden="1">
      <c r="A9" s="675"/>
      <c r="B9" s="2567"/>
      <c r="C9" s="2568" t="s">
        <v>437</v>
      </c>
      <c r="D9" s="859" t="str">
        <f>B9&amp;".1"</f>
        <v>.1</v>
      </c>
      <c r="E9" s="860" t="s">
        <v>956</v>
      </c>
      <c r="F9" s="861" t="s">
        <v>318</v>
      </c>
      <c r="G9" s="867" t="s">
        <v>28</v>
      </c>
      <c r="H9" s="571" t="s">
        <v>28</v>
      </c>
      <c r="I9" s="867" t="s">
        <v>28</v>
      </c>
      <c r="J9" s="571" t="s">
        <v>28</v>
      </c>
      <c r="K9" s="459"/>
      <c r="V9" s="675">
        <v>0</v>
      </c>
    </row>
    <row customHeight="1" ht="15" hidden="1">
      <c r="A10" s="675"/>
      <c r="B10" s="2567"/>
      <c r="C10" s="2568"/>
      <c r="D10" s="859" t="str">
        <f>B9&amp;".2"</f>
        <v>.2</v>
      </c>
      <c r="E10" s="860" t="s">
        <v>957</v>
      </c>
      <c r="F10" s="861" t="s">
        <v>318</v>
      </c>
      <c r="G10" s="1902" t="s">
        <v>28</v>
      </c>
      <c r="H10" s="571" t="s">
        <v>28</v>
      </c>
      <c r="I10" s="1902" t="s">
        <v>28</v>
      </c>
      <c r="J10" s="571" t="s">
        <v>28</v>
      </c>
      <c r="K10" s="459" t="s">
        <v>958</v>
      </c>
      <c r="V10" s="675">
        <v>0</v>
      </c>
    </row>
    <row customHeight="1" ht="15" hidden="1">
      <c r="A11" s="675"/>
      <c r="B11" s="2567"/>
      <c r="C11" s="2568"/>
      <c r="D11" s="859" t="str">
        <f>B9&amp;".3"</f>
        <v>.3</v>
      </c>
      <c r="E11" s="860" t="s">
        <v>959</v>
      </c>
      <c r="F11" s="861" t="s">
        <v>318</v>
      </c>
      <c r="G11" s="1902" t="s">
        <v>28</v>
      </c>
      <c r="H11" s="571" t="s">
        <v>28</v>
      </c>
      <c r="I11" s="1902" t="s">
        <v>28</v>
      </c>
      <c r="J11" s="571" t="s">
        <v>28</v>
      </c>
      <c r="K11" s="459" t="s">
        <v>960</v>
      </c>
      <c r="V11" s="675">
        <v>0</v>
      </c>
    </row>
    <row s="11992" customFormat="1" customHeight="1" ht="15" hidden="1">
      <c r="C12" s="842"/>
      <c r="U12" s="590"/>
      <c r="V12" s="587">
        <v>0</v>
      </c>
    </row>
    <row customHeight="1" ht="33.75" hidden="1">
      <c r="A13" s="675"/>
      <c r="B13" s="2567"/>
      <c r="C13" s="2568" t="s">
        <v>437</v>
      </c>
      <c r="D13" s="859" t="str">
        <f>B13&amp;".1"</f>
        <v>.1</v>
      </c>
      <c r="E13" s="860" t="s">
        <v>961</v>
      </c>
      <c r="F13" s="861" t="s">
        <v>318</v>
      </c>
      <c r="G13" s="867" t="s">
        <v>28</v>
      </c>
      <c r="H13" s="571" t="s">
        <v>28</v>
      </c>
      <c r="I13" s="867" t="s">
        <v>28</v>
      </c>
      <c r="J13" s="571" t="s">
        <v>28</v>
      </c>
      <c r="K13" s="459" t="s">
        <v>962</v>
      </c>
      <c r="V13" s="675">
        <v>0</v>
      </c>
    </row>
    <row customHeight="1" ht="15" hidden="1">
      <c r="B14" s="2567"/>
      <c r="C14" s="2568"/>
      <c r="D14" s="859" t="str">
        <f>B13&amp;".2"</f>
        <v>.2</v>
      </c>
      <c r="E14" s="860" t="s">
        <v>963</v>
      </c>
      <c r="F14" s="861" t="s">
        <v>318</v>
      </c>
      <c r="G14" s="1902" t="s">
        <v>28</v>
      </c>
      <c r="H14" s="571" t="s">
        <v>28</v>
      </c>
      <c r="I14" s="1902" t="s">
        <v>28</v>
      </c>
      <c r="J14" s="571" t="s">
        <v>28</v>
      </c>
      <c r="K14" s="459" t="s">
        <v>964</v>
      </c>
      <c r="V14" s="675">
        <v>0</v>
      </c>
    </row>
    <row s="11992" customFormat="1" customHeight="1" ht="15" hidden="1">
      <c r="C15" s="842"/>
      <c r="U15" s="590"/>
      <c r="V15" s="587">
        <v>0</v>
      </c>
    </row>
    <row s="11992" customFormat="1" customHeight="1" ht="15" hidden="1">
      <c r="C16" s="842"/>
      <c r="U16" s="590"/>
      <c r="V16" s="587">
        <v>0</v>
      </c>
    </row>
    <row s="11992" customFormat="1" customHeight="1" ht="15" hidden="1">
      <c r="C17" s="842"/>
      <c r="U17" s="590"/>
      <c r="V17" s="587">
        <v>0</v>
      </c>
    </row>
    <row s="11992" customFormat="1" customHeight="1" ht="15" hidden="1">
      <c r="C18" s="842"/>
      <c r="U18" s="590"/>
      <c r="V18" s="587">
        <v>0</v>
      </c>
    </row>
    <row s="11992" customFormat="1" customHeight="1" ht="15" hidden="1">
      <c r="C19" s="842"/>
      <c r="U19" s="590"/>
      <c r="V19" s="587">
        <v>0</v>
      </c>
    </row>
    <row s="11992" customFormat="1" customHeight="1" ht="15" hidden="1">
      <c r="C20" s="842"/>
      <c r="U20" s="590"/>
      <c r="V20" s="587">
        <v>0</v>
      </c>
    </row>
    <row customHeight="1" ht="15.75">
      <c r="C21" s="346"/>
      <c r="D21" s="679"/>
      <c r="E21" s="679"/>
      <c r="F21" s="679"/>
      <c r="G21" s="679"/>
      <c r="H21" s="679"/>
      <c r="I21" s="679"/>
      <c r="J21" s="679"/>
      <c r="V21" s="675">
        <v>15</v>
      </c>
    </row>
    <row customHeight="1" ht="23.25">
      <c r="C22" s="346"/>
      <c r="D22" s="240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407"/>
      <c r="F22" s="2407"/>
      <c r="G22" s="2407"/>
      <c r="H22" s="2407"/>
      <c r="I22" s="2407"/>
      <c r="J22" s="846"/>
      <c r="K22" s="707"/>
      <c r="V22" s="675">
        <v>22</v>
      </c>
    </row>
    <row customHeight="1" ht="15.75">
      <c r="C23" s="346"/>
      <c r="D23" s="2346" t="str">
        <f>IF(org=0,"Не определено",org)</f>
        <v>Филиал "Шатурская ГРЭС" ПАО "Юнипро"</v>
      </c>
      <c r="E23" s="2346"/>
      <c r="F23" s="2346"/>
      <c r="G23" s="2346"/>
      <c r="H23" s="2346"/>
      <c r="I23" s="2346"/>
      <c r="J23" s="846"/>
      <c r="K23" s="707"/>
      <c r="V23" s="675">
        <v>15</v>
      </c>
    </row>
    <row customHeight="1" ht="15.75">
      <c r="C24" s="346"/>
      <c r="D24" s="679"/>
      <c r="E24" s="679"/>
      <c r="F24" s="679"/>
      <c r="G24" s="707">
        <v>22</v>
      </c>
      <c r="H24" s="922"/>
      <c r="I24" s="707">
        <v>22</v>
      </c>
      <c r="J24" s="922"/>
      <c r="V24" s="675">
        <v>15</v>
      </c>
    </row>
    <row s="11913" customFormat="1" customHeight="1" ht="1.05">
      <c r="A25" s="929"/>
      <c r="C25" s="346"/>
      <c r="D25" s="679"/>
      <c r="E25" s="679"/>
      <c r="F25" s="679"/>
      <c r="G25" s="707"/>
      <c r="H25" s="922"/>
      <c r="I25" s="707" t="s">
        <v>120</v>
      </c>
      <c r="J25" s="922"/>
      <c r="K25" s="587"/>
      <c r="U25" s="845"/>
      <c r="V25" s="928">
        <v>1</v>
      </c>
    </row>
    <row customHeight="1" ht="15.75">
      <c r="C26" s="346"/>
      <c r="D26" s="881"/>
      <c r="E26" s="2537" t="s">
        <v>108</v>
      </c>
      <c r="F26" s="2538"/>
      <c r="G26" s="2565" t="str">
        <f>IF(G25="","",INDEX(DIFFERENTIATION_UNMERGE_VD,MATCH(G25,DIFFERENTIATION_ID_DIFF,0)))</f>
        <v/>
      </c>
      <c r="H26" s="2566"/>
      <c r="I26" s="2565">
        <f>IF(I25="","",INDEX(DIFFERENTIATION_UNMERGE_VD,MATCH(I25,DIFFERENTIATION_ID_DIFF,0)))</f>
        <v>0</v>
      </c>
      <c r="J26" s="2566"/>
      <c r="K26" s="2345" t="s">
        <v>313</v>
      </c>
      <c r="V26" s="675">
        <v>15</v>
      </c>
    </row>
    <row s="11913" customFormat="1" customHeight="1" ht="15.75">
      <c r="A27" s="929"/>
      <c r="C27" s="346"/>
      <c r="D27" s="881"/>
      <c r="E27" s="2537" t="s">
        <v>579</v>
      </c>
      <c r="F27" s="2538"/>
      <c r="G27" s="2565" t="str">
        <f>IF(G25="","",INDEX(DIFFERENTIATION_UNMERGE_AREA,MATCH(G25,DIFFERENTIATION_ID_DIFF,0)))</f>
        <v/>
      </c>
      <c r="H27" s="2566"/>
      <c r="I27" s="2565" t="str">
        <f>IF(I25="","",INDEX(DIFFERENTIATION_UNMERGE_AREA,MATCH(I25,DIFFERENTIATION_ID_DIFF,0)))</f>
        <v/>
      </c>
      <c r="J27" s="2566"/>
      <c r="K27" s="2365"/>
      <c r="U27" s="845"/>
      <c r="V27" s="928">
        <v>15</v>
      </c>
    </row>
    <row s="11913" customFormat="1" customHeight="1" ht="15.75">
      <c r="A28" s="929"/>
      <c r="C28" s="346"/>
      <c r="D28" s="881"/>
      <c r="E28" s="2537" t="s">
        <v>580</v>
      </c>
      <c r="F28" s="2538"/>
      <c r="G28" s="2565" t="str">
        <f>IF(G25="","",INDEX(DIFFERENTIATION_UNMERGE_SYSTEM,MATCH(G25,DIFFERENTIATION_ID_DIFF,0)))</f>
        <v/>
      </c>
      <c r="H28" s="2566"/>
      <c r="I28" s="2565" t="str">
        <f>IF(I25="","",INDEX(DIFFERENTIATION_UNMERGE_SYSTEM,MATCH(I25,DIFFERENTIATION_ID_DIFF,0)))</f>
        <v>без дифференциации</v>
      </c>
      <c r="J28" s="2566"/>
      <c r="K28" s="2365"/>
      <c r="U28" s="845"/>
      <c r="V28" s="928">
        <v>15</v>
      </c>
    </row>
    <row s="11913" customFormat="1" customHeight="1" ht="15.75">
      <c r="A29" s="929"/>
      <c r="C29" s="346"/>
      <c r="D29" s="2539" t="s">
        <v>312</v>
      </c>
      <c r="E29" s="2540"/>
      <c r="F29" s="2540"/>
      <c r="G29" s="1057"/>
      <c r="H29" s="1057"/>
      <c r="I29" s="1057"/>
      <c r="J29" s="1058"/>
      <c r="K29" s="2365"/>
      <c r="U29" s="845"/>
      <c r="V29" s="928">
        <v>15</v>
      </c>
    </row>
    <row customHeight="1" ht="35.699999999999996">
      <c r="C30" s="346"/>
      <c r="D30" s="931" t="s">
        <v>91</v>
      </c>
      <c r="E30" s="930" t="s">
        <v>314</v>
      </c>
      <c r="F30" s="930" t="s">
        <v>581</v>
      </c>
      <c r="G30" s="978" t="s">
        <v>315</v>
      </c>
      <c r="H30" s="977" t="s">
        <v>402</v>
      </c>
      <c r="I30" s="854" t="s">
        <v>315</v>
      </c>
      <c r="J30" s="635" t="s">
        <v>402</v>
      </c>
      <c r="K30" s="2371"/>
      <c r="V30" s="675">
        <v>34</v>
      </c>
    </row>
    <row customHeight="1" ht="15" hidden="1">
      <c r="C31" s="346"/>
      <c r="D31" s="763"/>
      <c r="E31" s="763"/>
      <c r="F31" s="763"/>
      <c r="G31" s="829"/>
      <c r="H31" s="829"/>
      <c r="I31" s="829"/>
      <c r="J31" s="829"/>
      <c r="K31" s="459"/>
      <c r="V31" s="675">
        <v>0</v>
      </c>
    </row>
    <row customHeight="1" ht="24">
      <c r="A32" s="675"/>
      <c r="B32" s="675" t="s">
        <v>965</v>
      </c>
      <c r="C32" s="696"/>
      <c r="D32" s="862">
        <v>1</v>
      </c>
      <c r="E32" s="863" t="s">
        <v>966</v>
      </c>
      <c r="F32" s="861" t="s">
        <v>318</v>
      </c>
      <c r="G32" s="983" t="s">
        <v>318</v>
      </c>
      <c r="H32" s="983" t="s">
        <v>318</v>
      </c>
      <c r="I32" s="861" t="s">
        <v>318</v>
      </c>
      <c r="J32" s="861" t="s">
        <v>318</v>
      </c>
      <c r="K32" s="459"/>
      <c r="V32" s="675">
        <v>23</v>
      </c>
    </row>
    <row customHeight="1" ht="11.549999999999999">
      <c r="A33" s="675"/>
      <c r="C33" s="675"/>
      <c r="D33" s="517"/>
      <c r="E33" s="750" t="s">
        <v>601</v>
      </c>
      <c r="F33" s="742"/>
      <c r="G33" s="742"/>
      <c r="H33" s="742"/>
      <c r="I33" s="742"/>
      <c r="J33" s="742"/>
      <c r="K33" s="743"/>
      <c r="U33" s="675"/>
      <c r="V33" s="675">
        <v>11</v>
      </c>
    </row>
    <row customHeight="1" ht="24">
      <c r="A34" s="675"/>
      <c r="B34" s="751" t="s">
        <v>651</v>
      </c>
      <c r="C34" s="696"/>
      <c r="D34" s="862">
        <v>2</v>
      </c>
      <c r="E34" s="863" t="s">
        <v>967</v>
      </c>
      <c r="F34" s="990" t="s">
        <v>318</v>
      </c>
      <c r="G34" s="990" t="s">
        <v>318</v>
      </c>
      <c r="H34" s="990" t="s">
        <v>318</v>
      </c>
      <c r="I34" s="861"/>
      <c r="J34" s="861"/>
      <c r="K34" s="459"/>
      <c r="V34" s="675">
        <v>23</v>
      </c>
    </row>
    <row customHeight="1" ht="11.549999999999999">
      <c r="A35" s="675"/>
      <c r="C35" s="675"/>
      <c r="D35" s="517"/>
      <c r="E35" s="750" t="s">
        <v>968</v>
      </c>
      <c r="F35" s="742"/>
      <c r="G35" s="864"/>
      <c r="H35" s="742"/>
      <c r="I35" s="864"/>
      <c r="J35" s="742"/>
      <c r="K35" s="743"/>
      <c r="U35" s="675"/>
      <c r="V35" s="675">
        <v>11</v>
      </c>
    </row>
    <row customHeight="1" ht="71.25">
      <c r="A36" s="675"/>
      <c r="B36" s="675" t="s">
        <v>969</v>
      </c>
      <c r="C36" s="696"/>
      <c r="D36" s="862">
        <v>3</v>
      </c>
      <c r="E36" s="863" t="s">
        <v>970</v>
      </c>
      <c r="F36" s="865" t="s">
        <v>318</v>
      </c>
      <c r="G36" s="984" t="s">
        <v>971</v>
      </c>
      <c r="H36" s="983" t="s">
        <v>318</v>
      </c>
      <c r="I36" s="694" t="s">
        <v>971</v>
      </c>
      <c r="J36" s="861" t="s">
        <v>318</v>
      </c>
      <c r="K36" s="459" t="s">
        <v>972</v>
      </c>
      <c r="V36" s="675">
        <v>68</v>
      </c>
    </row>
    <row customHeight="1" ht="11.549999999999999">
      <c r="A37" s="675"/>
      <c r="C37" s="675"/>
      <c r="D37" s="517"/>
      <c r="E37" s="750" t="s">
        <v>973</v>
      </c>
      <c r="F37" s="742"/>
      <c r="G37" s="864"/>
      <c r="H37" s="864"/>
      <c r="I37" s="864"/>
      <c r="J37" s="864"/>
      <c r="K37" s="743"/>
      <c r="U37" s="675"/>
      <c r="V37" s="675">
        <v>11</v>
      </c>
    </row>
    <row customHeight="1" ht="71.25">
      <c r="A38" s="675"/>
      <c r="B38" s="675" t="s">
        <v>974</v>
      </c>
      <c r="C38" s="696"/>
      <c r="D38" s="862">
        <v>4</v>
      </c>
      <c r="E38" s="863" t="s">
        <v>975</v>
      </c>
      <c r="F38" s="865" t="s">
        <v>318</v>
      </c>
      <c r="G38" s="984" t="s">
        <v>971</v>
      </c>
      <c r="H38" s="985" t="s">
        <v>318</v>
      </c>
      <c r="I38" s="694" t="s">
        <v>971</v>
      </c>
      <c r="J38" s="691" t="s">
        <v>318</v>
      </c>
      <c r="K38" s="849" t="s">
        <v>976</v>
      </c>
      <c r="V38" s="675">
        <v>68</v>
      </c>
    </row>
    <row customHeight="1" ht="11.549999999999999">
      <c r="A39" s="675"/>
      <c r="C39" s="675"/>
      <c r="D39" s="517"/>
      <c r="E39" s="750" t="s">
        <v>977</v>
      </c>
      <c r="F39" s="742"/>
      <c r="G39" s="742"/>
      <c r="H39" s="866"/>
      <c r="I39" s="742"/>
      <c r="J39" s="866"/>
      <c r="K39" s="743"/>
      <c r="U39" s="675"/>
      <c r="V39" s="675">
        <v>11</v>
      </c>
    </row>
    <row customHeight="1" ht="22.5" hidden="1">
      <c r="A40" s="619" t="s">
        <v>85</v>
      </c>
      <c r="B40" s="675">
        <v>0</v>
      </c>
      <c r="C40" s="853">
        <v>4</v>
      </c>
      <c r="D40" s="675">
        <v>6</v>
      </c>
      <c r="E40" s="675">
        <v>36</v>
      </c>
      <c r="F40" s="675">
        <v>9</v>
      </c>
      <c r="G40" s="928">
        <v>0</v>
      </c>
      <c r="H40" s="928">
        <v>0</v>
      </c>
      <c r="I40" s="675">
        <v>25</v>
      </c>
      <c r="J40" s="675">
        <v>33</v>
      </c>
      <c r="K40" s="587">
        <v>93</v>
      </c>
      <c r="L40" s="675">
        <v>10</v>
      </c>
      <c r="M40" s="675">
        <v>10</v>
      </c>
      <c r="N40" s="675">
        <v>10</v>
      </c>
      <c r="O40" s="675">
        <v>10</v>
      </c>
      <c r="P40" s="675">
        <v>10</v>
      </c>
      <c r="Q40" s="675">
        <v>10</v>
      </c>
      <c r="R40" s="675">
        <v>10</v>
      </c>
      <c r="S40" s="675">
        <v>10</v>
      </c>
      <c r="T40" s="675">
        <v>10</v>
      </c>
      <c r="U40" s="845">
        <v>10</v>
      </c>
      <c r="V40" s="67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A3F2B2-6C2D-FCE4-4D35-0E004376E54B}"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4764" width="6.7109375" hidden="1" customWidth="1"/>
    <col min="4" max="4" style="11992" width="6.7109375" hidden="1" customWidth="1"/>
    <col min="5" max="5" style="11913" width="3.00390625" customWidth="1"/>
    <col min="6" max="6" style="11913" width="6.00390625" customWidth="1"/>
    <col min="7" max="7" style="11913" width="37.00390625" customWidth="1"/>
    <col min="8" max="8" style="11913" width="16.00390625" customWidth="1"/>
    <col min="9" max="10" style="11913" width="19.00390625" customWidth="1"/>
    <col min="11" max="11" style="11913" width="24.00390625" customWidth="1"/>
    <col min="12" max="13" style="11913" width="25.00390625" customWidth="1"/>
    <col min="14" max="16" style="11913" width="17.00390625" customWidth="1"/>
    <col min="17" max="24" style="11913" width="19.00390625" customWidth="1"/>
    <col min="25" max="25" style="11913" width="7.00390625" customWidth="1"/>
    <col min="26" max="26" style="11913" width="3.00390625" customWidth="1"/>
    <col min="27" max="27" style="11913" width="6.00390625" customWidth="1"/>
    <col min="28" max="28" style="11913" width="34.00390625" customWidth="1"/>
    <col min="29" max="30" style="11913" width="8.00390625" customWidth="1"/>
    <col min="31" max="31" style="11913" width="9.140625" hidden="1"/>
  </cols>
  <sheetData>
    <row s="11992" customFormat="1" customHeight="1" ht="10.5" hidden="1">
      <c r="A1" s="1065"/>
      <c r="B1" s="1065"/>
      <c r="C1" s="1065"/>
      <c r="E1" s="707"/>
      <c r="H1" s="1330"/>
      <c r="AE1" s="587" t="s">
        <v>14</v>
      </c>
    </row>
    <row customHeight="1" ht="10.5" hidden="1">
      <c r="AE2" s="928">
        <v>0</v>
      </c>
    </row>
    <row s="11877" customFormat="1" customHeight="1" ht="10.5" hidden="1">
      <c r="A3" s="1065"/>
      <c r="B3" s="1065"/>
      <c r="C3" s="1065"/>
      <c r="D3" s="587"/>
      <c r="E3" s="532"/>
      <c r="G3" s="1802" t="s">
        <v>978</v>
      </c>
      <c r="H3" s="1326"/>
      <c r="AE3" s="929">
        <v>0</v>
      </c>
    </row>
    <row customHeight="1" ht="3">
      <c r="AE4" s="928">
        <v>3</v>
      </c>
    </row>
    <row customHeight="1" ht="27.299999999999997">
      <c r="F5" s="241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18"/>
      <c r="H5" s="2418"/>
      <c r="I5" s="2418"/>
      <c r="J5" s="2418"/>
      <c r="K5" s="2418"/>
      <c r="M5" s="752"/>
      <c r="AB5" s="1076"/>
      <c r="AE5" s="928">
        <v>26</v>
      </c>
    </row>
    <row s="11913" customFormat="1" customHeight="1" ht="16.8">
      <c r="A6" s="1336"/>
      <c r="B6" s="1336"/>
      <c r="C6" s="1336"/>
      <c r="D6" s="1330"/>
      <c r="E6" s="1805"/>
      <c r="F6" s="2419" t="str">
        <f>IF(org=0,"Не определено",org)</f>
        <v>Филиал "Шатурская ГРЭС" ПАО "Юнипро"</v>
      </c>
      <c r="G6" s="2419"/>
      <c r="H6" s="2419"/>
      <c r="I6" s="2419"/>
      <c r="J6" s="2419"/>
      <c r="K6" s="2419"/>
      <c r="M6" s="752"/>
      <c r="AB6" s="1318"/>
      <c r="AE6" s="1801">
        <v>16</v>
      </c>
    </row>
    <row customHeight="1" ht="10.5">
      <c r="AE7" s="928">
        <v>10</v>
      </c>
    </row>
    <row customHeight="1" ht="10.5">
      <c r="A8" s="1221"/>
      <c r="B8" s="1221"/>
      <c r="C8" s="1221"/>
      <c r="F8" s="2271" t="s">
        <v>312</v>
      </c>
      <c r="G8" s="2272"/>
      <c r="H8" s="2272"/>
      <c r="I8" s="2272"/>
      <c r="J8" s="2272"/>
      <c r="K8" s="2272"/>
      <c r="L8" s="2272"/>
      <c r="M8" s="2272"/>
      <c r="N8" s="2272"/>
      <c r="O8" s="2272"/>
      <c r="P8" s="2272"/>
      <c r="Q8" s="2272"/>
      <c r="R8" s="2272"/>
      <c r="S8" s="2272"/>
      <c r="T8" s="2272"/>
      <c r="U8" s="2272"/>
      <c r="V8" s="2272"/>
      <c r="W8" s="2272"/>
      <c r="X8" s="2272"/>
      <c r="Y8" s="2272"/>
      <c r="Z8" s="2272"/>
      <c r="AA8" s="2272"/>
      <c r="AB8" s="2273"/>
      <c r="AE8" s="928">
        <v>10</v>
      </c>
    </row>
    <row customHeight="1" ht="43.050000000000004">
      <c r="A9" s="1075"/>
      <c r="B9" s="1075"/>
      <c r="C9" s="1075"/>
      <c r="F9" s="2297" t="s">
        <v>91</v>
      </c>
      <c r="G9" s="2297" t="s">
        <v>978</v>
      </c>
      <c r="H9" s="2345" t="s">
        <v>979</v>
      </c>
      <c r="I9" s="2297" t="s">
        <v>980</v>
      </c>
      <c r="J9" s="2297" t="s">
        <v>981</v>
      </c>
      <c r="K9" s="2297" t="s">
        <v>982</v>
      </c>
      <c r="L9" s="2297" t="s">
        <v>983</v>
      </c>
      <c r="M9" s="2297" t="s">
        <v>984</v>
      </c>
      <c r="N9" s="2379" t="s">
        <v>985</v>
      </c>
      <c r="O9" s="2379"/>
      <c r="P9" s="2379"/>
      <c r="Q9" s="2569" t="s">
        <v>986</v>
      </c>
      <c r="R9" s="2570"/>
      <c r="S9" s="2570"/>
      <c r="T9" s="2571"/>
      <c r="U9" s="2569" t="s">
        <v>987</v>
      </c>
      <c r="V9" s="2570"/>
      <c r="W9" s="2570"/>
      <c r="X9" s="2571"/>
      <c r="Y9" s="2271" t="s">
        <v>988</v>
      </c>
      <c r="Z9" s="2272"/>
      <c r="AA9" s="2272"/>
      <c r="AB9" s="2273"/>
      <c r="AE9" s="928">
        <v>41</v>
      </c>
    </row>
    <row customHeight="1" ht="43.050000000000004">
      <c r="A10" s="1075"/>
      <c r="B10" s="1075"/>
      <c r="C10" s="1075"/>
      <c r="F10" s="2345"/>
      <c r="G10" s="2345"/>
      <c r="H10" s="2402"/>
      <c r="I10" s="2345"/>
      <c r="J10" s="2345"/>
      <c r="K10" s="2345"/>
      <c r="L10" s="2345"/>
      <c r="M10" s="2345"/>
      <c r="N10" s="1073" t="s">
        <v>989</v>
      </c>
      <c r="O10" s="1073" t="s">
        <v>990</v>
      </c>
      <c r="P10" s="1074" t="s">
        <v>991</v>
      </c>
      <c r="Q10" s="1085" t="s">
        <v>92</v>
      </c>
      <c r="R10" s="1085" t="s">
        <v>992</v>
      </c>
      <c r="S10" s="1085" t="s">
        <v>993</v>
      </c>
      <c r="T10" s="1086" t="s">
        <v>994</v>
      </c>
      <c r="U10" s="1085" t="s">
        <v>92</v>
      </c>
      <c r="V10" s="1085" t="s">
        <v>995</v>
      </c>
      <c r="W10" s="1085" t="s">
        <v>993</v>
      </c>
      <c r="X10" s="1086" t="s">
        <v>994</v>
      </c>
      <c r="Y10" s="471" t="s">
        <v>996</v>
      </c>
      <c r="Z10" s="2271" t="s">
        <v>91</v>
      </c>
      <c r="AA10" s="2273"/>
      <c r="AB10" s="1219" t="s">
        <v>997</v>
      </c>
      <c r="AE10" s="928">
        <v>41</v>
      </c>
    </row>
    <row s="11993" customFormat="1" customHeight="1" ht="5.25" hidden="1">
      <c r="A11" s="1222"/>
      <c r="B11" s="1222"/>
      <c r="C11" s="1222"/>
      <c r="E11" s="1220"/>
      <c r="F11" s="2576" t="s">
        <v>388</v>
      </c>
      <c r="G11" s="2573"/>
      <c r="H11" s="2572"/>
      <c r="I11" s="2572"/>
      <c r="J11" s="2572"/>
      <c r="K11" s="2574"/>
      <c r="L11" s="2574"/>
      <c r="M11" s="2574"/>
      <c r="N11" s="2572"/>
      <c r="O11" s="2572"/>
      <c r="P11" s="2297"/>
      <c r="Q11" s="2349"/>
      <c r="R11" s="2349"/>
      <c r="S11" s="2349"/>
      <c r="T11" s="2572"/>
      <c r="U11" s="2349"/>
      <c r="V11" s="2349"/>
      <c r="W11" s="2349"/>
      <c r="X11" s="2572"/>
      <c r="Y11" s="2278"/>
      <c r="Z11" s="2278"/>
      <c r="AA11" s="2278"/>
      <c r="AB11" s="2278"/>
      <c r="AD11" s="681" t="s">
        <v>998</v>
      </c>
      <c r="AE11" s="681">
        <v>0</v>
      </c>
    </row>
    <row s="11993" customFormat="1" customHeight="1" ht="5.25" hidden="1">
      <c r="A12" s="1066"/>
      <c r="B12" s="1066"/>
      <c r="C12" s="1066"/>
      <c r="E12" s="688"/>
      <c r="F12" s="2576"/>
      <c r="G12" s="2573"/>
      <c r="H12" s="2572"/>
      <c r="I12" s="2572"/>
      <c r="J12" s="2572"/>
      <c r="K12" s="2574"/>
      <c r="L12" s="2574"/>
      <c r="M12" s="2574"/>
      <c r="N12" s="2572"/>
      <c r="O12" s="2572"/>
      <c r="P12" s="2297"/>
      <c r="Q12" s="2349"/>
      <c r="R12" s="2349"/>
      <c r="S12" s="2349"/>
      <c r="T12" s="2572"/>
      <c r="U12" s="2349"/>
      <c r="V12" s="2349"/>
      <c r="W12" s="2349"/>
      <c r="X12" s="2572"/>
      <c r="Y12" s="2575"/>
      <c r="Z12" s="2575"/>
      <c r="AA12" s="2575"/>
      <c r="AB12" s="2575"/>
      <c r="AE12" s="681">
        <v>0</v>
      </c>
    </row>
    <row customHeight="1" ht="10.5">
      <c r="F13" s="1072"/>
      <c r="G13" s="820" t="s">
        <v>999</v>
      </c>
      <c r="H13" s="1338"/>
      <c r="I13" s="742"/>
      <c r="J13" s="742"/>
      <c r="K13" s="742"/>
      <c r="L13" s="742"/>
      <c r="M13" s="742"/>
      <c r="N13" s="742"/>
      <c r="O13" s="742"/>
      <c r="P13" s="742"/>
      <c r="Q13" s="742"/>
      <c r="R13" s="742"/>
      <c r="S13" s="742"/>
      <c r="T13" s="742"/>
      <c r="U13" s="742"/>
      <c r="V13" s="742"/>
      <c r="W13" s="742"/>
      <c r="X13" s="742"/>
      <c r="Y13" s="742"/>
      <c r="Z13" s="866"/>
      <c r="AA13" s="866"/>
      <c r="AB13" s="1087"/>
      <c r="AE13" s="928">
        <v>10</v>
      </c>
    </row>
    <row customHeight="1" ht="10.5">
      <c r="AE14" s="928">
        <v>10</v>
      </c>
    </row>
    <row s="11993" customFormat="1" customHeight="1" ht="10.5">
      <c r="A15" s="1337"/>
      <c r="B15" s="1337"/>
      <c r="C15" s="1337"/>
      <c r="E15" s="688"/>
      <c r="H15" s="681">
        <f>_xlfn.IFERROR(MATCH("нет",IP_MAIN_DIFFERENTIATION_EVENTS_FLAG,0),0)</f>
        <v>0</v>
      </c>
      <c r="AE15" s="681">
        <v>10</v>
      </c>
    </row>
    <row customHeight="1" ht="10.5" hidden="1">
      <c r="A16" s="1065" t="s">
        <v>85</v>
      </c>
      <c r="B16" s="1065">
        <v>0</v>
      </c>
      <c r="C16" s="1065">
        <v>0</v>
      </c>
      <c r="D16" s="587">
        <v>0</v>
      </c>
      <c r="E16" s="679">
        <v>3</v>
      </c>
      <c r="F16" s="928">
        <v>6</v>
      </c>
      <c r="G16" s="928">
        <v>37</v>
      </c>
      <c r="H16" s="1325">
        <v>16</v>
      </c>
      <c r="I16" s="928">
        <v>19</v>
      </c>
      <c r="J16" s="928">
        <v>19</v>
      </c>
      <c r="K16" s="928">
        <v>24</v>
      </c>
      <c r="L16" s="928">
        <v>25</v>
      </c>
      <c r="M16" s="928">
        <v>25</v>
      </c>
      <c r="N16" s="928">
        <v>17</v>
      </c>
      <c r="O16" s="928">
        <v>17</v>
      </c>
      <c r="P16" s="928">
        <v>17</v>
      </c>
      <c r="Q16" s="928">
        <v>19</v>
      </c>
      <c r="R16" s="928">
        <v>19</v>
      </c>
      <c r="S16" s="928">
        <v>19</v>
      </c>
      <c r="T16" s="928">
        <v>19</v>
      </c>
      <c r="U16" s="928">
        <v>19</v>
      </c>
      <c r="V16" s="928">
        <v>19</v>
      </c>
      <c r="W16" s="928">
        <v>19</v>
      </c>
      <c r="X16" s="928">
        <v>19</v>
      </c>
      <c r="Y16" s="928">
        <v>7</v>
      </c>
      <c r="Z16" s="928">
        <v>3</v>
      </c>
      <c r="AA16" s="928">
        <v>6</v>
      </c>
      <c r="AB16" s="928">
        <v>34</v>
      </c>
      <c r="AC16" s="928">
        <v>8</v>
      </c>
      <c r="AD16" s="928">
        <v>8</v>
      </c>
      <c r="AE16" s="92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CE1CA2-9E84-6307-F209-416514D2B82B}"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4764" width="4.140625" hidden="1" customWidth="1"/>
    <col min="4" max="4" style="11992" width="4.140625" hidden="1" customWidth="1"/>
    <col min="5" max="5" style="11913" width="3.00390625" customWidth="1"/>
    <col min="6" max="6" style="11913" width="14.00390625" customWidth="1"/>
    <col min="7" max="7" style="11913" width="3.00390625" customWidth="1"/>
    <col min="8" max="8" style="11913" width="7.00390625" customWidth="1"/>
    <col min="9" max="10" style="11913" width="16.00390625" customWidth="1"/>
    <col min="11" max="11" style="11913" width="25.00390625" customWidth="1"/>
    <col min="12" max="12" style="11913" width="7.00390625" customWidth="1"/>
    <col min="13" max="13" style="11913" width="15.00390625" customWidth="1"/>
    <col min="14" max="14" style="11913" width="3.00390625" customWidth="1"/>
    <col min="15" max="15" style="11913" width="4.00390625" customWidth="1"/>
    <col min="16" max="16" style="11913" width="8.00390625" customWidth="1"/>
    <col min="17" max="17" style="11913" width="21.00390625" customWidth="1"/>
    <col min="18" max="18" style="11913" width="14.00390625" customWidth="1"/>
    <col min="19" max="20" style="11913" width="17.00390625" customWidth="1"/>
    <col min="21" max="21" style="11913" width="9.00390625" customWidth="1"/>
    <col min="22" max="22" style="11913" width="12.00390625" customWidth="1"/>
    <col min="23" max="23" style="11913" width="9.00390625" customWidth="1"/>
    <col min="24" max="24" style="11913" width="21.00390625" customWidth="1"/>
    <col min="25" max="25" style="11913" width="12.00390625" customWidth="1"/>
    <col min="26" max="26" style="11913" width="3.00390625" customWidth="1"/>
    <col min="27" max="27" style="11913" width="6.00390625" customWidth="1"/>
    <col min="28" max="28" style="11913" width="38.00390625" customWidth="1"/>
    <col min="29" max="29" style="11913" width="15.00390625" customWidth="1"/>
    <col min="30" max="30" style="11913" width="37.57421875" hidden="1" customWidth="1"/>
    <col min="31" max="31" style="11913" width="15.7109375" hidden="1" customWidth="1"/>
    <col min="32" max="34" style="11913" width="16.00390625" customWidth="1"/>
    <col min="35" max="37" style="11913" width="16.7109375" hidden="1" customWidth="1"/>
    <col min="38" max="58" style="11913" width="8.00390625" customWidth="1"/>
    <col min="59" max="59" style="11913" width="9.140625" hidden="1"/>
  </cols>
  <sheetData>
    <row s="11992" customFormat="1" customHeight="1" ht="10.5" hidden="1">
      <c r="A1" s="1065"/>
      <c r="B1" s="1065"/>
      <c r="C1" s="1065"/>
      <c r="E1" s="707"/>
      <c r="H1" s="1330"/>
      <c r="L1" s="1298"/>
      <c r="M1" s="1298"/>
      <c r="AD1" s="1298"/>
      <c r="AH1" s="1317"/>
      <c r="AI1" s="1310"/>
      <c r="BG1" s="587" t="s">
        <v>14</v>
      </c>
    </row>
    <row customHeight="1" ht="10.5" hidden="1">
      <c r="BG2" s="928">
        <v>0</v>
      </c>
    </row>
    <row s="11877" customFormat="1" customHeight="1" ht="10.5" hidden="1">
      <c r="A3" s="1065"/>
      <c r="B3" s="1065"/>
      <c r="C3" s="1065"/>
      <c r="D3" s="587"/>
      <c r="E3" s="532"/>
      <c r="H3" s="1326"/>
      <c r="L3" s="1296"/>
      <c r="M3" s="1296"/>
      <c r="AD3" s="1296"/>
      <c r="AH3" s="1315"/>
      <c r="AI3" s="1308"/>
      <c r="BG3" s="929">
        <v>0</v>
      </c>
    </row>
    <row customHeight="1" ht="3">
      <c r="BG4" s="928">
        <v>3</v>
      </c>
    </row>
    <row customHeight="1" ht="27.299999999999997">
      <c r="F5" s="241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18"/>
      <c r="H5" s="2418"/>
      <c r="I5" s="2418"/>
      <c r="J5" s="2418"/>
      <c r="K5" s="2418"/>
      <c r="L5" s="1305"/>
      <c r="M5" s="1305"/>
      <c r="AG5" s="1076"/>
      <c r="AH5" s="1318"/>
      <c r="BG5" s="928">
        <v>26</v>
      </c>
    </row>
    <row customHeight="1" ht="10.5">
      <c r="F6" s="2346" t="str">
        <f>IF(org=0,"Не определено",org)</f>
        <v>Филиал "Шатурская ГРЭС" ПАО "Юнипро"</v>
      </c>
      <c r="G6" s="2346"/>
      <c r="H6" s="2346"/>
      <c r="I6" s="2346"/>
      <c r="J6" s="2346"/>
      <c r="K6" s="2346"/>
      <c r="L6" s="1306"/>
      <c r="M6" s="1306"/>
      <c r="BG6" s="928">
        <v>10</v>
      </c>
    </row>
    <row customHeight="1" ht="11.549999999999999">
      <c r="E7" s="1078"/>
      <c r="F7" s="1089"/>
      <c r="G7" s="1089"/>
      <c r="H7" s="1354"/>
      <c r="I7" s="1089"/>
      <c r="J7" s="1089"/>
      <c r="K7" s="1091"/>
      <c r="L7" s="1303"/>
      <c r="M7" s="1303"/>
      <c r="N7" s="1089"/>
      <c r="O7" s="1089"/>
      <c r="P7" s="1089"/>
      <c r="Q7" s="1091"/>
      <c r="R7" s="1089"/>
      <c r="S7" s="1089"/>
      <c r="T7" s="1089"/>
      <c r="U7" s="1089"/>
      <c r="V7" s="1089"/>
      <c r="W7" s="1089"/>
      <c r="X7" s="1089"/>
      <c r="Y7" s="1089"/>
      <c r="Z7" s="1089"/>
      <c r="AA7" s="1089"/>
      <c r="AB7" s="1089"/>
      <c r="AC7" s="1090"/>
      <c r="AD7" s="1302"/>
      <c r="AE7" s="1090"/>
      <c r="AF7" s="1089"/>
      <c r="AG7" s="1089"/>
      <c r="AH7" s="1320"/>
      <c r="AI7" s="1313"/>
      <c r="AJ7" s="1089"/>
      <c r="AK7" s="1089"/>
      <c r="AL7" s="1080"/>
      <c r="AM7" s="1080"/>
      <c r="AN7" s="1080"/>
      <c r="AO7" s="1077"/>
      <c r="AP7" s="1077"/>
      <c r="AQ7" s="1077"/>
      <c r="AR7" s="1077"/>
      <c r="AS7" s="1077"/>
      <c r="AT7" s="1077"/>
      <c r="AU7" s="1077"/>
      <c r="AV7" s="1077"/>
      <c r="AW7" s="1077"/>
      <c r="AX7" s="1077"/>
      <c r="AY7" s="1077"/>
      <c r="AZ7" s="1077"/>
      <c r="BA7" s="1077"/>
      <c r="BB7" s="1077"/>
      <c r="BC7" s="1077"/>
      <c r="BD7" s="1077"/>
      <c r="BE7" s="1077"/>
      <c r="BF7" s="1077"/>
      <c r="BG7" s="928">
        <v>11</v>
      </c>
    </row>
    <row customHeight="1" ht="10.5">
      <c r="E8" s="1078"/>
      <c r="F8" s="2585" t="s">
        <v>312</v>
      </c>
      <c r="G8" s="2586"/>
      <c r="H8" s="2586"/>
      <c r="I8" s="2586"/>
      <c r="J8" s="2586"/>
      <c r="K8" s="2586"/>
      <c r="L8" s="2586"/>
      <c r="M8" s="2586"/>
      <c r="N8" s="2586"/>
      <c r="O8" s="2586"/>
      <c r="P8" s="2586"/>
      <c r="Q8" s="2586"/>
      <c r="R8" s="2586"/>
      <c r="S8" s="2586"/>
      <c r="T8" s="2586"/>
      <c r="U8" s="2586"/>
      <c r="V8" s="2586"/>
      <c r="W8" s="2586"/>
      <c r="X8" s="2586"/>
      <c r="Y8" s="2586"/>
      <c r="Z8" s="2586"/>
      <c r="AA8" s="2586"/>
      <c r="AB8" s="2586"/>
      <c r="AC8" s="2586"/>
      <c r="AD8" s="2586"/>
      <c r="AE8" s="2586"/>
      <c r="AF8" s="2586"/>
      <c r="AG8" s="2586"/>
      <c r="AH8" s="2586"/>
      <c r="AI8" s="2586"/>
      <c r="AJ8" s="2586"/>
      <c r="AK8" s="2587"/>
      <c r="AL8" s="1079"/>
      <c r="AM8" s="1077"/>
      <c r="AN8" s="1077"/>
      <c r="AO8" s="1077"/>
      <c r="AP8" s="1077"/>
      <c r="AQ8" s="1077"/>
      <c r="AR8" s="1077"/>
      <c r="AS8" s="1077"/>
      <c r="AT8" s="1077"/>
      <c r="AU8" s="1077"/>
      <c r="AV8" s="1077"/>
      <c r="AW8" s="1077"/>
      <c r="AX8" s="1077"/>
      <c r="AY8" s="1077"/>
      <c r="AZ8" s="1077"/>
      <c r="BA8" s="1077"/>
      <c r="BB8" s="1077"/>
      <c r="BC8" s="1077"/>
      <c r="BD8" s="1077"/>
      <c r="BE8" s="1077"/>
      <c r="BF8" s="1077"/>
      <c r="BG8" s="928">
        <v>10</v>
      </c>
    </row>
    <row customHeight="1" ht="24">
      <c r="A9" s="1075"/>
      <c r="B9" s="1075"/>
      <c r="C9" s="1075"/>
      <c r="E9" s="1078"/>
      <c r="F9" s="2578" t="s">
        <v>1000</v>
      </c>
      <c r="G9" s="2579" t="s">
        <v>1001</v>
      </c>
      <c r="H9" s="2580"/>
      <c r="I9" s="2297" t="s">
        <v>1002</v>
      </c>
      <c r="J9" s="2297"/>
      <c r="K9" s="2297" t="s">
        <v>1003</v>
      </c>
      <c r="L9" s="2297"/>
      <c r="M9" s="2297"/>
      <c r="N9" s="2297"/>
      <c r="O9" s="2297"/>
      <c r="P9" s="2297"/>
      <c r="Q9" s="2297"/>
      <c r="R9" s="2297"/>
      <c r="S9" s="2297"/>
      <c r="T9" s="2297"/>
      <c r="U9" s="2297"/>
      <c r="V9" s="2297"/>
      <c r="W9" s="2297"/>
      <c r="X9" s="2297"/>
      <c r="Y9" s="2297"/>
      <c r="Z9" s="2362" t="s">
        <v>1004</v>
      </c>
      <c r="AA9" s="2363"/>
      <c r="AB9" s="2297" t="s">
        <v>1005</v>
      </c>
      <c r="AC9" s="2297"/>
      <c r="AD9" s="2297"/>
      <c r="AE9" s="2297"/>
      <c r="AF9" s="2345" t="s">
        <v>1006</v>
      </c>
      <c r="AG9" s="2297" t="s">
        <v>1007</v>
      </c>
      <c r="AH9" s="2297"/>
      <c r="AI9" s="2345" t="s">
        <v>1008</v>
      </c>
      <c r="AJ9" s="2297" t="s">
        <v>1009</v>
      </c>
      <c r="AK9" s="2297"/>
      <c r="AL9" s="1312"/>
      <c r="AM9" s="1077"/>
      <c r="AN9" s="1077"/>
      <c r="AO9" s="1077"/>
      <c r="AP9" s="1077"/>
      <c r="AQ9" s="1077"/>
      <c r="AR9" s="1077"/>
      <c r="AS9" s="1077"/>
      <c r="AT9" s="1077"/>
      <c r="AU9" s="1077"/>
      <c r="AV9" s="1077"/>
      <c r="AW9" s="1077"/>
      <c r="AX9" s="1077"/>
      <c r="AY9" s="1077"/>
      <c r="AZ9" s="1077"/>
      <c r="BA9" s="1077"/>
      <c r="BB9" s="1077"/>
      <c r="BC9" s="1077"/>
      <c r="BD9" s="1077"/>
      <c r="BE9" s="1077"/>
      <c r="BF9" s="1077"/>
      <c r="BG9" s="928">
        <v>23</v>
      </c>
    </row>
    <row customHeight="1" ht="25.2">
      <c r="A10" s="1075"/>
      <c r="B10" s="1075"/>
      <c r="C10" s="1075"/>
      <c r="E10" s="1082"/>
      <c r="F10" s="2578"/>
      <c r="G10" s="2581"/>
      <c r="H10" s="2582"/>
      <c r="I10" s="2297"/>
      <c r="J10" s="2297"/>
      <c r="K10" s="2297" t="s">
        <v>1010</v>
      </c>
      <c r="L10" s="2271" t="s">
        <v>1011</v>
      </c>
      <c r="M10" s="2273"/>
      <c r="N10" s="2297" t="s">
        <v>1012</v>
      </c>
      <c r="O10" s="2297"/>
      <c r="P10" s="2297"/>
      <c r="Q10" s="2297"/>
      <c r="R10" s="2297"/>
      <c r="S10" s="2297"/>
      <c r="T10" s="2297"/>
      <c r="U10" s="2297"/>
      <c r="V10" s="2297"/>
      <c r="W10" s="2297"/>
      <c r="X10" s="2297"/>
      <c r="Y10" s="2297"/>
      <c r="Z10" s="2364"/>
      <c r="AA10" s="2365"/>
      <c r="AB10" s="2297"/>
      <c r="AC10" s="2297"/>
      <c r="AD10" s="2297"/>
      <c r="AE10" s="2297"/>
      <c r="AF10" s="2369"/>
      <c r="AG10" s="2297"/>
      <c r="AH10" s="2297"/>
      <c r="AI10" s="2369"/>
      <c r="AJ10" s="2297"/>
      <c r="AK10" s="2297"/>
      <c r="AL10" s="1312"/>
      <c r="AM10" s="1083"/>
      <c r="AN10" s="1083"/>
      <c r="AO10" s="1083"/>
      <c r="AP10" s="1083"/>
      <c r="AQ10" s="1083"/>
      <c r="AR10" s="1083"/>
      <c r="AS10" s="1083"/>
      <c r="AT10" s="1083"/>
      <c r="AU10" s="1083"/>
      <c r="AV10" s="1083"/>
      <c r="AW10" s="1083"/>
      <c r="AX10" s="1083"/>
      <c r="AY10" s="1083"/>
      <c r="AZ10" s="1083"/>
      <c r="BA10" s="1083"/>
      <c r="BB10" s="1083"/>
      <c r="BC10" s="1083"/>
      <c r="BD10" s="1083"/>
      <c r="BE10" s="1083"/>
      <c r="BF10" s="1083"/>
      <c r="BG10" s="928">
        <v>24</v>
      </c>
    </row>
    <row s="11913" customFormat="1" customHeight="1" ht="25.2">
      <c r="A11" s="1299"/>
      <c r="B11" s="1299"/>
      <c r="C11" s="1299"/>
      <c r="D11" s="1298"/>
      <c r="E11" s="1300"/>
      <c r="F11" s="2578"/>
      <c r="G11" s="2581"/>
      <c r="H11" s="2582"/>
      <c r="I11" s="2297"/>
      <c r="J11" s="2297"/>
      <c r="K11" s="2297"/>
      <c r="L11" s="2345" t="s">
        <v>1013</v>
      </c>
      <c r="M11" s="2345" t="s">
        <v>1014</v>
      </c>
      <c r="N11" s="2297" t="s">
        <v>1015</v>
      </c>
      <c r="O11" s="2297"/>
      <c r="P11" s="2588" t="s">
        <v>996</v>
      </c>
      <c r="Q11" s="2588" t="s">
        <v>1016</v>
      </c>
      <c r="R11" s="2588" t="s">
        <v>1017</v>
      </c>
      <c r="S11" s="2588" t="s">
        <v>1018</v>
      </c>
      <c r="T11" s="2588"/>
      <c r="U11" s="2588"/>
      <c r="V11" s="2588"/>
      <c r="W11" s="2588"/>
      <c r="X11" s="2588"/>
      <c r="Y11" s="2588"/>
      <c r="Z11" s="2364"/>
      <c r="AA11" s="2365"/>
      <c r="AB11" s="2297" t="s">
        <v>1019</v>
      </c>
      <c r="AC11" s="2297"/>
      <c r="AD11" s="2271" t="s">
        <v>1020</v>
      </c>
      <c r="AE11" s="2273"/>
      <c r="AF11" s="2369"/>
      <c r="AG11" s="2297"/>
      <c r="AH11" s="2297"/>
      <c r="AI11" s="2369"/>
      <c r="AJ11" s="2297"/>
      <c r="AK11" s="2297"/>
      <c r="AL11" s="1312"/>
      <c r="AM11" s="1297"/>
      <c r="AN11" s="1297"/>
      <c r="AO11" s="1297"/>
      <c r="AP11" s="1297"/>
      <c r="AQ11" s="1297"/>
      <c r="AR11" s="1297"/>
      <c r="AS11" s="1297"/>
      <c r="AT11" s="1297"/>
      <c r="AU11" s="1297"/>
      <c r="AV11" s="1297"/>
      <c r="AW11" s="1297"/>
      <c r="AX11" s="1297"/>
      <c r="AY11" s="1297"/>
      <c r="AZ11" s="1297"/>
      <c r="BA11" s="1297"/>
      <c r="BB11" s="1297"/>
      <c r="BC11" s="1297"/>
      <c r="BD11" s="1297"/>
      <c r="BE11" s="1297"/>
      <c r="BF11" s="1297"/>
      <c r="BG11" s="1295">
        <v>24</v>
      </c>
    </row>
    <row customHeight="1" ht="35.699999999999996">
      <c r="A12" s="1075"/>
      <c r="B12" s="1075"/>
      <c r="C12" s="1075"/>
      <c r="E12" s="1078"/>
      <c r="F12" s="2578"/>
      <c r="G12" s="2583"/>
      <c r="H12" s="2584"/>
      <c r="I12" s="1323" t="s">
        <v>92</v>
      </c>
      <c r="J12" s="1323" t="s">
        <v>1021</v>
      </c>
      <c r="K12" s="2297"/>
      <c r="L12" s="2402"/>
      <c r="M12" s="2402"/>
      <c r="N12" s="2297"/>
      <c r="O12" s="2297"/>
      <c r="P12" s="2588"/>
      <c r="Q12" s="2588"/>
      <c r="R12" s="2588"/>
      <c r="S12" s="1304" t="s">
        <v>89</v>
      </c>
      <c r="T12" s="1304" t="s">
        <v>90</v>
      </c>
      <c r="U12" s="1304" t="s">
        <v>88</v>
      </c>
      <c r="V12" s="1304" t="s">
        <v>1022</v>
      </c>
      <c r="W12" s="1304" t="s">
        <v>88</v>
      </c>
      <c r="X12" s="1304" t="s">
        <v>1023</v>
      </c>
      <c r="Y12" s="1304" t="s">
        <v>1024</v>
      </c>
      <c r="Z12" s="2370"/>
      <c r="AA12" s="2371"/>
      <c r="AB12" s="1311" t="s">
        <v>1025</v>
      </c>
      <c r="AC12" s="1311" t="s">
        <v>1026</v>
      </c>
      <c r="AD12" s="1311" t="s">
        <v>1025</v>
      </c>
      <c r="AE12" s="1311" t="s">
        <v>1026</v>
      </c>
      <c r="AF12" s="2402"/>
      <c r="AG12" s="1324" t="s">
        <v>1027</v>
      </c>
      <c r="AH12" s="1324" t="s">
        <v>1028</v>
      </c>
      <c r="AI12" s="2402"/>
      <c r="AJ12" s="1324" t="s">
        <v>1027</v>
      </c>
      <c r="AK12" s="1324" t="s">
        <v>1028</v>
      </c>
      <c r="AL12" s="1312"/>
      <c r="AM12" s="1077"/>
      <c r="AN12" s="1077"/>
      <c r="AO12" s="1077"/>
      <c r="AP12" s="1077"/>
      <c r="AQ12" s="1077"/>
      <c r="AR12" s="1077"/>
      <c r="AS12" s="1077"/>
      <c r="AT12" s="1077"/>
      <c r="AU12" s="1077"/>
      <c r="AV12" s="1077"/>
      <c r="AW12" s="1077"/>
      <c r="AX12" s="1077"/>
      <c r="AY12" s="1077"/>
      <c r="AZ12" s="1077"/>
      <c r="BA12" s="1077"/>
      <c r="BB12" s="1077"/>
      <c r="BC12" s="1077"/>
      <c r="BD12" s="1077"/>
      <c r="BE12" s="1077"/>
      <c r="BF12" s="1077"/>
      <c r="BG12" s="928">
        <v>34</v>
      </c>
    </row>
    <row customHeight="1" ht="1.05">
      <c r="E13" s="1078"/>
      <c r="F13" s="1294">
        <v>0</v>
      </c>
      <c r="G13" s="1294"/>
      <c r="H13" s="1294"/>
      <c r="I13" s="1294"/>
      <c r="J13" s="1294"/>
      <c r="K13" s="1301"/>
      <c r="L13" s="1301"/>
      <c r="M13" s="1301"/>
      <c r="N13" s="1301"/>
      <c r="O13" s="1301"/>
      <c r="P13" s="1301"/>
      <c r="Q13" s="1301"/>
      <c r="R13" s="1301"/>
      <c r="S13" s="1301"/>
      <c r="T13" s="1301"/>
      <c r="U13" s="1301"/>
      <c r="V13" s="1301"/>
      <c r="W13" s="1301"/>
      <c r="X13" s="1301"/>
      <c r="Y13" s="1301"/>
      <c r="Z13" s="1301"/>
      <c r="AA13" s="1301"/>
      <c r="AB13" s="1301"/>
      <c r="AC13" s="1301"/>
      <c r="AD13" s="1301"/>
      <c r="AE13" s="1301"/>
      <c r="AF13" s="1301"/>
      <c r="AG13" s="1301"/>
      <c r="AH13" s="1319"/>
      <c r="AI13" s="1312"/>
      <c r="AJ13" s="1301"/>
      <c r="AK13" s="1301"/>
      <c r="AL13" s="1079"/>
      <c r="AM13" s="1077"/>
      <c r="AN13" s="1077"/>
      <c r="AO13" s="1077"/>
      <c r="AP13" s="1077"/>
      <c r="AQ13" s="1077"/>
      <c r="AR13" s="1077"/>
      <c r="AS13" s="1077"/>
      <c r="AT13" s="1077"/>
      <c r="AU13" s="1077"/>
      <c r="AV13" s="1077"/>
      <c r="AW13" s="1077"/>
      <c r="AX13" s="1077"/>
      <c r="AY13" s="1077"/>
      <c r="AZ13" s="1077"/>
      <c r="BA13" s="1077"/>
      <c r="BB13" s="1077"/>
      <c r="BC13" s="1077"/>
      <c r="BD13" s="1077"/>
      <c r="BE13" s="1077"/>
      <c r="BF13" s="1077"/>
      <c r="BG13" s="928">
        <v>1</v>
      </c>
    </row>
    <row customHeight="1" ht="10.5">
      <c r="E14" s="1077"/>
      <c r="F14" s="1088"/>
      <c r="G14" s="1088"/>
      <c r="H14" s="1342"/>
      <c r="I14" s="1088"/>
      <c r="J14" s="1088"/>
      <c r="K14" s="1088"/>
      <c r="L14" s="1301"/>
      <c r="M14" s="1301"/>
      <c r="N14" s="1088"/>
      <c r="O14" s="1088"/>
      <c r="P14" s="1088"/>
      <c r="Q14" s="1088"/>
      <c r="R14" s="1088"/>
      <c r="S14" s="1088"/>
      <c r="T14" s="1088"/>
      <c r="U14" s="1088"/>
      <c r="V14" s="1088"/>
      <c r="W14" s="1088"/>
      <c r="X14" s="1088"/>
      <c r="Y14" s="1088"/>
      <c r="Z14" s="1088"/>
      <c r="AA14" s="1088"/>
      <c r="AB14" s="1088"/>
      <c r="AC14" s="1088"/>
      <c r="AD14" s="1301"/>
      <c r="AE14" s="1088"/>
      <c r="AF14" s="1088"/>
      <c r="AG14" s="1088"/>
      <c r="AH14" s="1319"/>
      <c r="AI14" s="1312"/>
      <c r="AJ14" s="1088"/>
      <c r="AK14" s="1088"/>
      <c r="AL14" s="1077"/>
      <c r="AM14" s="1077"/>
      <c r="AN14" s="1077"/>
      <c r="AO14" s="1077"/>
      <c r="AP14" s="1077"/>
      <c r="AQ14" s="1077"/>
      <c r="AR14" s="1077"/>
      <c r="AS14" s="1077"/>
      <c r="AT14" s="1077"/>
      <c r="AU14" s="1077"/>
      <c r="AV14" s="1077"/>
      <c r="AW14" s="1077"/>
      <c r="AX14" s="1077"/>
      <c r="AY14" s="1077"/>
      <c r="AZ14" s="1077"/>
      <c r="BA14" s="1077"/>
      <c r="BB14" s="1077"/>
      <c r="BC14" s="1077"/>
      <c r="BD14" s="1077"/>
      <c r="BE14" s="1077"/>
      <c r="BF14" s="1077"/>
      <c r="BG14" s="928">
        <v>10</v>
      </c>
    </row>
    <row customHeight="1" ht="13.5">
      <c r="E15" s="1077"/>
      <c r="F15" s="1084" t="s">
        <v>1029</v>
      </c>
      <c r="G15" s="1084"/>
      <c r="H15" s="1341"/>
      <c r="I15" s="1084"/>
      <c r="J15" s="1084"/>
      <c r="K15" s="1081"/>
      <c r="L15" s="1297"/>
      <c r="M15" s="1297"/>
      <c r="N15" s="1083"/>
      <c r="O15" s="1083"/>
      <c r="P15" s="1083"/>
      <c r="Q15" s="1083"/>
      <c r="R15" s="1083"/>
      <c r="S15" s="1083"/>
      <c r="T15" s="1083"/>
      <c r="U15" s="1083"/>
      <c r="V15" s="1083"/>
      <c r="W15" s="1083"/>
      <c r="X15" s="1083"/>
      <c r="Y15" s="1083"/>
      <c r="Z15" s="1081"/>
      <c r="AA15" s="1081"/>
      <c r="AB15" s="1081"/>
      <c r="AC15" s="1081"/>
      <c r="AD15" s="1297"/>
      <c r="AE15" s="1081"/>
      <c r="AF15" s="1081"/>
      <c r="AG15" s="1081"/>
      <c r="AH15" s="1316"/>
      <c r="AI15" s="1309"/>
      <c r="AJ15" s="1081"/>
      <c r="AK15" s="1081"/>
      <c r="AL15" s="1077"/>
      <c r="AM15" s="1077"/>
      <c r="AN15" s="1077"/>
      <c r="AO15" s="1077"/>
      <c r="AP15" s="1077"/>
      <c r="AQ15" s="1077"/>
      <c r="AR15" s="1077"/>
      <c r="AS15" s="1077"/>
      <c r="AT15" s="1077"/>
      <c r="AU15" s="1077"/>
      <c r="AV15" s="1077"/>
      <c r="AW15" s="1077"/>
      <c r="AX15" s="1077"/>
      <c r="AY15" s="1077"/>
      <c r="AZ15" s="1077"/>
      <c r="BA15" s="1077"/>
      <c r="BB15" s="1077"/>
      <c r="BC15" s="1077"/>
      <c r="BD15" s="1077"/>
      <c r="BE15" s="1077"/>
      <c r="BF15" s="1077"/>
      <c r="BG15" s="928">
        <v>13</v>
      </c>
    </row>
    <row customHeight="1" ht="10.5">
      <c r="BG16" s="928">
        <v>10</v>
      </c>
    </row>
    <row customHeight="1" ht="10.5">
      <c r="E17" s="1077"/>
      <c r="F17" s="2577"/>
      <c r="G17" s="2577"/>
      <c r="H17" s="2577"/>
      <c r="I17" s="2577"/>
      <c r="J17" s="2577"/>
      <c r="K17" s="1081"/>
      <c r="L17" s="1297"/>
      <c r="M17" s="1297"/>
      <c r="N17" s="1083"/>
      <c r="O17" s="1083"/>
      <c r="P17" s="1083"/>
      <c r="Q17" s="1083"/>
      <c r="R17" s="1083"/>
      <c r="S17" s="1083"/>
      <c r="T17" s="1083"/>
      <c r="U17" s="1083"/>
      <c r="V17" s="1083"/>
      <c r="W17" s="1083"/>
      <c r="X17" s="1083"/>
      <c r="Y17" s="1083"/>
      <c r="Z17" s="1081"/>
      <c r="AA17" s="1081"/>
      <c r="AB17" s="1081"/>
      <c r="AC17" s="1081"/>
      <c r="AD17" s="1297"/>
      <c r="AE17" s="1081"/>
      <c r="AF17" s="1081"/>
      <c r="AG17" s="1081"/>
      <c r="AH17" s="1316"/>
      <c r="AI17" s="1309"/>
      <c r="AJ17" s="1081"/>
      <c r="AK17" s="1081"/>
      <c r="AL17" s="1077"/>
      <c r="AM17" s="1077"/>
      <c r="AN17" s="1077"/>
      <c r="AO17" s="1077"/>
      <c r="AP17" s="1077"/>
      <c r="AQ17" s="1077"/>
      <c r="AR17" s="1077"/>
      <c r="AS17" s="1077"/>
      <c r="AT17" s="1077"/>
      <c r="AU17" s="1077"/>
      <c r="AV17" s="1077"/>
      <c r="AW17" s="1077"/>
      <c r="AX17" s="1077"/>
      <c r="AY17" s="1077"/>
      <c r="AZ17" s="1077"/>
      <c r="BA17" s="1077"/>
      <c r="BB17" s="1077"/>
      <c r="BC17" s="1077"/>
      <c r="BD17" s="1077"/>
      <c r="BE17" s="1077"/>
      <c r="BF17" s="1077"/>
      <c r="BG17" s="928">
        <v>10</v>
      </c>
    </row>
    <row customHeight="1" ht="10.5">
      <c r="E18" s="1077"/>
      <c r="F18" s="2577"/>
      <c r="G18" s="2577"/>
      <c r="H18" s="2577"/>
      <c r="I18" s="2577"/>
      <c r="J18" s="2577"/>
      <c r="K18" s="1081"/>
      <c r="L18" s="1297"/>
      <c r="M18" s="1297"/>
      <c r="N18" s="1083"/>
      <c r="O18" s="1083"/>
      <c r="P18" s="1083"/>
      <c r="Q18" s="1083"/>
      <c r="R18" s="1083"/>
      <c r="S18" s="1083"/>
      <c r="T18" s="1083"/>
      <c r="U18" s="1083"/>
      <c r="V18" s="1083"/>
      <c r="W18" s="1083"/>
      <c r="X18" s="1083"/>
      <c r="Y18" s="1083"/>
      <c r="Z18" s="1081"/>
      <c r="AA18" s="1081"/>
      <c r="AB18" s="1081"/>
      <c r="AC18" s="1081"/>
      <c r="AD18" s="1297"/>
      <c r="AE18" s="1081"/>
      <c r="AF18" s="1081"/>
      <c r="AG18" s="1081"/>
      <c r="AH18" s="1316"/>
      <c r="AI18" s="1309"/>
      <c r="AJ18" s="1081"/>
      <c r="AK18" s="1081"/>
      <c r="AL18" s="1077"/>
      <c r="AM18" s="1077"/>
      <c r="AN18" s="1077"/>
      <c r="AO18" s="1077"/>
      <c r="AP18" s="1077"/>
      <c r="AQ18" s="1077"/>
      <c r="AR18" s="1077"/>
      <c r="AS18" s="1077"/>
      <c r="AT18" s="1077"/>
      <c r="AU18" s="1077"/>
      <c r="AV18" s="1077"/>
      <c r="AW18" s="1077"/>
      <c r="AX18" s="1077"/>
      <c r="AY18" s="1077"/>
      <c r="AZ18" s="1077"/>
      <c r="BA18" s="1077"/>
      <c r="BB18" s="1077"/>
      <c r="BC18" s="1077"/>
      <c r="BD18" s="1077"/>
      <c r="BE18" s="1077"/>
      <c r="BF18" s="1077"/>
      <c r="BG18" s="928">
        <v>10</v>
      </c>
    </row>
    <row customHeight="1" ht="10.5">
      <c r="E19" s="1077"/>
      <c r="F19" s="2577"/>
      <c r="G19" s="2577"/>
      <c r="H19" s="2577"/>
      <c r="I19" s="2577"/>
      <c r="J19" s="2577"/>
      <c r="K19" s="1081"/>
      <c r="L19" s="1297"/>
      <c r="M19" s="1297"/>
      <c r="N19" s="1083"/>
      <c r="O19" s="1083"/>
      <c r="P19" s="1083"/>
      <c r="Q19" s="1083"/>
      <c r="R19" s="1083"/>
      <c r="S19" s="1083"/>
      <c r="T19" s="1083"/>
      <c r="U19" s="1083"/>
      <c r="V19" s="1083"/>
      <c r="W19" s="1083"/>
      <c r="X19" s="1083"/>
      <c r="Y19" s="1083"/>
      <c r="Z19" s="1081"/>
      <c r="AA19" s="1081"/>
      <c r="AB19" s="1081"/>
      <c r="AC19" s="1081"/>
      <c r="AD19" s="1297"/>
      <c r="AE19" s="1081"/>
      <c r="AF19" s="1081"/>
      <c r="AG19" s="1081"/>
      <c r="AH19" s="1316"/>
      <c r="AI19" s="1309"/>
      <c r="AJ19" s="1081"/>
      <c r="AK19" s="1081"/>
      <c r="AL19" s="1077"/>
      <c r="AM19" s="1077"/>
      <c r="AN19" s="1077"/>
      <c r="AO19" s="1077"/>
      <c r="AP19" s="1077"/>
      <c r="AQ19" s="1077"/>
      <c r="AR19" s="1077"/>
      <c r="AS19" s="1077"/>
      <c r="AT19" s="1077"/>
      <c r="AU19" s="1077"/>
      <c r="AV19" s="1077"/>
      <c r="AW19" s="1077"/>
      <c r="AX19" s="1077"/>
      <c r="AY19" s="1077"/>
      <c r="AZ19" s="1077"/>
      <c r="BA19" s="1077"/>
      <c r="BB19" s="1077"/>
      <c r="BC19" s="1077"/>
      <c r="BD19" s="1077"/>
      <c r="BE19" s="1077"/>
      <c r="BF19" s="1077"/>
      <c r="BG19" s="928">
        <v>10</v>
      </c>
    </row>
    <row customHeight="1" ht="10.5" hidden="1">
      <c r="A20" s="1065" t="s">
        <v>85</v>
      </c>
      <c r="B20" s="1065">
        <v>0</v>
      </c>
      <c r="C20" s="1065">
        <v>0</v>
      </c>
      <c r="D20" s="587">
        <v>0</v>
      </c>
      <c r="E20" s="679">
        <v>3</v>
      </c>
      <c r="F20" s="928">
        <v>14</v>
      </c>
      <c r="G20" s="928">
        <v>3</v>
      </c>
      <c r="H20" s="1325">
        <v>7</v>
      </c>
      <c r="I20" s="928">
        <v>16</v>
      </c>
      <c r="J20" s="928">
        <v>16</v>
      </c>
      <c r="K20" s="928">
        <v>25</v>
      </c>
      <c r="L20" s="1295">
        <v>7</v>
      </c>
      <c r="M20" s="1295">
        <v>15</v>
      </c>
      <c r="N20" s="928">
        <v>3</v>
      </c>
      <c r="O20" s="928">
        <v>4</v>
      </c>
      <c r="P20" s="928">
        <v>8</v>
      </c>
      <c r="Q20" s="928">
        <v>21</v>
      </c>
      <c r="R20" s="928">
        <v>14</v>
      </c>
      <c r="S20" s="928">
        <v>17</v>
      </c>
      <c r="T20" s="928">
        <v>17</v>
      </c>
      <c r="U20" s="928">
        <v>9</v>
      </c>
      <c r="V20" s="928">
        <v>12</v>
      </c>
      <c r="W20" s="928">
        <v>9</v>
      </c>
      <c r="X20" s="928">
        <v>21</v>
      </c>
      <c r="Y20" s="928">
        <v>12</v>
      </c>
      <c r="Z20" s="928">
        <v>3</v>
      </c>
      <c r="AA20" s="928">
        <v>6</v>
      </c>
      <c r="AB20" s="928">
        <v>38</v>
      </c>
      <c r="AC20" s="928">
        <v>15</v>
      </c>
      <c r="AD20" s="1295">
        <v>0</v>
      </c>
      <c r="AE20" s="928">
        <v>0</v>
      </c>
      <c r="AF20" s="928">
        <v>16</v>
      </c>
      <c r="AG20" s="928">
        <v>16</v>
      </c>
      <c r="AH20" s="1314">
        <v>16</v>
      </c>
      <c r="AI20" s="1307">
        <v>0</v>
      </c>
      <c r="AJ20" s="928">
        <v>0</v>
      </c>
      <c r="AK20" s="928">
        <v>0</v>
      </c>
      <c r="AL20" s="928">
        <v>8</v>
      </c>
      <c r="AM20" s="928">
        <v>8</v>
      </c>
      <c r="AN20" s="928">
        <v>8</v>
      </c>
      <c r="AO20" s="928">
        <v>8</v>
      </c>
      <c r="AP20" s="928">
        <v>8</v>
      </c>
      <c r="AQ20" s="928">
        <v>8</v>
      </c>
      <c r="AR20" s="928">
        <v>8</v>
      </c>
      <c r="AS20" s="928">
        <v>8</v>
      </c>
      <c r="AT20" s="928">
        <v>8</v>
      </c>
      <c r="AU20" s="928">
        <v>8</v>
      </c>
      <c r="AV20" s="928">
        <v>8</v>
      </c>
      <c r="AW20" s="928">
        <v>8</v>
      </c>
      <c r="AX20" s="928">
        <v>8</v>
      </c>
      <c r="AY20" s="928">
        <v>8</v>
      </c>
      <c r="AZ20" s="928">
        <v>8</v>
      </c>
      <c r="BA20" s="928">
        <v>8</v>
      </c>
      <c r="BB20" s="928">
        <v>8</v>
      </c>
      <c r="BC20" s="928">
        <v>8</v>
      </c>
      <c r="BD20" s="928">
        <v>8</v>
      </c>
      <c r="BE20" s="928">
        <v>8</v>
      </c>
      <c r="BF20" s="928">
        <v>8</v>
      </c>
      <c r="BG20" s="92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46872B-FFD7-C7AB-17E6-F6968B5DCE23}"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4764" width="4.140625" hidden="1" customWidth="1"/>
    <col min="4" max="4" style="11992" width="4.140625" hidden="1" customWidth="1"/>
    <col min="5" max="5" style="11913" width="3.00390625" customWidth="1"/>
    <col min="6" max="6" style="11913" width="6.00390625" customWidth="1"/>
    <col min="7" max="7" style="11913" width="60.00390625" customWidth="1"/>
    <col min="8" max="9" style="11913" width="21.7109375" hidden="1" customWidth="1"/>
    <col min="10" max="10" style="11913" width="0.140625" customWidth="1"/>
    <col min="11" max="11" style="11913" width="1.00390625" customWidth="1"/>
    <col min="12" max="22" style="11913" width="8.00390625" customWidth="1"/>
    <col min="23" max="23" style="11913" width="9.140625" hidden="1"/>
  </cols>
  <sheetData>
    <row s="11992" customFormat="1" customHeight="1" ht="10.5" hidden="1">
      <c r="A1" s="1336"/>
      <c r="B1" s="1336"/>
      <c r="C1" s="1336"/>
      <c r="E1" s="707"/>
      <c r="W1" s="1330" t="s">
        <v>14</v>
      </c>
    </row>
    <row customHeight="1" ht="10.5" hidden="1">
      <c r="W2" s="1325">
        <v>0</v>
      </c>
    </row>
    <row s="11877" customFormat="1" customHeight="1" ht="10.5" hidden="1">
      <c r="A3" s="1336"/>
      <c r="B3" s="1336"/>
      <c r="C3" s="1336"/>
      <c r="D3" s="1330"/>
      <c r="E3" s="532"/>
      <c r="W3" s="1326">
        <v>0</v>
      </c>
    </row>
    <row customHeight="1" ht="3">
      <c r="W4" s="1325">
        <v>3</v>
      </c>
    </row>
    <row customHeight="1" ht="27.299999999999997">
      <c r="F5" s="241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418"/>
      <c r="H5" s="2418"/>
      <c r="I5" s="2418"/>
      <c r="J5" s="2418"/>
      <c r="W5" s="1325">
        <v>26</v>
      </c>
    </row>
    <row customHeight="1" ht="10.5">
      <c r="F6" s="2346" t="str">
        <f>IF(org=0,"Не определено",org)</f>
        <v>Филиал "Шатурская ГРЭС" ПАО "Юнипро"</v>
      </c>
      <c r="G6" s="2346"/>
      <c r="H6" s="2346"/>
      <c r="I6" s="2346"/>
      <c r="J6" s="2346"/>
      <c r="W6" s="1325">
        <v>10</v>
      </c>
    </row>
    <row customHeight="1" ht="11.549999999999999">
      <c r="E7" s="1340"/>
      <c r="F7" s="1397"/>
      <c r="G7" s="1397"/>
      <c r="H7" s="1397"/>
      <c r="I7" s="1397"/>
      <c r="J7" s="1397"/>
      <c r="K7" s="1327"/>
      <c r="L7" s="1327"/>
      <c r="M7" s="1327"/>
      <c r="N7" s="1327"/>
      <c r="O7" s="1327"/>
      <c r="P7" s="1327"/>
      <c r="Q7" s="1327"/>
      <c r="R7" s="1327"/>
      <c r="S7" s="1327"/>
      <c r="T7" s="1327"/>
      <c r="U7" s="1327"/>
      <c r="V7" s="1327"/>
      <c r="W7" s="1325">
        <v>11</v>
      </c>
    </row>
    <row s="11993" customFormat="1" customHeight="1" ht="4.2">
      <c r="A8" s="1337"/>
      <c r="B8" s="1337"/>
      <c r="C8" s="1337"/>
      <c r="E8" s="1398"/>
      <c r="F8" s="1399"/>
      <c r="G8" s="1399"/>
      <c r="H8" s="1399"/>
      <c r="I8" s="1399"/>
      <c r="J8" s="1399"/>
      <c r="K8" s="1398"/>
      <c r="L8" s="1398"/>
      <c r="M8" s="1398"/>
      <c r="N8" s="1398"/>
      <c r="O8" s="1398"/>
      <c r="P8" s="1398"/>
      <c r="Q8" s="1398"/>
      <c r="R8" s="1398"/>
      <c r="S8" s="1398"/>
      <c r="T8" s="1398"/>
      <c r="U8" s="1398"/>
      <c r="V8" s="1398"/>
      <c r="W8" s="681">
        <v>4</v>
      </c>
    </row>
    <row customHeight="1" ht="10.5">
      <c r="E9" s="1340"/>
      <c r="F9" s="2589" t="s">
        <v>312</v>
      </c>
      <c r="G9" s="2590"/>
      <c r="H9" s="2590"/>
      <c r="I9" s="2590"/>
      <c r="J9" s="2590"/>
      <c r="K9" s="1410"/>
      <c r="L9" s="1327"/>
      <c r="M9" s="1327"/>
      <c r="N9" s="1327"/>
      <c r="O9" s="1327"/>
      <c r="P9" s="1327"/>
      <c r="Q9" s="1327"/>
      <c r="R9" s="1327"/>
      <c r="S9" s="1327"/>
      <c r="T9" s="1327"/>
      <c r="U9" s="1327"/>
      <c r="V9" s="1327"/>
      <c r="W9" s="1325">
        <v>10</v>
      </c>
    </row>
    <row customHeight="1" ht="25.2">
      <c r="E10" s="1327"/>
      <c r="F10" s="2593" t="s">
        <v>91</v>
      </c>
      <c r="G10" s="2598" t="s">
        <v>1030</v>
      </c>
      <c r="H10" s="2596" t="s">
        <v>1031</v>
      </c>
      <c r="I10" s="2596"/>
      <c r="J10" s="2596"/>
      <c r="K10" s="1403"/>
      <c r="L10" s="1327"/>
      <c r="M10" s="1327"/>
      <c r="N10" s="1327"/>
      <c r="O10" s="1327"/>
      <c r="P10" s="1327"/>
      <c r="Q10" s="1327"/>
      <c r="R10" s="1327"/>
      <c r="S10" s="1327"/>
      <c r="T10" s="1327"/>
      <c r="U10" s="1327"/>
      <c r="V10" s="1327"/>
      <c r="W10" s="1325">
        <v>24</v>
      </c>
    </row>
    <row customHeight="1" ht="25.5">
      <c r="E11" s="1327"/>
      <c r="F11" s="2594"/>
      <c r="G11" s="2598"/>
      <c r="H11" s="2597">
        <f>INDEX(IP_MAIN_LIST_NAME_IP,MATCH(H8,IP_MAIN_LIST_IP_ID,0))&amp;" ("&amp;INDEX(IP_MAIN_START_DATE,MATCH(H8,IP_MAIN_LIST_IP_ID,0))&amp;"-"&amp;INDEX(IP_MAIN_END_DATE,MATCH(H8,IP_MAIN_LIST_IP_ID,0))&amp;")"</f>
      </c>
      <c r="I11" s="2597"/>
      <c r="J11" s="2597"/>
      <c r="K11" s="1403"/>
      <c r="L11" s="1327"/>
      <c r="M11" s="1327"/>
      <c r="N11" s="1327"/>
      <c r="O11" s="1327"/>
      <c r="P11" s="1327"/>
      <c r="Q11" s="1327"/>
      <c r="R11" s="1327"/>
      <c r="S11" s="1327"/>
      <c r="T11" s="1327"/>
      <c r="U11" s="1327"/>
      <c r="V11" s="1327"/>
      <c r="W11" s="1325">
        <v>24</v>
      </c>
    </row>
    <row customHeight="1" ht="10.5">
      <c r="F12" s="2595"/>
      <c r="G12" s="2598"/>
      <c r="H12" s="1396" t="s">
        <v>1032</v>
      </c>
      <c r="I12" s="1402"/>
      <c r="J12" s="1396"/>
      <c r="K12" s="1404"/>
      <c r="W12" s="1325">
        <v>10</v>
      </c>
    </row>
    <row customHeight="1" ht="10.5" hidden="1">
      <c r="F13" s="1396">
        <v>1</v>
      </c>
      <c r="G13" s="1396">
        <v>2</v>
      </c>
      <c r="H13" s="1396">
        <v>3</v>
      </c>
      <c r="I13" s="1396">
        <v>4</v>
      </c>
      <c r="J13" s="1396">
        <v>5</v>
      </c>
      <c r="K13" s="1404"/>
      <c r="W13" s="1325">
        <v>0</v>
      </c>
    </row>
    <row customHeight="1" ht="11.549999999999999">
      <c r="F14" s="1395" t="s">
        <v>1033</v>
      </c>
      <c r="G14" s="2591" t="s">
        <v>1034</v>
      </c>
      <c r="H14" s="2591"/>
      <c r="I14" s="2591"/>
      <c r="J14" s="2591"/>
      <c r="K14" s="1404"/>
      <c r="W14" s="1325">
        <v>11</v>
      </c>
    </row>
    <row customHeight="1" ht="11.549999999999999">
      <c r="F15" s="1400">
        <v>1</v>
      </c>
      <c r="G15" s="860" t="s">
        <v>1035</v>
      </c>
      <c r="H15" s="1406">
        <f>SUM(I15:J15)</f>
        <v>0</v>
      </c>
      <c r="I15" s="1406">
        <f>SUM(I16:I27)</f>
        <v>0</v>
      </c>
      <c r="J15" s="1395"/>
      <c r="K15" s="1404"/>
      <c r="W15" s="1325">
        <v>11</v>
      </c>
    </row>
    <row customHeight="1" ht="24">
      <c r="F16" s="1400" t="s">
        <v>1036</v>
      </c>
      <c r="G16" s="1407" t="s">
        <v>1037</v>
      </c>
      <c r="H16" s="1406">
        <f>SUM(I16:J16)</f>
        <v>0</v>
      </c>
      <c r="I16" s="1405"/>
      <c r="J16" s="1395"/>
      <c r="K16" s="1404"/>
      <c r="W16" s="1325">
        <v>23</v>
      </c>
    </row>
    <row customHeight="1" ht="24">
      <c r="F17" s="1400" t="s">
        <v>1038</v>
      </c>
      <c r="G17" s="1407" t="s">
        <v>1039</v>
      </c>
      <c r="H17" s="1406">
        <f>SUM(I17:J17)</f>
        <v>0</v>
      </c>
      <c r="I17" s="1405"/>
      <c r="J17" s="1395"/>
      <c r="K17" s="1404"/>
      <c r="W17" s="1325">
        <v>23</v>
      </c>
    </row>
    <row customHeight="1" ht="35.699999999999996">
      <c r="F18" s="1400" t="s">
        <v>1040</v>
      </c>
      <c r="G18" s="1407" t="s">
        <v>1041</v>
      </c>
      <c r="H18" s="1406">
        <f>SUM(I18:J18)</f>
        <v>0</v>
      </c>
      <c r="I18" s="1405"/>
      <c r="J18" s="1395"/>
      <c r="K18" s="1404"/>
      <c r="W18" s="1325">
        <v>34</v>
      </c>
    </row>
    <row customHeight="1" ht="35.699999999999996">
      <c r="F19" s="1400" t="s">
        <v>1042</v>
      </c>
      <c r="G19" s="1407" t="s">
        <v>1043</v>
      </c>
      <c r="H19" s="1406">
        <f>SUM(I19:J19)</f>
        <v>0</v>
      </c>
      <c r="I19" s="1405"/>
      <c r="J19" s="1395"/>
      <c r="K19" s="1404"/>
      <c r="W19" s="1325">
        <v>34</v>
      </c>
    </row>
    <row customHeight="1" ht="48.29999999999999">
      <c r="F20" s="1400" t="s">
        <v>1044</v>
      </c>
      <c r="G20" s="1407" t="s">
        <v>1045</v>
      </c>
      <c r="H20" s="1406">
        <f>SUM(I20:J20)</f>
        <v>0</v>
      </c>
      <c r="I20" s="1405"/>
      <c r="J20" s="1395"/>
      <c r="K20" s="1404"/>
      <c r="W20" s="1325">
        <v>46</v>
      </c>
    </row>
    <row customHeight="1" ht="35.699999999999996">
      <c r="F21" s="1400" t="s">
        <v>1046</v>
      </c>
      <c r="G21" s="1407" t="s">
        <v>1047</v>
      </c>
      <c r="H21" s="1406">
        <f>SUM(I21:J21)</f>
        <v>0</v>
      </c>
      <c r="I21" s="1405"/>
      <c r="J21" s="1395"/>
      <c r="K21" s="1404"/>
      <c r="W21" s="1325">
        <v>34</v>
      </c>
    </row>
    <row customHeight="1" ht="35.699999999999996">
      <c r="F22" s="1400" t="s">
        <v>1048</v>
      </c>
      <c r="G22" s="1407" t="s">
        <v>1049</v>
      </c>
      <c r="H22" s="1406">
        <f>SUM(I22:J22)</f>
        <v>0</v>
      </c>
      <c r="I22" s="1405"/>
      <c r="J22" s="1395"/>
      <c r="K22" s="1404"/>
      <c r="W22" s="1325">
        <v>34</v>
      </c>
    </row>
    <row customHeight="1" ht="24">
      <c r="F23" s="1400" t="s">
        <v>1050</v>
      </c>
      <c r="G23" s="1407" t="s">
        <v>1051</v>
      </c>
      <c r="H23" s="1406">
        <f>SUM(I23:J23)</f>
        <v>0</v>
      </c>
      <c r="I23" s="1405"/>
      <c r="J23" s="1395"/>
      <c r="K23" s="1404"/>
      <c r="W23" s="1325">
        <v>23</v>
      </c>
    </row>
    <row customHeight="1" ht="24">
      <c r="F24" s="1400" t="s">
        <v>1052</v>
      </c>
      <c r="G24" s="1407" t="s">
        <v>1053</v>
      </c>
      <c r="H24" s="1406">
        <f>SUM(I24:J24)</f>
        <v>0</v>
      </c>
      <c r="I24" s="1405"/>
      <c r="J24" s="1395"/>
      <c r="K24" s="1404"/>
      <c r="W24" s="1325">
        <v>23</v>
      </c>
    </row>
    <row customHeight="1" ht="35.699999999999996">
      <c r="F25" s="1400" t="s">
        <v>1054</v>
      </c>
      <c r="G25" s="1407" t="s">
        <v>1055</v>
      </c>
      <c r="H25" s="1406">
        <f>SUM(I25:J25)</f>
        <v>0</v>
      </c>
      <c r="I25" s="1405"/>
      <c r="J25" s="1395"/>
      <c r="K25" s="1404"/>
      <c r="W25" s="1325">
        <v>34</v>
      </c>
    </row>
    <row customHeight="1" ht="35.699999999999996">
      <c r="F26" s="1400" t="s">
        <v>1056</v>
      </c>
      <c r="G26" s="1407" t="s">
        <v>1057</v>
      </c>
      <c r="H26" s="1406">
        <f>SUM(I26:J26)</f>
        <v>0</v>
      </c>
      <c r="I26" s="1405"/>
      <c r="J26" s="1395"/>
      <c r="K26" s="1404"/>
      <c r="W26" s="1325">
        <v>34</v>
      </c>
    </row>
    <row customHeight="1" ht="11.549999999999999">
      <c r="F27" s="1400" t="s">
        <v>1058</v>
      </c>
      <c r="G27" s="1407" t="s">
        <v>1059</v>
      </c>
      <c r="H27" s="1406">
        <f>SUM(I27:J27)</f>
        <v>0</v>
      </c>
      <c r="I27" s="1405"/>
      <c r="J27" s="1395"/>
      <c r="K27" s="1404"/>
      <c r="W27" s="1325">
        <v>11</v>
      </c>
    </row>
    <row customHeight="1" ht="11.549999999999999">
      <c r="F28" s="1400">
        <v>2</v>
      </c>
      <c r="G28" s="860" t="s">
        <v>1060</v>
      </c>
      <c r="H28" s="1406">
        <f>SUM(I28:J28)</f>
        <v>0</v>
      </c>
      <c r="I28" s="1406">
        <f>SUM(I29:I31)</f>
        <v>0</v>
      </c>
      <c r="J28" s="1395"/>
      <c r="K28" s="1404"/>
      <c r="W28" s="1325">
        <v>11</v>
      </c>
    </row>
    <row customHeight="1" ht="11.549999999999999">
      <c r="F29" s="1400" t="s">
        <v>723</v>
      </c>
      <c r="G29" s="1407" t="s">
        <v>1061</v>
      </c>
      <c r="H29" s="1406">
        <f>SUM(I29:J29)</f>
        <v>0</v>
      </c>
      <c r="I29" s="1405"/>
      <c r="J29" s="1395"/>
      <c r="K29" s="1404"/>
      <c r="W29" s="1325">
        <v>11</v>
      </c>
    </row>
    <row customHeight="1" ht="11.549999999999999">
      <c r="F30" s="1400" t="s">
        <v>319</v>
      </c>
      <c r="G30" s="1407" t="s">
        <v>1062</v>
      </c>
      <c r="H30" s="1406">
        <f>SUM(I30:J30)</f>
        <v>0</v>
      </c>
      <c r="I30" s="1405"/>
      <c r="J30" s="1395"/>
      <c r="K30" s="1404"/>
      <c r="W30" s="1325">
        <v>11</v>
      </c>
    </row>
    <row customHeight="1" ht="11.549999999999999">
      <c r="F31" s="1400" t="s">
        <v>322</v>
      </c>
      <c r="G31" s="1407" t="s">
        <v>1063</v>
      </c>
      <c r="H31" s="1406">
        <f>SUM(I31:J31)</f>
        <v>0</v>
      </c>
      <c r="I31" s="1405"/>
      <c r="J31" s="1395"/>
      <c r="K31" s="1404"/>
      <c r="W31" s="1325">
        <v>11</v>
      </c>
    </row>
    <row customHeight="1" ht="11.549999999999999">
      <c r="F32" s="1400">
        <v>3</v>
      </c>
      <c r="G32" s="860" t="s">
        <v>1064</v>
      </c>
      <c r="H32" s="1406">
        <f>SUM(I32:J32)</f>
        <v>0</v>
      </c>
      <c r="I32" s="1406">
        <f>SUM(I33:I34)</f>
        <v>0</v>
      </c>
      <c r="J32" s="1395"/>
      <c r="K32" s="1404"/>
      <c r="W32" s="1325">
        <v>11</v>
      </c>
    </row>
    <row customHeight="1" ht="48.29999999999999">
      <c r="F33" s="1400" t="s">
        <v>336</v>
      </c>
      <c r="G33" s="1407" t="s">
        <v>1065</v>
      </c>
      <c r="H33" s="1406">
        <f>SUM(I33:J33)</f>
        <v>0</v>
      </c>
      <c r="I33" s="1405"/>
      <c r="J33" s="1395"/>
      <c r="K33" s="1404"/>
      <c r="W33" s="1325">
        <v>46</v>
      </c>
    </row>
    <row customHeight="1" ht="11.549999999999999">
      <c r="F34" s="1400" t="s">
        <v>344</v>
      </c>
      <c r="G34" s="1407" t="s">
        <v>1066</v>
      </c>
      <c r="H34" s="1406">
        <f>SUM(I34:J34)</f>
        <v>0</v>
      </c>
      <c r="I34" s="1405"/>
      <c r="J34" s="1395"/>
      <c r="K34" s="1404"/>
      <c r="W34" s="1325">
        <v>11</v>
      </c>
    </row>
    <row customHeight="1" ht="11.549999999999999">
      <c r="F35" s="1400">
        <v>4</v>
      </c>
      <c r="G35" s="860" t="s">
        <v>1067</v>
      </c>
      <c r="H35" s="1406">
        <f>SUM(I35:J35)</f>
        <v>0</v>
      </c>
      <c r="I35" s="1405"/>
      <c r="J35" s="1395"/>
      <c r="K35" s="1404"/>
      <c r="W35" s="1325">
        <v>11</v>
      </c>
    </row>
    <row customHeight="1" ht="11.549999999999999">
      <c r="F36" s="1400"/>
      <c r="G36" s="863" t="s">
        <v>1068</v>
      </c>
      <c r="H36" s="1406">
        <f>SUM(I36:J36)</f>
        <v>0</v>
      </c>
      <c r="I36" s="1406">
        <f>SUM(I15,I28,I32,I35)</f>
        <v>0</v>
      </c>
      <c r="J36" s="1395"/>
      <c r="K36" s="1404"/>
      <c r="W36" s="1325">
        <v>11</v>
      </c>
    </row>
    <row customHeight="1" ht="29.25">
      <c r="F37" s="1401" t="s">
        <v>1069</v>
      </c>
      <c r="G37" s="2592" t="s">
        <v>1070</v>
      </c>
      <c r="H37" s="2592"/>
      <c r="I37" s="2592"/>
      <c r="J37" s="2592"/>
      <c r="K37" s="1404"/>
      <c r="W37" s="1325">
        <v>28</v>
      </c>
    </row>
    <row customHeight="1" ht="24">
      <c r="F38" s="1400" t="s">
        <v>112</v>
      </c>
      <c r="G38" s="860" t="s">
        <v>1071</v>
      </c>
      <c r="H38" s="1406">
        <f>SUM(I38:J38)</f>
        <v>0</v>
      </c>
      <c r="I38" s="1406">
        <f>SUM(I39,I44,I47)</f>
        <v>0</v>
      </c>
      <c r="J38" s="1395"/>
      <c r="K38" s="1404"/>
      <c r="W38" s="1325">
        <v>23</v>
      </c>
    </row>
    <row customHeight="1" ht="11.549999999999999">
      <c r="F39" s="1400" t="s">
        <v>1036</v>
      </c>
      <c r="G39" s="1407" t="s">
        <v>1035</v>
      </c>
      <c r="H39" s="1406">
        <f>SUM(I39:J39)</f>
        <v>0</v>
      </c>
      <c r="I39" s="1406">
        <f>SUM(I40:I43)</f>
        <v>0</v>
      </c>
      <c r="J39" s="1395"/>
      <c r="K39" s="1404"/>
      <c r="W39" s="1325">
        <v>11</v>
      </c>
    </row>
    <row customHeight="1" ht="24">
      <c r="F40" s="1400" t="s">
        <v>1072</v>
      </c>
      <c r="G40" s="1408" t="s">
        <v>1073</v>
      </c>
      <c r="H40" s="1406">
        <f>SUM(I40:J40)</f>
        <v>0</v>
      </c>
      <c r="I40" s="1405"/>
      <c r="J40" s="1395"/>
      <c r="K40" s="1404"/>
      <c r="W40" s="1325">
        <v>23</v>
      </c>
    </row>
    <row customHeight="1" ht="11.549999999999999">
      <c r="F41" s="1400" t="s">
        <v>1074</v>
      </c>
      <c r="G41" s="1408" t="s">
        <v>1075</v>
      </c>
      <c r="H41" s="1406">
        <f>SUM(I41:J41)</f>
        <v>0</v>
      </c>
      <c r="I41" s="1405"/>
      <c r="J41" s="1395"/>
      <c r="K41" s="1404"/>
      <c r="W41" s="1325">
        <v>11</v>
      </c>
    </row>
    <row customHeight="1" ht="11.549999999999999">
      <c r="F42" s="1400" t="s">
        <v>1076</v>
      </c>
      <c r="G42" s="1408" t="s">
        <v>1077</v>
      </c>
      <c r="H42" s="1406">
        <f>SUM(I42:J42)</f>
        <v>0</v>
      </c>
      <c r="I42" s="1405"/>
      <c r="J42" s="1395"/>
      <c r="K42" s="1404"/>
      <c r="W42" s="1325">
        <v>11</v>
      </c>
    </row>
    <row customHeight="1" ht="35.699999999999996">
      <c r="F43" s="1400" t="s">
        <v>1078</v>
      </c>
      <c r="G43" s="1408" t="s">
        <v>1079</v>
      </c>
      <c r="H43" s="1406">
        <f>SUM(I43:J43)</f>
        <v>0</v>
      </c>
      <c r="I43" s="1405"/>
      <c r="J43" s="1395"/>
      <c r="K43" s="1404"/>
      <c r="W43" s="1325">
        <v>34</v>
      </c>
    </row>
    <row customHeight="1" ht="11.549999999999999">
      <c r="F44" s="1400" t="s">
        <v>1038</v>
      </c>
      <c r="G44" s="1407" t="s">
        <v>1064</v>
      </c>
      <c r="H44" s="1406">
        <f>SUM(I44:J44)</f>
        <v>0</v>
      </c>
      <c r="I44" s="1406">
        <f>SUM(I45:I46)</f>
        <v>0</v>
      </c>
      <c r="J44" s="1395"/>
      <c r="K44" s="1404"/>
      <c r="W44" s="1325">
        <v>11</v>
      </c>
    </row>
    <row customHeight="1" ht="48.29999999999999">
      <c r="F45" s="1400" t="s">
        <v>1080</v>
      </c>
      <c r="G45" s="1408" t="s">
        <v>1065</v>
      </c>
      <c r="H45" s="1406">
        <f>SUM(I45:J45)</f>
        <v>0</v>
      </c>
      <c r="I45" s="1405"/>
      <c r="J45" s="1395"/>
      <c r="K45" s="1404"/>
      <c r="W45" s="1325">
        <v>46</v>
      </c>
    </row>
    <row customHeight="1" ht="11.549999999999999">
      <c r="F46" s="1400" t="s">
        <v>1081</v>
      </c>
      <c r="G46" s="1408" t="s">
        <v>1066</v>
      </c>
      <c r="H46" s="1406">
        <f>SUM(I46:J46)</f>
        <v>0</v>
      </c>
      <c r="I46" s="1405"/>
      <c r="J46" s="1395"/>
      <c r="K46" s="1404"/>
      <c r="W46" s="1325">
        <v>11</v>
      </c>
    </row>
    <row customHeight="1" ht="11.549999999999999">
      <c r="F47" s="1400" t="s">
        <v>1040</v>
      </c>
      <c r="G47" s="1407" t="s">
        <v>1082</v>
      </c>
      <c r="H47" s="1406">
        <f>SUM(I47:J47)</f>
        <v>0</v>
      </c>
      <c r="I47" s="1405"/>
      <c r="J47" s="1395"/>
      <c r="K47" s="1404"/>
      <c r="W47" s="1325">
        <v>11</v>
      </c>
    </row>
    <row customHeight="1" ht="24">
      <c r="F48" s="1400" t="s">
        <v>113</v>
      </c>
      <c r="G48" s="860" t="s">
        <v>1083</v>
      </c>
      <c r="H48" s="1406">
        <f>SUM(I48:J48)</f>
        <v>0</v>
      </c>
      <c r="I48" s="1406">
        <f>SUM(I49,I54,I57)</f>
        <v>0</v>
      </c>
      <c r="J48" s="1395"/>
      <c r="K48" s="1404"/>
      <c r="W48" s="1325">
        <v>23</v>
      </c>
    </row>
    <row customHeight="1" ht="11.549999999999999">
      <c r="F49" s="1400" t="s">
        <v>723</v>
      </c>
      <c r="G49" s="1407" t="s">
        <v>1035</v>
      </c>
      <c r="H49" s="1406">
        <f>SUM(I49:J49)</f>
        <v>0</v>
      </c>
      <c r="I49" s="1406">
        <f>SUM(I50:I53)</f>
        <v>0</v>
      </c>
      <c r="J49" s="1395"/>
      <c r="K49" s="1404"/>
      <c r="W49" s="1325">
        <v>11</v>
      </c>
    </row>
    <row customHeight="1" ht="24">
      <c r="F50" s="1400" t="s">
        <v>726</v>
      </c>
      <c r="G50" s="1408" t="s">
        <v>1073</v>
      </c>
      <c r="H50" s="1406">
        <f>SUM(I50:J50)</f>
        <v>0</v>
      </c>
      <c r="I50" s="1405"/>
      <c r="J50" s="1395"/>
      <c r="K50" s="1404"/>
      <c r="W50" s="1325">
        <v>23</v>
      </c>
    </row>
    <row customHeight="1" ht="11.549999999999999">
      <c r="F51" s="1400" t="s">
        <v>729</v>
      </c>
      <c r="G51" s="1408" t="s">
        <v>1075</v>
      </c>
      <c r="H51" s="1406">
        <f>SUM(I51:J51)</f>
        <v>0</v>
      </c>
      <c r="I51" s="1405"/>
      <c r="J51" s="1395"/>
      <c r="K51" s="1404"/>
      <c r="W51" s="1325">
        <v>11</v>
      </c>
    </row>
    <row customHeight="1" ht="11.549999999999999">
      <c r="F52" s="1400" t="s">
        <v>1084</v>
      </c>
      <c r="G52" s="1408" t="s">
        <v>1077</v>
      </c>
      <c r="H52" s="1406">
        <f>SUM(I52:J52)</f>
        <v>0</v>
      </c>
      <c r="I52" s="1405"/>
      <c r="J52" s="1395"/>
      <c r="K52" s="1404"/>
      <c r="W52" s="1325">
        <v>11</v>
      </c>
    </row>
    <row customHeight="1" ht="35.699999999999996">
      <c r="F53" s="1400" t="s">
        <v>1085</v>
      </c>
      <c r="G53" s="1408" t="s">
        <v>1079</v>
      </c>
      <c r="H53" s="1406">
        <f>SUM(I53:J53)</f>
        <v>0</v>
      </c>
      <c r="I53" s="1405"/>
      <c r="J53" s="1395"/>
      <c r="K53" s="1404"/>
      <c r="W53" s="1325">
        <v>34</v>
      </c>
    </row>
    <row customHeight="1" ht="11.549999999999999">
      <c r="F54" s="1400" t="s">
        <v>319</v>
      </c>
      <c r="G54" s="1407" t="s">
        <v>1064</v>
      </c>
      <c r="H54" s="1406">
        <f>SUM(I54:J54)</f>
        <v>0</v>
      </c>
      <c r="I54" s="1406">
        <f>SUM(I55:I56)</f>
        <v>0</v>
      </c>
      <c r="J54" s="1395"/>
      <c r="K54" s="1404"/>
      <c r="W54" s="1325">
        <v>11</v>
      </c>
    </row>
    <row customHeight="1" ht="48.29999999999999">
      <c r="F55" s="1400" t="s">
        <v>733</v>
      </c>
      <c r="G55" s="1408" t="s">
        <v>1065</v>
      </c>
      <c r="H55" s="1406">
        <f>SUM(I55:J55)</f>
        <v>0</v>
      </c>
      <c r="I55" s="1405"/>
      <c r="J55" s="1395"/>
      <c r="K55" s="1404"/>
      <c r="W55" s="1325">
        <v>46</v>
      </c>
    </row>
    <row customHeight="1" ht="11.549999999999999">
      <c r="F56" s="1400" t="s">
        <v>735</v>
      </c>
      <c r="G56" s="1408" t="s">
        <v>1066</v>
      </c>
      <c r="H56" s="1406">
        <f>SUM(I56:J56)</f>
        <v>0</v>
      </c>
      <c r="I56" s="1405"/>
      <c r="J56" s="1395"/>
      <c r="K56" s="1404"/>
      <c r="W56" s="1325">
        <v>11</v>
      </c>
    </row>
    <row customHeight="1" ht="11.549999999999999">
      <c r="F57" s="1400" t="s">
        <v>322</v>
      </c>
      <c r="G57" s="1407" t="s">
        <v>1082</v>
      </c>
      <c r="H57" s="1406">
        <f>SUM(I57:J57)</f>
        <v>0</v>
      </c>
      <c r="I57" s="1405"/>
      <c r="J57" s="1395"/>
      <c r="K57" s="1404"/>
      <c r="W57" s="1325">
        <v>11</v>
      </c>
    </row>
    <row customHeight="1" ht="11.549999999999999">
      <c r="F58" s="1400"/>
      <c r="G58" s="1409" t="s">
        <v>1068</v>
      </c>
      <c r="H58" s="1406">
        <f>SUM(I58:J58)</f>
        <v>0</v>
      </c>
      <c r="I58" s="1406">
        <f>SUM(I38,I48)</f>
        <v>0</v>
      </c>
      <c r="J58" s="1395"/>
      <c r="K58" s="1404"/>
      <c r="W58" s="1325">
        <v>11</v>
      </c>
    </row>
    <row customHeight="1" ht="10.5" hidden="1">
      <c r="A59" s="1336" t="s">
        <v>85</v>
      </c>
      <c r="B59" s="1336">
        <v>0</v>
      </c>
      <c r="C59" s="1336">
        <v>0</v>
      </c>
      <c r="D59" s="1330">
        <v>0</v>
      </c>
      <c r="E59" s="679">
        <v>3</v>
      </c>
      <c r="F59" s="1325">
        <v>6</v>
      </c>
      <c r="G59" s="1325">
        <v>60</v>
      </c>
      <c r="H59" s="1325">
        <v>0</v>
      </c>
      <c r="I59" s="1325">
        <v>0</v>
      </c>
      <c r="J59" s="1325">
        <v>0</v>
      </c>
      <c r="K59" s="1325">
        <v>1</v>
      </c>
      <c r="L59" s="1325">
        <v>8</v>
      </c>
      <c r="M59" s="1325">
        <v>8</v>
      </c>
      <c r="N59" s="1325">
        <v>8</v>
      </c>
      <c r="O59" s="1325">
        <v>8</v>
      </c>
      <c r="P59" s="1325">
        <v>8</v>
      </c>
      <c r="Q59" s="1325">
        <v>8</v>
      </c>
      <c r="R59" s="1325">
        <v>8</v>
      </c>
      <c r="S59" s="1325">
        <v>8</v>
      </c>
      <c r="T59" s="1325">
        <v>8</v>
      </c>
      <c r="U59" s="1325">
        <v>8</v>
      </c>
      <c r="V59" s="1325">
        <v>8</v>
      </c>
      <c r="W59" s="132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07FB74-0477-4D3C-DD4C-C8C6AD45BA3F}"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4969" width="4.7109375" hidden="1" customWidth="1"/>
    <col min="2" max="2" style="14975" width="4.7109375" hidden="1" customWidth="1"/>
    <col min="3" max="4" style="14969" width="4.7109375" hidden="1" customWidth="1"/>
    <col min="5" max="5" style="14969" width="3.00390625" customWidth="1"/>
    <col min="6" max="6" style="14969" width="6.00390625" customWidth="1"/>
    <col min="7" max="7" style="14969" width="18.00390625" customWidth="1"/>
    <col min="8" max="8" style="14969" width="27.00390625" customWidth="1"/>
    <col min="9" max="9" style="14969" width="18.00390625" customWidth="1"/>
    <col min="10" max="14" style="14969" width="0.8515625" hidden="1" customWidth="1"/>
    <col min="15" max="28" style="14969" width="21.7109375" customWidth="1"/>
    <col min="29" max="71" style="14969" width="0.8515625" customWidth="1"/>
    <col min="72" max="79" style="14969" width="21.7109375" hidden="1" customWidth="1"/>
    <col min="80" max="81" style="14969" width="29.140625" hidden="1" customWidth="1"/>
    <col min="82" max="89" style="14969" width="21.7109375" hidden="1" customWidth="1"/>
    <col min="90" max="102" style="14969" width="0.7109375" hidden="1" customWidth="1"/>
    <col min="103" max="114" style="14969" width="21.7109375" hidden="1" customWidth="1"/>
    <col min="115" max="178" style="14969" width="0.7109375" hidden="1" customWidth="1"/>
    <col min="179" max="179" style="14969" width="0.140625" customWidth="1"/>
    <col min="180" max="184" style="14969" width="8.00390625" customWidth="1"/>
    <col min="185" max="185" style="14969" width="9.140625" hidden="1"/>
  </cols>
  <sheetData>
    <row s="14899" customFormat="1" customHeight="1" ht="12" hidden="1">
      <c r="B1" s="1093"/>
      <c r="C1" s="1094"/>
      <c r="D1" s="1094"/>
      <c r="GC1" s="1092" t="s">
        <v>14</v>
      </c>
    </row>
    <row s="14899" customFormat="1" customHeight="1" ht="12" hidden="1">
      <c r="B2" s="1093"/>
      <c r="C2" s="1094"/>
      <c r="D2" s="1094"/>
      <c r="E2" s="1094"/>
      <c r="F2" s="1094"/>
      <c r="G2" s="1094"/>
      <c r="H2" s="1094"/>
      <c r="I2" s="1094"/>
      <c r="J2" s="1094"/>
      <c r="K2" s="1094"/>
      <c r="L2" s="1094"/>
      <c r="M2" s="1094"/>
      <c r="N2" s="1094"/>
      <c r="O2" s="1094"/>
      <c r="P2" s="1094"/>
      <c r="Q2" s="1094"/>
      <c r="R2" s="1094"/>
      <c r="S2" s="1094"/>
      <c r="T2" s="1094"/>
      <c r="U2" s="1094"/>
      <c r="V2" s="1094"/>
      <c r="W2" s="1094"/>
      <c r="X2" s="1094"/>
      <c r="Y2" s="1094"/>
      <c r="Z2" s="1094"/>
      <c r="AA2" s="1094"/>
      <c r="AB2" s="1095"/>
      <c r="AC2" s="1094"/>
      <c r="AD2" s="1094"/>
      <c r="AE2" s="1094"/>
      <c r="AF2" s="1094"/>
      <c r="AG2" s="1094"/>
      <c r="AH2" s="1094"/>
      <c r="AI2" s="1094"/>
      <c r="AJ2" s="1094"/>
      <c r="AK2" s="1094"/>
      <c r="AL2" s="1094"/>
      <c r="AM2" s="1094"/>
      <c r="AN2" s="1094"/>
      <c r="AO2" s="1094"/>
      <c r="AP2" s="1094"/>
      <c r="AQ2" s="1094"/>
      <c r="AR2" s="1094"/>
      <c r="AS2" s="1094"/>
      <c r="AT2" s="1094"/>
      <c r="AU2" s="1094"/>
      <c r="AV2" s="1094"/>
      <c r="AW2" s="1094"/>
      <c r="AX2" s="1094"/>
      <c r="AY2" s="1094"/>
      <c r="AZ2" s="1094"/>
      <c r="BA2" s="1094"/>
      <c r="BB2" s="1094"/>
      <c r="BC2" s="1094"/>
      <c r="BD2" s="1094"/>
      <c r="BE2" s="1094"/>
      <c r="BF2" s="1094"/>
      <c r="BG2" s="1094"/>
      <c r="BH2" s="1094"/>
      <c r="BI2" s="1094"/>
      <c r="BJ2" s="1094"/>
      <c r="BK2" s="1094"/>
      <c r="BL2" s="1094"/>
      <c r="BM2" s="1094"/>
      <c r="BN2" s="1094"/>
      <c r="BO2" s="1094"/>
      <c r="BP2" s="1094"/>
      <c r="BQ2" s="1094"/>
      <c r="BR2" s="1094"/>
      <c r="BS2" s="1094"/>
      <c r="BT2" s="1094"/>
      <c r="BU2" s="1094"/>
      <c r="BV2" s="1094"/>
      <c r="BW2" s="1094"/>
      <c r="BX2" s="1094"/>
      <c r="BY2" s="1094"/>
      <c r="BZ2" s="1094"/>
      <c r="CA2" s="1094"/>
      <c r="CB2" s="1094"/>
      <c r="CC2" s="1094"/>
      <c r="CD2" s="1094"/>
      <c r="CE2" s="1094"/>
      <c r="CF2" s="1094"/>
      <c r="CG2" s="1094"/>
      <c r="CH2" s="1094"/>
      <c r="CI2" s="1094"/>
      <c r="CJ2" s="1094"/>
      <c r="CK2" s="1094"/>
      <c r="CL2" s="1094"/>
      <c r="CM2" s="1094"/>
      <c r="CN2" s="1094"/>
      <c r="CO2" s="1094"/>
      <c r="CP2" s="1094"/>
      <c r="CQ2" s="1094"/>
      <c r="CR2" s="1094"/>
      <c r="CS2" s="1094"/>
      <c r="CT2" s="1094"/>
      <c r="CU2" s="1094"/>
      <c r="CV2" s="1094"/>
      <c r="CW2" s="1094"/>
      <c r="CX2" s="1094"/>
      <c r="CY2" s="1094"/>
      <c r="CZ2" s="1094"/>
      <c r="DA2" s="1094"/>
      <c r="DB2" s="1094"/>
      <c r="DC2" s="1094"/>
      <c r="DD2" s="1094"/>
      <c r="DE2" s="1094"/>
      <c r="DF2" s="1094"/>
      <c r="DG2" s="1094"/>
      <c r="DH2" s="1094"/>
      <c r="DI2" s="1094"/>
      <c r="DJ2" s="1094"/>
      <c r="DK2" s="1094"/>
      <c r="DL2" s="1094"/>
      <c r="DM2" s="1094"/>
      <c r="DN2" s="1094"/>
      <c r="DO2" s="1094"/>
      <c r="DP2" s="1094"/>
      <c r="DQ2" s="1094"/>
      <c r="DR2" s="1094"/>
      <c r="DS2" s="1094"/>
      <c r="DT2" s="1094"/>
      <c r="DU2" s="1094"/>
      <c r="DV2" s="1094"/>
      <c r="DW2" s="1094"/>
      <c r="DX2" s="1094"/>
      <c r="DY2" s="1094"/>
      <c r="DZ2" s="1094"/>
      <c r="EA2" s="1094"/>
      <c r="EB2" s="1094"/>
      <c r="EC2" s="1094"/>
      <c r="ED2" s="1094"/>
      <c r="EE2" s="1094"/>
      <c r="EF2" s="1094"/>
      <c r="EG2" s="1094"/>
      <c r="EH2" s="1094"/>
      <c r="EI2" s="1094"/>
      <c r="EJ2" s="1094"/>
      <c r="EK2" s="1094"/>
      <c r="EL2" s="1094"/>
      <c r="EM2" s="1094"/>
      <c r="EN2" s="1094"/>
      <c r="EO2" s="1094"/>
      <c r="EP2" s="1094"/>
      <c r="EQ2" s="1094"/>
      <c r="ER2" s="1094"/>
      <c r="ES2" s="1094"/>
      <c r="ET2" s="1094"/>
      <c r="EU2" s="1094"/>
      <c r="EV2" s="1094"/>
      <c r="EW2" s="1094"/>
      <c r="EX2" s="1094"/>
      <c r="EY2" s="1094"/>
      <c r="EZ2" s="1094"/>
      <c r="FA2" s="1094"/>
      <c r="FB2" s="1094"/>
      <c r="FC2" s="1094"/>
      <c r="FD2" s="1094"/>
      <c r="FE2" s="1094"/>
      <c r="FF2" s="1094"/>
      <c r="FG2" s="1094"/>
      <c r="FH2" s="1094"/>
      <c r="FI2" s="1094"/>
      <c r="FJ2" s="1094"/>
      <c r="FK2" s="1094"/>
      <c r="FL2" s="1094"/>
      <c r="FM2" s="1094"/>
      <c r="FN2" s="1094"/>
      <c r="FO2" s="1094"/>
      <c r="FP2" s="1094"/>
      <c r="FQ2" s="1094"/>
      <c r="FR2" s="1094"/>
      <c r="FS2" s="1094"/>
      <c r="FT2" s="1094"/>
      <c r="FU2" s="1094"/>
      <c r="FV2" s="1094"/>
      <c r="FW2" s="1094"/>
      <c r="GC2" s="1092">
        <v>0</v>
      </c>
    </row>
    <row s="14899" customFormat="1" customHeight="1" ht="12" hidden="1">
      <c r="B3" s="1093"/>
      <c r="C3" s="1094"/>
      <c r="D3" s="1094"/>
      <c r="E3" s="1094"/>
      <c r="F3" s="1094"/>
      <c r="G3" s="1094"/>
      <c r="H3" s="1094"/>
      <c r="I3" s="1094"/>
      <c r="J3" s="1094"/>
      <c r="K3" s="1094"/>
      <c r="L3" s="1094"/>
      <c r="M3" s="1094"/>
      <c r="N3" s="1094"/>
      <c r="O3" s="1094"/>
      <c r="P3" s="1094"/>
      <c r="Q3" s="1094"/>
      <c r="R3" s="1094"/>
      <c r="S3" s="1094"/>
      <c r="T3" s="1094"/>
      <c r="U3" s="1094"/>
      <c r="V3" s="1094"/>
      <c r="W3" s="1094"/>
      <c r="X3" s="1094"/>
      <c r="Y3" s="1094"/>
      <c r="Z3" s="1094"/>
      <c r="AA3" s="1094"/>
      <c r="AB3" s="1095"/>
      <c r="AC3" s="1094"/>
      <c r="AD3" s="1094"/>
      <c r="AE3" s="1094"/>
      <c r="AF3" s="1094"/>
      <c r="AG3" s="1094"/>
      <c r="AH3" s="1094"/>
      <c r="AI3" s="1094"/>
      <c r="AJ3" s="1094"/>
      <c r="AK3" s="1094"/>
      <c r="AL3" s="1094"/>
      <c r="AM3" s="1094"/>
      <c r="AN3" s="1094"/>
      <c r="AO3" s="1094"/>
      <c r="AP3" s="1094"/>
      <c r="AQ3" s="1094"/>
      <c r="AR3" s="1094"/>
      <c r="AS3" s="1094"/>
      <c r="AT3" s="1094"/>
      <c r="AU3" s="1094"/>
      <c r="AV3" s="1094"/>
      <c r="AW3" s="1094"/>
      <c r="AX3" s="1094"/>
      <c r="AY3" s="1094"/>
      <c r="AZ3" s="1094"/>
      <c r="BA3" s="1094"/>
      <c r="BB3" s="1094"/>
      <c r="BC3" s="1094"/>
      <c r="BD3" s="1094"/>
      <c r="BE3" s="1094"/>
      <c r="BF3" s="1094"/>
      <c r="BG3" s="1094"/>
      <c r="BH3" s="1094"/>
      <c r="BI3" s="1094"/>
      <c r="BJ3" s="1094"/>
      <c r="BK3" s="1094"/>
      <c r="BL3" s="1094"/>
      <c r="BM3" s="1094"/>
      <c r="BN3" s="1094"/>
      <c r="BO3" s="1094"/>
      <c r="BP3" s="1094"/>
      <c r="BQ3" s="1094"/>
      <c r="BR3" s="1094"/>
      <c r="BS3" s="1094"/>
      <c r="BT3" s="1094"/>
      <c r="BU3" s="1094"/>
      <c r="BV3" s="1094"/>
      <c r="BW3" s="1094"/>
      <c r="BX3" s="1094"/>
      <c r="BY3" s="1094"/>
      <c r="BZ3" s="1094"/>
      <c r="CA3" s="1094"/>
      <c r="CB3" s="1094"/>
      <c r="CC3" s="1094"/>
      <c r="CD3" s="1094"/>
      <c r="CE3" s="1094"/>
      <c r="CF3" s="1094"/>
      <c r="CG3" s="1094"/>
      <c r="CH3" s="1094"/>
      <c r="CI3" s="1094"/>
      <c r="CJ3" s="1094"/>
      <c r="CK3" s="1094"/>
      <c r="CL3" s="1094"/>
      <c r="CM3" s="1094"/>
      <c r="CN3" s="1094"/>
      <c r="CO3" s="1094"/>
      <c r="CP3" s="1094"/>
      <c r="CQ3" s="1094"/>
      <c r="CR3" s="1094"/>
      <c r="CS3" s="1094"/>
      <c r="CT3" s="1094"/>
      <c r="CU3" s="1094"/>
      <c r="CV3" s="1094"/>
      <c r="CW3" s="1094"/>
      <c r="CX3" s="1094"/>
      <c r="CY3" s="1094"/>
      <c r="CZ3" s="1094"/>
      <c r="DA3" s="1094"/>
      <c r="DB3" s="1094"/>
      <c r="DC3" s="1094"/>
      <c r="DD3" s="1094"/>
      <c r="DE3" s="1094"/>
      <c r="DF3" s="1094"/>
      <c r="DG3" s="1094"/>
      <c r="DH3" s="1094"/>
      <c r="DI3" s="1094"/>
      <c r="DJ3" s="1094"/>
      <c r="DK3" s="1094"/>
      <c r="DL3" s="1094"/>
      <c r="DM3" s="1094"/>
      <c r="DN3" s="1094"/>
      <c r="DO3" s="1094"/>
      <c r="DP3" s="1094"/>
      <c r="DQ3" s="1094"/>
      <c r="DR3" s="1094"/>
      <c r="DS3" s="1094"/>
      <c r="DT3" s="1094"/>
      <c r="DU3" s="1094"/>
      <c r="DV3" s="1094"/>
      <c r="DW3" s="1094"/>
      <c r="DX3" s="1094"/>
      <c r="DY3" s="1094"/>
      <c r="DZ3" s="1094"/>
      <c r="EA3" s="1094"/>
      <c r="EB3" s="1094"/>
      <c r="EC3" s="1094"/>
      <c r="ED3" s="1094"/>
      <c r="EE3" s="1094"/>
      <c r="EF3" s="1094"/>
      <c r="EG3" s="1094"/>
      <c r="EH3" s="1094"/>
      <c r="EI3" s="1094"/>
      <c r="EJ3" s="1094"/>
      <c r="EK3" s="1094"/>
      <c r="EL3" s="1094"/>
      <c r="EM3" s="1094"/>
      <c r="EN3" s="1094"/>
      <c r="EO3" s="1094"/>
      <c r="EP3" s="1094"/>
      <c r="EQ3" s="1094"/>
      <c r="ER3" s="1094"/>
      <c r="ES3" s="1094"/>
      <c r="ET3" s="1094"/>
      <c r="EU3" s="1094"/>
      <c r="EV3" s="1094"/>
      <c r="EW3" s="1094"/>
      <c r="EX3" s="1094"/>
      <c r="EY3" s="1094"/>
      <c r="EZ3" s="1094"/>
      <c r="FA3" s="1094"/>
      <c r="FB3" s="1094"/>
      <c r="FC3" s="1094"/>
      <c r="FD3" s="1094"/>
      <c r="FE3" s="1094"/>
      <c r="FF3" s="1094"/>
      <c r="FG3" s="1094"/>
      <c r="FH3" s="1094"/>
      <c r="FI3" s="1094"/>
      <c r="FJ3" s="1094"/>
      <c r="FK3" s="1094"/>
      <c r="FL3" s="1094"/>
      <c r="FM3" s="1094"/>
      <c r="FN3" s="1094"/>
      <c r="FO3" s="1094"/>
      <c r="FP3" s="1094"/>
      <c r="FQ3" s="1094"/>
      <c r="FR3" s="1094"/>
      <c r="FS3" s="1094"/>
      <c r="FT3" s="1094"/>
      <c r="FU3" s="1094"/>
      <c r="FV3" s="1094"/>
      <c r="FW3" s="1094"/>
      <c r="GC3" s="1092">
        <v>0</v>
      </c>
    </row>
    <row customHeight="1" ht="10.5">
      <c r="B4" s="1097"/>
      <c r="C4" s="1098"/>
      <c r="D4" s="1098"/>
      <c r="E4" s="1098"/>
      <c r="F4" s="1098"/>
      <c r="G4" s="1098"/>
      <c r="H4" s="1099"/>
      <c r="I4" s="1099"/>
      <c r="J4" s="1099"/>
      <c r="K4" s="1099"/>
      <c r="L4" s="1099"/>
      <c r="M4" s="1100"/>
      <c r="N4" s="1100"/>
      <c r="O4" s="1100"/>
      <c r="P4" s="1100"/>
      <c r="Q4" s="1100"/>
      <c r="R4" s="1100"/>
      <c r="S4" s="1100"/>
      <c r="T4" s="1100"/>
      <c r="U4" s="1100"/>
      <c r="V4" s="1100"/>
      <c r="W4" s="1100"/>
      <c r="X4" s="1100"/>
      <c r="Y4" s="1100"/>
      <c r="Z4" s="1100"/>
      <c r="AA4" s="1100"/>
      <c r="AB4" s="1100"/>
      <c r="AC4" s="1100"/>
      <c r="AD4" s="1100"/>
      <c r="AE4" s="1100"/>
      <c r="AF4" s="1100"/>
      <c r="AG4" s="1100"/>
      <c r="AH4" s="1100"/>
      <c r="AI4" s="1100"/>
      <c r="AJ4" s="1100"/>
      <c r="AK4" s="1100"/>
      <c r="AL4" s="1100"/>
      <c r="AM4" s="1100"/>
      <c r="AN4" s="1100"/>
      <c r="AO4" s="1100"/>
      <c r="AP4" s="1100"/>
      <c r="AQ4" s="1100"/>
      <c r="AR4" s="1100"/>
      <c r="AS4" s="1100"/>
      <c r="AT4" s="1100"/>
      <c r="AU4" s="1100"/>
      <c r="AV4" s="1100"/>
      <c r="AW4" s="1100"/>
      <c r="AX4" s="1100"/>
      <c r="AY4" s="1100"/>
      <c r="AZ4" s="1100"/>
      <c r="BA4" s="1100"/>
      <c r="BB4" s="1100"/>
      <c r="BC4" s="1100"/>
      <c r="BD4" s="1100"/>
      <c r="BE4" s="1100"/>
      <c r="BF4" s="1100"/>
      <c r="BG4" s="1100"/>
      <c r="BH4" s="1100"/>
      <c r="BI4" s="1100"/>
      <c r="BJ4" s="1100"/>
      <c r="BK4" s="1100"/>
      <c r="BL4" s="1100"/>
      <c r="BM4" s="1100"/>
      <c r="BN4" s="1100"/>
      <c r="BO4" s="1100"/>
      <c r="BP4" s="1100"/>
      <c r="BQ4" s="1100"/>
      <c r="BR4" s="1100"/>
      <c r="BS4" s="1100"/>
      <c r="BT4" s="1100"/>
      <c r="BU4" s="1100"/>
      <c r="BV4" s="1100"/>
      <c r="BW4" s="1100"/>
      <c r="BX4" s="1100"/>
      <c r="BY4" s="1100"/>
      <c r="BZ4" s="1100"/>
      <c r="CA4" s="1100"/>
      <c r="CB4" s="1100"/>
      <c r="CC4" s="1100"/>
      <c r="CD4" s="1100"/>
      <c r="CE4" s="1100"/>
      <c r="CF4" s="1100"/>
      <c r="CG4" s="1100"/>
      <c r="CH4" s="1100"/>
      <c r="CI4" s="1100"/>
      <c r="CJ4" s="1100"/>
      <c r="CK4" s="1100"/>
      <c r="CL4" s="1100"/>
      <c r="CM4" s="1100"/>
      <c r="CN4" s="1100"/>
      <c r="CO4" s="1100"/>
      <c r="CP4" s="1100"/>
      <c r="CQ4" s="1100"/>
      <c r="CR4" s="1100"/>
      <c r="CS4" s="1100"/>
      <c r="CT4" s="1100"/>
      <c r="CU4" s="1100"/>
      <c r="CV4" s="1100"/>
      <c r="CW4" s="1100"/>
      <c r="CX4" s="1100"/>
      <c r="CY4" s="1100"/>
      <c r="CZ4" s="1100"/>
      <c r="DA4" s="1100"/>
      <c r="DB4" s="1100"/>
      <c r="DC4" s="1100"/>
      <c r="DD4" s="1100"/>
      <c r="DE4" s="1100"/>
      <c r="DF4" s="1100"/>
      <c r="DG4" s="1100"/>
      <c r="DH4" s="1100"/>
      <c r="DI4" s="1100"/>
      <c r="DJ4" s="1100"/>
      <c r="DK4" s="1100"/>
      <c r="DL4" s="1100"/>
      <c r="DM4" s="1100"/>
      <c r="DN4" s="1100"/>
      <c r="DO4" s="1100"/>
      <c r="DP4" s="1100"/>
      <c r="DQ4" s="1100"/>
      <c r="DR4" s="1100"/>
      <c r="DS4" s="1100"/>
      <c r="DT4" s="1100"/>
      <c r="DU4" s="1100"/>
      <c r="DV4" s="1100"/>
      <c r="DW4" s="1100"/>
      <c r="DX4" s="1100"/>
      <c r="DY4" s="1100"/>
      <c r="DZ4" s="1100"/>
      <c r="EA4" s="1100"/>
      <c r="EB4" s="1100"/>
      <c r="EC4" s="1100"/>
      <c r="ED4" s="1100"/>
      <c r="EE4" s="1100"/>
      <c r="EF4" s="1100"/>
      <c r="EG4" s="1100"/>
      <c r="EH4" s="1100"/>
      <c r="EI4" s="1100"/>
      <c r="EJ4" s="1100"/>
      <c r="EK4" s="1100"/>
      <c r="EL4" s="1100"/>
      <c r="EM4" s="1100"/>
      <c r="EN4" s="1100"/>
      <c r="EO4" s="1100"/>
      <c r="EP4" s="1100"/>
      <c r="EQ4" s="1100"/>
      <c r="ER4" s="1100"/>
      <c r="ES4" s="1100"/>
      <c r="ET4" s="1100"/>
      <c r="EU4" s="1100"/>
      <c r="EV4" s="1100"/>
      <c r="EW4" s="1100"/>
      <c r="EX4" s="1100"/>
      <c r="EY4" s="1100"/>
      <c r="EZ4" s="1100"/>
      <c r="FA4" s="1100"/>
      <c r="FB4" s="1100"/>
      <c r="FC4" s="1100"/>
      <c r="FD4" s="1100"/>
      <c r="FE4" s="1100"/>
      <c r="FF4" s="1100"/>
      <c r="FG4" s="1100"/>
      <c r="FH4" s="1100"/>
      <c r="FI4" s="1100"/>
      <c r="FJ4" s="1100"/>
      <c r="FK4" s="1100"/>
      <c r="FL4" s="1100"/>
      <c r="FM4" s="1100"/>
      <c r="FN4" s="1100"/>
      <c r="FO4" s="1100"/>
      <c r="FP4" s="1100"/>
      <c r="FQ4" s="1100"/>
      <c r="FR4" s="1100"/>
      <c r="FS4" s="1100"/>
      <c r="FT4" s="1100"/>
      <c r="FU4" s="1100"/>
      <c r="FV4" s="1100"/>
      <c r="FW4" s="1100"/>
      <c r="GC4" s="1096">
        <v>10</v>
      </c>
    </row>
    <row s="14909" customFormat="1" customHeight="1" ht="27.299999999999997">
      <c r="B5" s="2042"/>
      <c r="E5" s="2044"/>
      <c r="F5" s="260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339"/>
      <c r="H5" s="2339"/>
      <c r="I5" s="2339"/>
      <c r="J5" s="2339"/>
      <c r="K5" s="2339"/>
      <c r="L5" s="2339"/>
      <c r="M5" s="2339"/>
      <c r="N5" s="2339"/>
      <c r="O5" s="2339"/>
      <c r="P5" s="2339"/>
      <c r="Q5" s="2339"/>
      <c r="R5" s="2339"/>
      <c r="S5" s="2339"/>
      <c r="T5" s="2339"/>
      <c r="U5" s="2339"/>
      <c r="V5" s="2339"/>
      <c r="W5" s="2339"/>
      <c r="X5" s="2339"/>
      <c r="Y5" s="2339"/>
      <c r="Z5" s="2339"/>
      <c r="AA5" s="2339"/>
      <c r="AB5" s="2339"/>
      <c r="AC5" s="2339"/>
      <c r="AD5" s="2339"/>
      <c r="AE5" s="2339"/>
      <c r="AF5" s="2339"/>
      <c r="AG5" s="2339"/>
      <c r="AH5" s="2339"/>
      <c r="AI5" s="2339"/>
      <c r="AJ5" s="2339"/>
      <c r="AK5" s="2339"/>
      <c r="AL5" s="2339"/>
      <c r="AM5" s="2339"/>
      <c r="AN5" s="2339"/>
      <c r="AO5" s="2339"/>
      <c r="AP5" s="2339"/>
      <c r="AQ5" s="2339"/>
      <c r="AR5" s="2339"/>
      <c r="AS5" s="2339"/>
      <c r="AT5" s="2339"/>
      <c r="AU5" s="2339"/>
      <c r="AV5" s="2339"/>
      <c r="AW5" s="2339"/>
      <c r="AX5" s="2339"/>
      <c r="AY5" s="2339"/>
      <c r="AZ5" s="2339"/>
      <c r="BA5" s="2339"/>
      <c r="BB5" s="2339"/>
      <c r="BC5" s="2339"/>
      <c r="BD5" s="2339"/>
      <c r="BE5" s="2339"/>
      <c r="BF5" s="2339"/>
      <c r="BG5" s="2339"/>
      <c r="BH5" s="2339"/>
      <c r="BI5" s="2339"/>
      <c r="BJ5" s="2339"/>
      <c r="BK5" s="2339"/>
      <c r="BL5" s="2339"/>
      <c r="BM5" s="2339"/>
      <c r="BN5" s="2339"/>
      <c r="BO5" s="2339"/>
      <c r="BP5" s="2339"/>
      <c r="BQ5" s="2339"/>
      <c r="BR5" s="2339"/>
      <c r="BS5" s="2339"/>
      <c r="GC5" s="2043">
        <v>26</v>
      </c>
    </row>
    <row s="14914" customFormat="1" customHeight="1" ht="18.75">
      <c r="B6" s="1113"/>
      <c r="E6" s="1115"/>
      <c r="F6" s="2384" t="str">
        <f>IF(org=0,"Не определено",org)</f>
        <v>Филиал "Шатурская ГРЭС" ПАО "Юнипро"</v>
      </c>
      <c r="G6" s="2385"/>
      <c r="H6" s="2385"/>
      <c r="I6" s="2385"/>
      <c r="J6" s="2385"/>
      <c r="K6" s="2385"/>
      <c r="L6" s="2385"/>
      <c r="M6" s="2385"/>
      <c r="N6" s="2385"/>
      <c r="O6" s="2385"/>
      <c r="P6" s="2385"/>
      <c r="Q6" s="2385"/>
      <c r="R6" s="2385"/>
      <c r="S6" s="2385"/>
      <c r="T6" s="2385"/>
      <c r="U6" s="2385"/>
      <c r="V6" s="2385"/>
      <c r="W6" s="2385"/>
      <c r="X6" s="2385"/>
      <c r="Y6" s="2385"/>
      <c r="Z6" s="2385"/>
      <c r="AA6" s="2385"/>
      <c r="AB6" s="2385"/>
      <c r="AC6" s="2385"/>
      <c r="AD6" s="2385"/>
      <c r="AE6" s="2385"/>
      <c r="AF6" s="2385"/>
      <c r="AG6" s="2385"/>
      <c r="AH6" s="2385"/>
      <c r="AI6" s="2385"/>
      <c r="AJ6" s="2385"/>
      <c r="AK6" s="2385"/>
      <c r="AL6" s="2385"/>
      <c r="AM6" s="2385"/>
      <c r="AN6" s="2385"/>
      <c r="AO6" s="2385"/>
      <c r="AP6" s="2385"/>
      <c r="AQ6" s="2385"/>
      <c r="AR6" s="2385"/>
      <c r="AS6" s="2385"/>
      <c r="AT6" s="2385"/>
      <c r="AU6" s="2385"/>
      <c r="AV6" s="2385"/>
      <c r="AW6" s="2385"/>
      <c r="AX6" s="2385"/>
      <c r="AY6" s="2385"/>
      <c r="AZ6" s="2385"/>
      <c r="BA6" s="2385"/>
      <c r="BB6" s="2385"/>
      <c r="BC6" s="2385"/>
      <c r="BD6" s="2385"/>
      <c r="BE6" s="2385"/>
      <c r="BF6" s="2385"/>
      <c r="BG6" s="2385"/>
      <c r="BH6" s="2385"/>
      <c r="BI6" s="2385"/>
      <c r="BJ6" s="2385"/>
      <c r="BK6" s="2385"/>
      <c r="BL6" s="2385"/>
      <c r="BM6" s="2385"/>
      <c r="BN6" s="2385"/>
      <c r="BO6" s="2385"/>
      <c r="BP6" s="2385"/>
      <c r="BQ6" s="2385"/>
      <c r="BR6" s="2385"/>
      <c r="BS6" s="2385"/>
      <c r="GC6" s="1114">
        <v>18</v>
      </c>
    </row>
    <row s="14918" customFormat="1" customHeight="1" ht="10.5">
      <c r="B7" s="1102"/>
      <c r="E7" s="1103"/>
      <c r="F7" s="1103"/>
      <c r="G7" s="1105"/>
      <c r="H7" s="1099"/>
      <c r="I7" s="1099"/>
      <c r="J7" s="1099"/>
      <c r="K7" s="1099"/>
      <c r="L7" s="1099"/>
      <c r="M7" s="1103"/>
      <c r="N7" s="1103"/>
      <c r="O7" s="1103"/>
      <c r="P7" s="1103"/>
      <c r="Q7" s="1103"/>
      <c r="R7" s="1103"/>
      <c r="S7" s="1103"/>
      <c r="T7" s="1103"/>
      <c r="U7" s="1103"/>
      <c r="V7" s="1103"/>
      <c r="W7" s="1103"/>
      <c r="X7" s="1103"/>
      <c r="Y7" s="1103"/>
      <c r="Z7" s="1103"/>
      <c r="AA7" s="1103"/>
      <c r="AB7" s="1103"/>
      <c r="AC7" s="1103"/>
      <c r="AD7" s="1103"/>
      <c r="AE7" s="1103"/>
      <c r="AF7" s="1103"/>
      <c r="AG7" s="1103"/>
      <c r="AH7" s="1103"/>
      <c r="AI7" s="1103"/>
      <c r="AJ7" s="1103"/>
      <c r="AK7" s="1103"/>
      <c r="AL7" s="1103"/>
      <c r="AM7" s="1103"/>
      <c r="AN7" s="1103"/>
      <c r="AO7" s="1103"/>
      <c r="AP7" s="1103"/>
      <c r="AQ7" s="1103"/>
      <c r="AR7" s="1103"/>
      <c r="AS7" s="1103"/>
      <c r="AT7" s="1103"/>
      <c r="AU7" s="1103"/>
      <c r="AV7" s="1103"/>
      <c r="AW7" s="1103"/>
      <c r="AX7" s="1103"/>
      <c r="AY7" s="1103"/>
      <c r="AZ7" s="1103"/>
      <c r="BA7" s="1103"/>
      <c r="BB7" s="1103"/>
      <c r="BC7" s="1103"/>
      <c r="BD7" s="1103"/>
      <c r="BE7" s="1103"/>
      <c r="BF7" s="1103"/>
      <c r="BG7" s="1103"/>
      <c r="BH7" s="1103"/>
      <c r="BI7" s="1103"/>
      <c r="BJ7" s="1103"/>
      <c r="BK7" s="1103"/>
      <c r="BL7" s="1103"/>
      <c r="BM7" s="1103"/>
      <c r="BN7" s="1103"/>
      <c r="BO7" s="1103"/>
      <c r="BP7" s="1103"/>
      <c r="BQ7" s="1103"/>
      <c r="BR7" s="1103"/>
      <c r="BS7" s="1103"/>
      <c r="BT7" s="1103"/>
      <c r="BU7" s="1103"/>
      <c r="BV7" s="1103"/>
      <c r="BW7" s="1103"/>
      <c r="BX7" s="1103"/>
      <c r="BY7" s="1103"/>
      <c r="BZ7" s="1103"/>
      <c r="CA7" s="1103"/>
      <c r="CB7" s="1103"/>
      <c r="CC7" s="1103"/>
      <c r="CD7" s="1103"/>
      <c r="CE7" s="1103"/>
      <c r="CF7" s="1103"/>
      <c r="CG7" s="1103"/>
      <c r="CH7" s="1103"/>
      <c r="CI7" s="1103"/>
      <c r="CJ7" s="1103"/>
      <c r="CK7" s="1103"/>
      <c r="CL7" s="1103"/>
      <c r="CM7" s="1103"/>
      <c r="CN7" s="1103"/>
      <c r="CO7" s="1103"/>
      <c r="CP7" s="1103"/>
      <c r="CQ7" s="1103"/>
      <c r="CR7" s="1103"/>
      <c r="CS7" s="1103"/>
      <c r="CT7" s="1103"/>
      <c r="CU7" s="1103"/>
      <c r="CV7" s="1103"/>
      <c r="CW7" s="1103"/>
      <c r="CX7" s="1103"/>
      <c r="CY7" s="1103"/>
      <c r="CZ7" s="1103"/>
      <c r="DA7" s="1103"/>
      <c r="DB7" s="1103"/>
      <c r="DC7" s="1103"/>
      <c r="DD7" s="1103"/>
      <c r="DE7" s="1103"/>
      <c r="DF7" s="1103"/>
      <c r="DG7" s="1103"/>
      <c r="DH7" s="1103"/>
      <c r="DI7" s="1103"/>
      <c r="DJ7" s="1103"/>
      <c r="DK7" s="1103"/>
      <c r="DL7" s="1103"/>
      <c r="DM7" s="1103"/>
      <c r="DN7" s="1103"/>
      <c r="DO7" s="1103"/>
      <c r="DP7" s="1103"/>
      <c r="DQ7" s="1103"/>
      <c r="DR7" s="1103"/>
      <c r="DS7" s="1103"/>
      <c r="DT7" s="1103"/>
      <c r="DU7" s="1103"/>
      <c r="DV7" s="1103"/>
      <c r="DW7" s="1103"/>
      <c r="DX7" s="1103"/>
      <c r="DY7" s="1103"/>
      <c r="DZ7" s="1103"/>
      <c r="EA7" s="1103"/>
      <c r="EB7" s="1103"/>
      <c r="EC7" s="1103"/>
      <c r="ED7" s="1103"/>
      <c r="EE7" s="1103"/>
      <c r="EF7" s="1103"/>
      <c r="EG7" s="1103"/>
      <c r="EH7" s="1103"/>
      <c r="EI7" s="1103"/>
      <c r="EJ7" s="1103"/>
      <c r="EK7" s="1103"/>
      <c r="EL7" s="1103"/>
      <c r="EM7" s="1103"/>
      <c r="EN7" s="1103"/>
      <c r="EO7" s="1103"/>
      <c r="EP7" s="1103"/>
      <c r="EQ7" s="1103"/>
      <c r="ER7" s="1103"/>
      <c r="ES7" s="1103"/>
      <c r="ET7" s="1103"/>
      <c r="EU7" s="1103"/>
      <c r="EV7" s="1103"/>
      <c r="EW7" s="1103"/>
      <c r="EX7" s="1103"/>
      <c r="EY7" s="1103"/>
      <c r="EZ7" s="1103"/>
      <c r="FA7" s="1103"/>
      <c r="FB7" s="1103"/>
      <c r="FC7" s="1103"/>
      <c r="FD7" s="1103"/>
      <c r="FE7" s="1103"/>
      <c r="FF7" s="1103"/>
      <c r="FG7" s="1103"/>
      <c r="FH7" s="1103"/>
      <c r="FI7" s="1103"/>
      <c r="FJ7" s="1103"/>
      <c r="FK7" s="1103"/>
      <c r="FL7" s="1103"/>
      <c r="FM7" s="1103"/>
      <c r="FN7" s="1103"/>
      <c r="FO7" s="1103"/>
      <c r="FP7" s="1103"/>
      <c r="FQ7" s="1103"/>
      <c r="FR7" s="1103"/>
      <c r="FS7" s="1103"/>
      <c r="FT7" s="1103"/>
      <c r="FU7" s="1103"/>
      <c r="FV7" s="1103"/>
      <c r="FW7" s="1103"/>
      <c r="GC7" s="1101">
        <v>10</v>
      </c>
    </row>
    <row s="14918" customFormat="1" customHeight="1" ht="11.25" hidden="1">
      <c r="B8" s="1104"/>
      <c r="F8" s="1226"/>
      <c r="G8" s="933"/>
      <c r="H8" s="530"/>
      <c r="I8" s="530"/>
      <c r="J8" s="530"/>
      <c r="K8" s="530"/>
      <c r="L8" s="530"/>
      <c r="M8" s="1226"/>
      <c r="N8" s="1226"/>
      <c r="O8" s="2620" t="s">
        <v>1086</v>
      </c>
      <c r="P8" s="2621"/>
      <c r="Q8" s="2621"/>
      <c r="R8" s="2621"/>
      <c r="S8" s="2621"/>
      <c r="T8" s="2621"/>
      <c r="U8" s="2621"/>
      <c r="V8" s="2621"/>
      <c r="W8" s="2621"/>
      <c r="X8" s="2621"/>
      <c r="Y8" s="2621"/>
      <c r="Z8" s="2621"/>
      <c r="AA8" s="2621"/>
      <c r="AB8" s="2621"/>
      <c r="AC8" s="2621"/>
      <c r="AD8" s="2621"/>
      <c r="AE8" s="2621"/>
      <c r="AF8" s="2621"/>
      <c r="AG8" s="2621"/>
      <c r="AH8" s="2621"/>
      <c r="AI8" s="2621"/>
      <c r="AJ8" s="2621"/>
      <c r="AK8" s="2621"/>
      <c r="AL8" s="2621"/>
      <c r="AM8" s="2621"/>
      <c r="AN8" s="2621"/>
      <c r="AO8" s="2621"/>
      <c r="AP8" s="2621"/>
      <c r="AQ8" s="2621"/>
      <c r="AR8" s="2621"/>
      <c r="AS8" s="2621"/>
      <c r="AT8" s="2621"/>
      <c r="AU8" s="2621"/>
      <c r="AV8" s="2621"/>
      <c r="AW8" s="2621"/>
      <c r="AX8" s="2621"/>
      <c r="AY8" s="2621"/>
      <c r="AZ8" s="2621"/>
      <c r="BA8" s="2621"/>
      <c r="BB8" s="2621"/>
      <c r="BC8" s="2621"/>
      <c r="BD8" s="2621"/>
      <c r="BE8" s="2621"/>
      <c r="BF8" s="2621"/>
      <c r="BG8" s="2621"/>
      <c r="BH8" s="2621"/>
      <c r="BI8" s="2621"/>
      <c r="BJ8" s="2621"/>
      <c r="BK8" s="2621"/>
      <c r="BL8" s="2621"/>
      <c r="BM8" s="2621"/>
      <c r="BN8" s="2621"/>
      <c r="BO8" s="2621"/>
      <c r="BP8" s="2621"/>
      <c r="BQ8" s="2621"/>
      <c r="BR8" s="2621"/>
      <c r="BS8" s="2622"/>
      <c r="BT8" s="2609"/>
      <c r="BU8" s="2610"/>
      <c r="BV8" s="2610"/>
      <c r="BW8" s="2610"/>
      <c r="BX8" s="2610"/>
      <c r="BY8" s="2610"/>
      <c r="BZ8" s="2610"/>
      <c r="CA8" s="2610"/>
      <c r="CB8" s="2610"/>
      <c r="CC8" s="2610"/>
      <c r="CD8" s="2610"/>
      <c r="CE8" s="2610"/>
      <c r="CF8" s="2610"/>
      <c r="CG8" s="2610"/>
      <c r="CH8" s="2610"/>
      <c r="CI8" s="2610"/>
      <c r="CJ8" s="2610"/>
      <c r="CK8" s="2610"/>
      <c r="CL8" s="2610"/>
      <c r="CM8" s="2610"/>
      <c r="CN8" s="2610"/>
      <c r="CO8" s="2610"/>
      <c r="CP8" s="2610"/>
      <c r="CQ8" s="2610"/>
      <c r="CR8" s="2610"/>
      <c r="CS8" s="2610"/>
      <c r="CT8" s="2610"/>
      <c r="CU8" s="2610"/>
      <c r="CV8" s="2610"/>
      <c r="CW8" s="2610"/>
      <c r="CX8" s="2611"/>
      <c r="CY8" s="2612"/>
      <c r="CZ8" s="2613"/>
      <c r="DA8" s="2613"/>
      <c r="DB8" s="2613"/>
      <c r="DC8" s="2613"/>
      <c r="DD8" s="2613"/>
      <c r="DE8" s="2613"/>
      <c r="DF8" s="2613"/>
      <c r="DG8" s="2613"/>
      <c r="DH8" s="2613"/>
      <c r="DI8" s="2613"/>
      <c r="DJ8" s="2613"/>
      <c r="DK8" s="2613"/>
      <c r="DL8" s="2613"/>
      <c r="DM8" s="2613"/>
      <c r="DN8" s="2613"/>
      <c r="DO8" s="2613"/>
      <c r="DP8" s="2613"/>
      <c r="DQ8" s="2613"/>
      <c r="DR8" s="2613"/>
      <c r="DS8" s="2613"/>
      <c r="DT8" s="2613"/>
      <c r="DU8" s="2613"/>
      <c r="DV8" s="2613"/>
      <c r="DW8" s="2613"/>
      <c r="DX8" s="2614"/>
      <c r="DY8" s="2615" t="s">
        <v>1087</v>
      </c>
      <c r="DZ8" s="2616"/>
      <c r="EA8" s="2616"/>
      <c r="EB8" s="2616"/>
      <c r="EC8" s="2616"/>
      <c r="ED8" s="2616"/>
      <c r="EE8" s="2616"/>
      <c r="EF8" s="2616"/>
      <c r="EG8" s="2616"/>
      <c r="EH8" s="2616"/>
      <c r="EI8" s="2616"/>
      <c r="EJ8" s="2616"/>
      <c r="EK8" s="2616"/>
      <c r="EL8" s="2616"/>
      <c r="EM8" s="2616"/>
      <c r="EN8" s="2616"/>
      <c r="EO8" s="2616"/>
      <c r="EP8" s="2616"/>
      <c r="EQ8" s="2616"/>
      <c r="ER8" s="2616"/>
      <c r="ES8" s="2616"/>
      <c r="ET8" s="2616"/>
      <c r="EU8" s="2616"/>
      <c r="EV8" s="2616"/>
      <c r="EW8" s="2616"/>
      <c r="EX8" s="2616"/>
      <c r="EY8" s="2616"/>
      <c r="EZ8" s="2616"/>
      <c r="FA8" s="2616"/>
      <c r="FB8" s="2616"/>
      <c r="FC8" s="2616"/>
      <c r="FD8" s="2616"/>
      <c r="FE8" s="2616"/>
      <c r="FF8" s="2616"/>
      <c r="FG8" s="2616"/>
      <c r="FH8" s="2616"/>
      <c r="FI8" s="2616"/>
      <c r="FJ8" s="2616"/>
      <c r="FK8" s="2616"/>
      <c r="FL8" s="2616"/>
      <c r="FM8" s="2616"/>
      <c r="FN8" s="2616"/>
      <c r="FO8" s="2616"/>
      <c r="FP8" s="2616"/>
      <c r="FQ8" s="2616"/>
      <c r="FR8" s="2616"/>
      <c r="FS8" s="2616"/>
      <c r="FT8" s="2616"/>
      <c r="FU8" s="2616"/>
      <c r="FV8" s="2616"/>
      <c r="FW8" s="2617"/>
      <c r="FX8" s="1226"/>
      <c r="GC8" s="1103">
        <v>0</v>
      </c>
    </row>
    <row s="14918" customFormat="1" customHeight="1" ht="11.25" hidden="1">
      <c r="B9" s="1104"/>
      <c r="F9" s="1226"/>
      <c r="G9" s="933"/>
      <c r="H9" s="530"/>
      <c r="I9" s="530"/>
      <c r="J9" s="530"/>
      <c r="K9" s="530"/>
      <c r="L9" s="530"/>
      <c r="M9" s="1226"/>
      <c r="N9" s="1226"/>
      <c r="O9" s="1226"/>
      <c r="P9" s="1226"/>
      <c r="Q9" s="1226"/>
      <c r="R9" s="1226"/>
      <c r="S9" s="1226"/>
      <c r="T9" s="1226"/>
      <c r="U9" s="1226"/>
      <c r="V9" s="1226"/>
      <c r="W9" s="1226"/>
      <c r="X9" s="1226"/>
      <c r="Y9" s="1226"/>
      <c r="Z9" s="1226"/>
      <c r="AA9" s="1226"/>
      <c r="AB9" s="1226"/>
      <c r="AC9" s="1226"/>
      <c r="AD9" s="1226"/>
      <c r="AE9" s="1226"/>
      <c r="AF9" s="1226"/>
      <c r="AG9" s="1226"/>
      <c r="AH9" s="1226"/>
      <c r="AI9" s="1226"/>
      <c r="AJ9" s="1226"/>
      <c r="AK9" s="1226"/>
      <c r="AL9" s="1226"/>
      <c r="AM9" s="1226"/>
      <c r="AN9" s="1226"/>
      <c r="AO9" s="1226"/>
      <c r="AP9" s="1226"/>
      <c r="AQ9" s="1226"/>
      <c r="AR9" s="1226"/>
      <c r="AS9" s="1226"/>
      <c r="AT9" s="1226"/>
      <c r="AU9" s="1226"/>
      <c r="AV9" s="1226"/>
      <c r="AW9" s="1226"/>
      <c r="AX9" s="1226"/>
      <c r="AY9" s="1226"/>
      <c r="AZ9" s="1226"/>
      <c r="BA9" s="1226"/>
      <c r="BB9" s="1226"/>
      <c r="BC9" s="1226"/>
      <c r="BD9" s="1226"/>
      <c r="BE9" s="1226"/>
      <c r="BF9" s="1226"/>
      <c r="BG9" s="1226"/>
      <c r="BH9" s="1226"/>
      <c r="BI9" s="1226"/>
      <c r="BJ9" s="1226"/>
      <c r="BK9" s="1226"/>
      <c r="BL9" s="1226"/>
      <c r="BM9" s="1226"/>
      <c r="BN9" s="1226"/>
      <c r="BO9" s="1226"/>
      <c r="BP9" s="1226"/>
      <c r="BQ9" s="1226"/>
      <c r="BR9" s="1226"/>
      <c r="BS9" s="1226"/>
      <c r="BT9" s="1226"/>
      <c r="BU9" s="1226"/>
      <c r="BV9" s="1226"/>
      <c r="BW9" s="1226"/>
      <c r="BX9" s="1226"/>
      <c r="BY9" s="1226"/>
      <c r="BZ9" s="1226"/>
      <c r="CA9" s="1226"/>
      <c r="CB9" s="1226"/>
      <c r="CC9" s="1226"/>
      <c r="CD9" s="1226"/>
      <c r="CE9" s="1226"/>
      <c r="CF9" s="1226"/>
      <c r="CG9" s="1226"/>
      <c r="CH9" s="1226"/>
      <c r="CI9" s="1226"/>
      <c r="CJ9" s="1226"/>
      <c r="CK9" s="1226"/>
      <c r="CL9" s="1226"/>
      <c r="CM9" s="1226"/>
      <c r="CN9" s="1226"/>
      <c r="CO9" s="1226"/>
      <c r="CP9" s="1226"/>
      <c r="CQ9" s="1226"/>
      <c r="CR9" s="1226"/>
      <c r="CS9" s="1226"/>
      <c r="CT9" s="1226"/>
      <c r="CU9" s="1226"/>
      <c r="CV9" s="1226"/>
      <c r="CW9" s="1226"/>
      <c r="CX9" s="1226"/>
      <c r="CY9" s="1226"/>
      <c r="CZ9" s="1226"/>
      <c r="DA9" s="1226"/>
      <c r="DB9" s="1226"/>
      <c r="DC9" s="1226"/>
      <c r="DD9" s="1226"/>
      <c r="DE9" s="1226"/>
      <c r="DF9" s="1226"/>
      <c r="DG9" s="1226"/>
      <c r="DH9" s="1226"/>
      <c r="DI9" s="1226"/>
      <c r="DJ9" s="1226"/>
      <c r="DK9" s="1226"/>
      <c r="DL9" s="1226"/>
      <c r="DM9" s="1226"/>
      <c r="DN9" s="1226"/>
      <c r="DO9" s="1226"/>
      <c r="DP9" s="1226"/>
      <c r="DQ9" s="1226"/>
      <c r="DR9" s="1226"/>
      <c r="DS9" s="1226"/>
      <c r="DT9" s="1226"/>
      <c r="DU9" s="1226"/>
      <c r="DV9" s="1226"/>
      <c r="DW9" s="1226"/>
      <c r="DX9" s="1226"/>
      <c r="DY9" s="1226"/>
      <c r="DZ9" s="1226"/>
      <c r="EA9" s="1226"/>
      <c r="EB9" s="1226"/>
      <c r="EC9" s="1226"/>
      <c r="ED9" s="1226"/>
      <c r="EE9" s="1226"/>
      <c r="EF9" s="1226"/>
      <c r="EG9" s="1226"/>
      <c r="EH9" s="1226"/>
      <c r="EI9" s="1226"/>
      <c r="EJ9" s="1226"/>
      <c r="EK9" s="1226"/>
      <c r="EL9" s="1226"/>
      <c r="EM9" s="1226"/>
      <c r="EN9" s="1226"/>
      <c r="EO9" s="1226"/>
      <c r="EP9" s="1226"/>
      <c r="EQ9" s="1226"/>
      <c r="ER9" s="1226"/>
      <c r="ES9" s="1226"/>
      <c r="ET9" s="1226"/>
      <c r="EU9" s="1226"/>
      <c r="EV9" s="1226"/>
      <c r="EW9" s="1226"/>
      <c r="EX9" s="1226"/>
      <c r="EY9" s="1226"/>
      <c r="EZ9" s="1226"/>
      <c r="FA9" s="1226"/>
      <c r="FB9" s="1226"/>
      <c r="FC9" s="1226"/>
      <c r="FD9" s="1226"/>
      <c r="FE9" s="1226"/>
      <c r="FF9" s="1226"/>
      <c r="FG9" s="1226"/>
      <c r="FH9" s="1226"/>
      <c r="FI9" s="1226"/>
      <c r="FJ9" s="1226"/>
      <c r="FK9" s="1226"/>
      <c r="FL9" s="1226"/>
      <c r="FM9" s="1226"/>
      <c r="FN9" s="1226"/>
      <c r="FO9" s="1226"/>
      <c r="FP9" s="1226"/>
      <c r="FQ9" s="1226"/>
      <c r="FR9" s="1226"/>
      <c r="FS9" s="1226"/>
      <c r="FT9" s="1226"/>
      <c r="FU9" s="1226"/>
      <c r="FV9" s="1226"/>
      <c r="FW9" s="2618"/>
      <c r="FX9" s="1226"/>
      <c r="GC9" s="1103">
        <v>0</v>
      </c>
    </row>
    <row s="14918" customFormat="1" customHeight="1" ht="11.549999999999999">
      <c r="B10" s="1104"/>
      <c r="F10" s="2599" t="s">
        <v>312</v>
      </c>
      <c r="G10" s="2600"/>
      <c r="H10" s="2600"/>
      <c r="I10" s="2600"/>
      <c r="J10" s="2600"/>
      <c r="K10" s="2600"/>
      <c r="L10" s="2600"/>
      <c r="M10" s="2600"/>
      <c r="N10" s="2600"/>
      <c r="O10" s="2600"/>
      <c r="P10" s="2600"/>
      <c r="Q10" s="2600"/>
      <c r="R10" s="2600"/>
      <c r="S10" s="2600"/>
      <c r="T10" s="2600"/>
      <c r="U10" s="2600"/>
      <c r="V10" s="2600"/>
      <c r="W10" s="2600"/>
      <c r="X10" s="2600"/>
      <c r="Y10" s="2600"/>
      <c r="Z10" s="2600"/>
      <c r="AA10" s="2600"/>
      <c r="AB10" s="2600"/>
      <c r="AC10" s="2600"/>
      <c r="AD10" s="2600"/>
      <c r="AE10" s="2600"/>
      <c r="AF10" s="2600"/>
      <c r="AG10" s="2600"/>
      <c r="AH10" s="2600"/>
      <c r="AI10" s="2600"/>
      <c r="AJ10" s="2600"/>
      <c r="AK10" s="2600"/>
      <c r="AL10" s="2600"/>
      <c r="AM10" s="2600"/>
      <c r="AN10" s="2600"/>
      <c r="AO10" s="2600"/>
      <c r="AP10" s="2600"/>
      <c r="AQ10" s="2600"/>
      <c r="AR10" s="2600"/>
      <c r="AS10" s="2600"/>
      <c r="AT10" s="2600"/>
      <c r="AU10" s="2600"/>
      <c r="AV10" s="2600"/>
      <c r="AW10" s="2600"/>
      <c r="AX10" s="2600"/>
      <c r="AY10" s="2600"/>
      <c r="AZ10" s="2600"/>
      <c r="BA10" s="2600"/>
      <c r="BB10" s="2600"/>
      <c r="BC10" s="2600"/>
      <c r="BD10" s="2600"/>
      <c r="BE10" s="2600"/>
      <c r="BF10" s="2600"/>
      <c r="BG10" s="2600"/>
      <c r="BH10" s="2600"/>
      <c r="BI10" s="2600"/>
      <c r="BJ10" s="2600"/>
      <c r="BK10" s="2600"/>
      <c r="BL10" s="2600"/>
      <c r="BM10" s="2600"/>
      <c r="BN10" s="2600"/>
      <c r="BO10" s="2600"/>
      <c r="BP10" s="2600"/>
      <c r="BQ10" s="2600"/>
      <c r="BR10" s="2600"/>
      <c r="BS10" s="2600"/>
      <c r="BT10" s="2600"/>
      <c r="BU10" s="2600"/>
      <c r="BV10" s="2600"/>
      <c r="BW10" s="2600"/>
      <c r="BX10" s="2600"/>
      <c r="BY10" s="2600"/>
      <c r="BZ10" s="2600"/>
      <c r="CA10" s="2600"/>
      <c r="CB10" s="2600"/>
      <c r="CC10" s="2600"/>
      <c r="CD10" s="2600"/>
      <c r="CE10" s="2600"/>
      <c r="CF10" s="2600"/>
      <c r="CG10" s="2600"/>
      <c r="CH10" s="2600"/>
      <c r="CI10" s="2600"/>
      <c r="CJ10" s="2600"/>
      <c r="CK10" s="2600"/>
      <c r="CL10" s="2600"/>
      <c r="CM10" s="2600"/>
      <c r="CN10" s="2600"/>
      <c r="CO10" s="2600"/>
      <c r="CP10" s="2600"/>
      <c r="CQ10" s="2600"/>
      <c r="CR10" s="2600"/>
      <c r="CS10" s="2600"/>
      <c r="CT10" s="2600"/>
      <c r="CU10" s="2600"/>
      <c r="CV10" s="2600"/>
      <c r="CW10" s="2600"/>
      <c r="CX10" s="2600"/>
      <c r="CY10" s="2600"/>
      <c r="CZ10" s="2600"/>
      <c r="DA10" s="2600"/>
      <c r="DB10" s="2600"/>
      <c r="DC10" s="2600"/>
      <c r="DD10" s="2600"/>
      <c r="DE10" s="2600"/>
      <c r="DF10" s="2600"/>
      <c r="DG10" s="2600"/>
      <c r="DH10" s="2600"/>
      <c r="DI10" s="2600"/>
      <c r="DJ10" s="2600"/>
      <c r="DK10" s="2600"/>
      <c r="DL10" s="2600"/>
      <c r="DM10" s="2600"/>
      <c r="DN10" s="2600"/>
      <c r="DO10" s="2600"/>
      <c r="DP10" s="2600"/>
      <c r="DQ10" s="2600"/>
      <c r="DR10" s="2600"/>
      <c r="DS10" s="2600"/>
      <c r="DT10" s="2600"/>
      <c r="DU10" s="2600"/>
      <c r="DV10" s="2600"/>
      <c r="DW10" s="2600"/>
      <c r="DX10" s="2600"/>
      <c r="DY10" s="2600"/>
      <c r="DZ10" s="2600"/>
      <c r="EA10" s="2600"/>
      <c r="EB10" s="2600"/>
      <c r="EC10" s="2600"/>
      <c r="ED10" s="2600"/>
      <c r="EE10" s="2600"/>
      <c r="EF10" s="2600"/>
      <c r="EG10" s="2600"/>
      <c r="EH10" s="2600"/>
      <c r="EI10" s="2600"/>
      <c r="EJ10" s="2600"/>
      <c r="EK10" s="2600"/>
      <c r="EL10" s="2600"/>
      <c r="EM10" s="2600"/>
      <c r="EN10" s="2600"/>
      <c r="EO10" s="2600"/>
      <c r="EP10" s="2600"/>
      <c r="EQ10" s="2600"/>
      <c r="ER10" s="2600"/>
      <c r="ES10" s="2600"/>
      <c r="ET10" s="2600"/>
      <c r="EU10" s="2600"/>
      <c r="EV10" s="2600"/>
      <c r="EW10" s="2600"/>
      <c r="EX10" s="2600"/>
      <c r="EY10" s="2600"/>
      <c r="EZ10" s="2600"/>
      <c r="FA10" s="2600"/>
      <c r="FB10" s="2600"/>
      <c r="FC10" s="2600"/>
      <c r="FD10" s="2600"/>
      <c r="FE10" s="2600"/>
      <c r="FF10" s="2600"/>
      <c r="FG10" s="2600"/>
      <c r="FH10" s="2600"/>
      <c r="FI10" s="2600"/>
      <c r="FJ10" s="2600"/>
      <c r="FK10" s="2600"/>
      <c r="FL10" s="2600"/>
      <c r="FM10" s="2600"/>
      <c r="FN10" s="2600"/>
      <c r="FO10" s="2600"/>
      <c r="FP10" s="2600"/>
      <c r="FQ10" s="2600"/>
      <c r="FR10" s="2600"/>
      <c r="FS10" s="2600"/>
      <c r="FT10" s="2600"/>
      <c r="FU10" s="2600"/>
      <c r="FV10" s="2601"/>
      <c r="FW10" s="2618"/>
      <c r="FX10" s="1226"/>
      <c r="GC10" s="1103">
        <v>11</v>
      </c>
    </row>
    <row customHeight="1" ht="12.75">
      <c r="E11" s="1107"/>
      <c r="F11" s="2375" t="s">
        <v>91</v>
      </c>
      <c r="G11" s="2375" t="s">
        <v>1088</v>
      </c>
      <c r="H11" s="2607" t="s">
        <v>1089</v>
      </c>
      <c r="I11" s="2607" t="s">
        <v>1090</v>
      </c>
      <c r="J11" s="2608"/>
      <c r="K11" s="2608"/>
      <c r="L11" s="2608"/>
      <c r="M11" s="2608"/>
      <c r="N11" s="2608"/>
      <c r="O11" s="2379" t="s">
        <v>1091</v>
      </c>
      <c r="P11" s="2379"/>
      <c r="Q11" s="2379"/>
      <c r="R11" s="2379"/>
      <c r="S11" s="2379"/>
      <c r="T11" s="2379"/>
      <c r="U11" s="2379"/>
      <c r="V11" s="2379"/>
      <c r="W11" s="2379"/>
      <c r="X11" s="2379"/>
      <c r="Y11" s="2379"/>
      <c r="Z11" s="2379"/>
      <c r="AA11" s="2379"/>
      <c r="AB11" s="2379"/>
      <c r="AC11" s="2604"/>
      <c r="AD11" s="2604"/>
      <c r="AE11" s="2604"/>
      <c r="AF11" s="2604"/>
      <c r="AG11" s="2604"/>
      <c r="AH11" s="2604"/>
      <c r="AI11" s="2604"/>
      <c r="AJ11" s="2604"/>
      <c r="AK11" s="2604"/>
      <c r="AL11" s="2604"/>
      <c r="AM11" s="2604"/>
      <c r="AN11" s="2604"/>
      <c r="AO11" s="2604"/>
      <c r="AP11" s="2604"/>
      <c r="AQ11" s="2604"/>
      <c r="AR11" s="2604"/>
      <c r="AS11" s="2604"/>
      <c r="AT11" s="2604"/>
      <c r="AU11" s="2604"/>
      <c r="AV11" s="2604"/>
      <c r="AW11" s="2604"/>
      <c r="AX11" s="2604"/>
      <c r="AY11" s="2604"/>
      <c r="AZ11" s="2604"/>
      <c r="BA11" s="2604"/>
      <c r="BB11" s="2604"/>
      <c r="BC11" s="2604"/>
      <c r="BD11" s="2604"/>
      <c r="BE11" s="2604"/>
      <c r="BF11" s="2604"/>
      <c r="BG11" s="2604"/>
      <c r="BH11" s="2604"/>
      <c r="BI11" s="2604"/>
      <c r="BJ11" s="2604"/>
      <c r="BK11" s="2604"/>
      <c r="BL11" s="2604"/>
      <c r="BM11" s="2604"/>
      <c r="BN11" s="2604"/>
      <c r="BO11" s="2604"/>
      <c r="BP11" s="2604"/>
      <c r="BQ11" s="2604"/>
      <c r="BR11" s="2604"/>
      <c r="BS11" s="2623"/>
      <c r="BT11" s="2556" t="s">
        <v>1091</v>
      </c>
      <c r="BU11" s="2557"/>
      <c r="BV11" s="2557"/>
      <c r="BW11" s="2557"/>
      <c r="BX11" s="2557"/>
      <c r="BY11" s="2557"/>
      <c r="BZ11" s="2557"/>
      <c r="CA11" s="2557"/>
      <c r="CB11" s="2557"/>
      <c r="CC11" s="2557"/>
      <c r="CD11" s="2557"/>
      <c r="CE11" s="2557"/>
      <c r="CF11" s="2557"/>
      <c r="CG11" s="2557"/>
      <c r="CH11" s="2557"/>
      <c r="CI11" s="2557"/>
      <c r="CJ11" s="2557"/>
      <c r="CK11" s="2603"/>
      <c r="CL11" s="2606"/>
      <c r="CM11" s="2604"/>
      <c r="CN11" s="2604"/>
      <c r="CO11" s="2604"/>
      <c r="CP11" s="2604"/>
      <c r="CQ11" s="2604"/>
      <c r="CR11" s="2604"/>
      <c r="CS11" s="2604"/>
      <c r="CT11" s="2604"/>
      <c r="CU11" s="2604"/>
      <c r="CV11" s="2604"/>
      <c r="CW11" s="2604"/>
      <c r="CX11" s="2623"/>
      <c r="CY11" s="2556" t="s">
        <v>1091</v>
      </c>
      <c r="CZ11" s="2557"/>
      <c r="DA11" s="2557"/>
      <c r="DB11" s="2557"/>
      <c r="DC11" s="2557"/>
      <c r="DD11" s="2557"/>
      <c r="DE11" s="2557"/>
      <c r="DF11" s="2557"/>
      <c r="DG11" s="2557"/>
      <c r="DH11" s="2557"/>
      <c r="DI11" s="2557"/>
      <c r="DJ11" s="2603"/>
      <c r="DK11" s="2606"/>
      <c r="DL11" s="2604"/>
      <c r="DM11" s="2604"/>
      <c r="DN11" s="2604"/>
      <c r="DO11" s="2604"/>
      <c r="DP11" s="2604"/>
      <c r="DQ11" s="2604"/>
      <c r="DR11" s="2604"/>
      <c r="DS11" s="2604"/>
      <c r="DT11" s="2604"/>
      <c r="DU11" s="2604"/>
      <c r="DV11" s="2604"/>
      <c r="DW11" s="2604"/>
      <c r="DX11" s="2604"/>
      <c r="DY11" s="2604"/>
      <c r="DZ11" s="2604"/>
      <c r="EA11" s="2604"/>
      <c r="EB11" s="2604"/>
      <c r="EC11" s="2604"/>
      <c r="ED11" s="2604"/>
      <c r="EE11" s="2604"/>
      <c r="EF11" s="2604"/>
      <c r="EG11" s="2604"/>
      <c r="EH11" s="2604"/>
      <c r="EI11" s="2604"/>
      <c r="EJ11" s="2604"/>
      <c r="EK11" s="2604"/>
      <c r="EL11" s="2604"/>
      <c r="EM11" s="2604"/>
      <c r="EN11" s="2604"/>
      <c r="EO11" s="2604"/>
      <c r="EP11" s="2604"/>
      <c r="EQ11" s="2604"/>
      <c r="ER11" s="2604"/>
      <c r="ES11" s="2604"/>
      <c r="ET11" s="2604"/>
      <c r="EU11" s="2604"/>
      <c r="EV11" s="2604"/>
      <c r="EW11" s="2604"/>
      <c r="EX11" s="2604"/>
      <c r="EY11" s="2604"/>
      <c r="EZ11" s="2604"/>
      <c r="FA11" s="2604"/>
      <c r="FB11" s="2604"/>
      <c r="FC11" s="2604"/>
      <c r="FD11" s="2604"/>
      <c r="FE11" s="2604"/>
      <c r="FF11" s="2604"/>
      <c r="FG11" s="2604"/>
      <c r="FH11" s="2604"/>
      <c r="FI11" s="2604"/>
      <c r="FJ11" s="2604"/>
      <c r="FK11" s="2604"/>
      <c r="FL11" s="2604"/>
      <c r="FM11" s="2604"/>
      <c r="FN11" s="2604"/>
      <c r="FO11" s="2604"/>
      <c r="FP11" s="2604"/>
      <c r="FQ11" s="2604"/>
      <c r="FR11" s="2604"/>
      <c r="FS11" s="2604"/>
      <c r="FT11" s="2604"/>
      <c r="FU11" s="2604"/>
      <c r="FV11" s="2604"/>
      <c r="FW11" s="2618"/>
      <c r="FX11" s="932"/>
      <c r="GC11" s="1096">
        <v>12</v>
      </c>
    </row>
    <row customHeight="1" ht="12.75">
      <c r="D12" s="1108"/>
      <c r="E12" s="1107"/>
      <c r="F12" s="2375"/>
      <c r="G12" s="2375"/>
      <c r="H12" s="2607"/>
      <c r="I12" s="2607"/>
      <c r="J12" s="2608"/>
      <c r="K12" s="2608"/>
      <c r="L12" s="2608"/>
      <c r="M12" s="2608"/>
      <c r="N12" s="2608"/>
      <c r="O12" s="2379" t="s">
        <v>1092</v>
      </c>
      <c r="P12" s="2379"/>
      <c r="Q12" s="2379"/>
      <c r="R12" s="2379"/>
      <c r="S12" s="2379" t="s">
        <v>1093</v>
      </c>
      <c r="T12" s="2379"/>
      <c r="U12" s="2379"/>
      <c r="V12" s="2379"/>
      <c r="W12" s="2379"/>
      <c r="X12" s="2379"/>
      <c r="Y12" s="2379"/>
      <c r="Z12" s="2379"/>
      <c r="AA12" s="2379"/>
      <c r="AB12" s="2379"/>
      <c r="AC12" s="2604"/>
      <c r="AD12" s="2604"/>
      <c r="AE12" s="2604"/>
      <c r="AF12" s="2604"/>
      <c r="AG12" s="2604"/>
      <c r="AH12" s="2604"/>
      <c r="AI12" s="2604"/>
      <c r="AJ12" s="2604"/>
      <c r="AK12" s="2604"/>
      <c r="AL12" s="2604"/>
      <c r="AM12" s="2604"/>
      <c r="AN12" s="2604"/>
      <c r="AO12" s="2604"/>
      <c r="AP12" s="2604"/>
      <c r="AQ12" s="2604"/>
      <c r="AR12" s="2604"/>
      <c r="AS12" s="2604"/>
      <c r="AT12" s="2604"/>
      <c r="AU12" s="2604"/>
      <c r="AV12" s="2604"/>
      <c r="AW12" s="2604"/>
      <c r="AX12" s="2604"/>
      <c r="AY12" s="2604"/>
      <c r="AZ12" s="2604"/>
      <c r="BA12" s="2604"/>
      <c r="BB12" s="2604"/>
      <c r="BC12" s="2604"/>
      <c r="BD12" s="2604"/>
      <c r="BE12" s="2604"/>
      <c r="BF12" s="2604"/>
      <c r="BG12" s="2604"/>
      <c r="BH12" s="2604"/>
      <c r="BI12" s="2604"/>
      <c r="BJ12" s="2604"/>
      <c r="BK12" s="2604"/>
      <c r="BL12" s="2604"/>
      <c r="BM12" s="2604"/>
      <c r="BN12" s="2604"/>
      <c r="BO12" s="2604"/>
      <c r="BP12" s="2604"/>
      <c r="BQ12" s="2604"/>
      <c r="BR12" s="2604"/>
      <c r="BS12" s="2623"/>
      <c r="BT12" s="2556" t="s">
        <v>1094</v>
      </c>
      <c r="BU12" s="2557"/>
      <c r="BV12" s="2557"/>
      <c r="BW12" s="2603"/>
      <c r="BX12" s="2556" t="s">
        <v>1095</v>
      </c>
      <c r="BY12" s="2557"/>
      <c r="BZ12" s="2557"/>
      <c r="CA12" s="2603"/>
      <c r="CB12" s="2556" t="s">
        <v>1096</v>
      </c>
      <c r="CC12" s="2603"/>
      <c r="CD12" s="2556" t="s">
        <v>1097</v>
      </c>
      <c r="CE12" s="2557"/>
      <c r="CF12" s="2557"/>
      <c r="CG12" s="2557"/>
      <c r="CH12" s="2557"/>
      <c r="CI12" s="2557"/>
      <c r="CJ12" s="2557"/>
      <c r="CK12" s="2603"/>
      <c r="CL12" s="2606"/>
      <c r="CM12" s="2604"/>
      <c r="CN12" s="2604"/>
      <c r="CO12" s="2604"/>
      <c r="CP12" s="2604"/>
      <c r="CQ12" s="2604"/>
      <c r="CR12" s="2604"/>
      <c r="CS12" s="2604"/>
      <c r="CT12" s="2604"/>
      <c r="CU12" s="2604"/>
      <c r="CV12" s="2604"/>
      <c r="CW12" s="2604"/>
      <c r="CX12" s="2623"/>
      <c r="CY12" s="2556" t="s">
        <v>1098</v>
      </c>
      <c r="CZ12" s="2557"/>
      <c r="DA12" s="2557"/>
      <c r="DB12" s="2557"/>
      <c r="DC12" s="2557"/>
      <c r="DD12" s="2603"/>
      <c r="DE12" s="2556" t="s">
        <v>1099</v>
      </c>
      <c r="DF12" s="2603"/>
      <c r="DG12" s="2556" t="s">
        <v>1097</v>
      </c>
      <c r="DH12" s="2557"/>
      <c r="DI12" s="2557"/>
      <c r="DJ12" s="2603"/>
      <c r="DK12" s="2606"/>
      <c r="DL12" s="2604"/>
      <c r="DM12" s="2604"/>
      <c r="DN12" s="2604"/>
      <c r="DO12" s="2604"/>
      <c r="DP12" s="2604"/>
      <c r="DQ12" s="2604"/>
      <c r="DR12" s="2604"/>
      <c r="DS12" s="2604"/>
      <c r="DT12" s="2604"/>
      <c r="DU12" s="2604"/>
      <c r="DV12" s="2604"/>
      <c r="DW12" s="2604"/>
      <c r="DX12" s="2604"/>
      <c r="DY12" s="2604"/>
      <c r="DZ12" s="2604"/>
      <c r="EA12" s="2604"/>
      <c r="EB12" s="2604"/>
      <c r="EC12" s="2604"/>
      <c r="ED12" s="2604"/>
      <c r="EE12" s="2604"/>
      <c r="EF12" s="2604"/>
      <c r="EG12" s="2604"/>
      <c r="EH12" s="2604"/>
      <c r="EI12" s="2604"/>
      <c r="EJ12" s="2604"/>
      <c r="EK12" s="2604"/>
      <c r="EL12" s="2604"/>
      <c r="EM12" s="2604"/>
      <c r="EN12" s="2604"/>
      <c r="EO12" s="2604"/>
      <c r="EP12" s="2604"/>
      <c r="EQ12" s="2604"/>
      <c r="ER12" s="2604"/>
      <c r="ES12" s="2604"/>
      <c r="ET12" s="2604"/>
      <c r="EU12" s="2604"/>
      <c r="EV12" s="2604"/>
      <c r="EW12" s="2604"/>
      <c r="EX12" s="2604"/>
      <c r="EY12" s="2604"/>
      <c r="EZ12" s="2604"/>
      <c r="FA12" s="2604"/>
      <c r="FB12" s="2604"/>
      <c r="FC12" s="2604"/>
      <c r="FD12" s="2604"/>
      <c r="FE12" s="2604"/>
      <c r="FF12" s="2604"/>
      <c r="FG12" s="2604"/>
      <c r="FH12" s="2604"/>
      <c r="FI12" s="2604"/>
      <c r="FJ12" s="2604"/>
      <c r="FK12" s="2604"/>
      <c r="FL12" s="2604"/>
      <c r="FM12" s="2604"/>
      <c r="FN12" s="2604"/>
      <c r="FO12" s="2604"/>
      <c r="FP12" s="2604"/>
      <c r="FQ12" s="2604"/>
      <c r="FR12" s="2604"/>
      <c r="FS12" s="2604"/>
      <c r="FT12" s="2604"/>
      <c r="FU12" s="2604"/>
      <c r="FV12" s="2604"/>
      <c r="FW12" s="2618"/>
      <c r="FX12" s="932"/>
      <c r="GC12" s="1096">
        <v>12</v>
      </c>
    </row>
    <row customHeight="1" ht="37.8">
      <c r="D13" s="1108"/>
      <c r="E13" s="1107"/>
      <c r="F13" s="2375"/>
      <c r="G13" s="2375"/>
      <c r="H13" s="2607"/>
      <c r="I13" s="2607"/>
      <c r="J13" s="2608"/>
      <c r="K13" s="2608"/>
      <c r="L13" s="2608"/>
      <c r="M13" s="2608"/>
      <c r="N13" s="2608"/>
      <c r="O13" s="2379" t="s">
        <v>1100</v>
      </c>
      <c r="P13" s="2379"/>
      <c r="Q13" s="2379"/>
      <c r="R13" s="2379"/>
      <c r="S13" s="2506" t="s">
        <v>1101</v>
      </c>
      <c r="T13" s="2558"/>
      <c r="U13" s="2297" t="s">
        <v>1102</v>
      </c>
      <c r="V13" s="2297"/>
      <c r="W13" s="2297"/>
      <c r="X13" s="2297"/>
      <c r="Y13" s="2297" t="s">
        <v>1103</v>
      </c>
      <c r="Z13" s="2297"/>
      <c r="AA13" s="2297"/>
      <c r="AB13" s="2297"/>
      <c r="AC13" s="2604"/>
      <c r="AD13" s="2604"/>
      <c r="AE13" s="2604"/>
      <c r="AF13" s="2604"/>
      <c r="AG13" s="2604"/>
      <c r="AH13" s="2604"/>
      <c r="AI13" s="2604"/>
      <c r="AJ13" s="2604"/>
      <c r="AK13" s="2604"/>
      <c r="AL13" s="2604"/>
      <c r="AM13" s="2604"/>
      <c r="AN13" s="2604"/>
      <c r="AO13" s="2604"/>
      <c r="AP13" s="2604"/>
      <c r="AQ13" s="2604"/>
      <c r="AR13" s="2604"/>
      <c r="AS13" s="2604"/>
      <c r="AT13" s="2604"/>
      <c r="AU13" s="2604"/>
      <c r="AV13" s="2604"/>
      <c r="AW13" s="2604"/>
      <c r="AX13" s="2604"/>
      <c r="AY13" s="2604"/>
      <c r="AZ13" s="2604"/>
      <c r="BA13" s="2604"/>
      <c r="BB13" s="2604"/>
      <c r="BC13" s="2604"/>
      <c r="BD13" s="2604"/>
      <c r="BE13" s="2604"/>
      <c r="BF13" s="2604"/>
      <c r="BG13" s="2604"/>
      <c r="BH13" s="2604"/>
      <c r="BI13" s="2604"/>
      <c r="BJ13" s="2604"/>
      <c r="BK13" s="2604"/>
      <c r="BL13" s="2604"/>
      <c r="BM13" s="2604"/>
      <c r="BN13" s="2604"/>
      <c r="BO13" s="2604"/>
      <c r="BP13" s="2604"/>
      <c r="BQ13" s="2604"/>
      <c r="BR13" s="2604"/>
      <c r="BS13" s="2623"/>
      <c r="BT13" s="2506" t="s">
        <v>1104</v>
      </c>
      <c r="BU13" s="2558"/>
      <c r="BV13" s="2506" t="s">
        <v>1105</v>
      </c>
      <c r="BW13" s="2558"/>
      <c r="BX13" s="2506" t="s">
        <v>1106</v>
      </c>
      <c r="BY13" s="2558"/>
      <c r="BZ13" s="2506" t="s">
        <v>1107</v>
      </c>
      <c r="CA13" s="2558"/>
      <c r="CB13" s="2506" t="s">
        <v>1108</v>
      </c>
      <c r="CC13" s="2558"/>
      <c r="CD13" s="2506" t="s">
        <v>1109</v>
      </c>
      <c r="CE13" s="2558"/>
      <c r="CF13" s="2506" t="s">
        <v>1110</v>
      </c>
      <c r="CG13" s="2558"/>
      <c r="CH13" s="2556" t="s">
        <v>1111</v>
      </c>
      <c r="CI13" s="2557"/>
      <c r="CJ13" s="2557"/>
      <c r="CK13" s="2603"/>
      <c r="CL13" s="2606"/>
      <c r="CM13" s="2604"/>
      <c r="CN13" s="2604"/>
      <c r="CO13" s="2604"/>
      <c r="CP13" s="2604"/>
      <c r="CQ13" s="2604"/>
      <c r="CR13" s="2604"/>
      <c r="CS13" s="2604"/>
      <c r="CT13" s="2604"/>
      <c r="CU13" s="2604"/>
      <c r="CV13" s="2604"/>
      <c r="CW13" s="2604"/>
      <c r="CX13" s="2623"/>
      <c r="CY13" s="2506" t="s">
        <v>1112</v>
      </c>
      <c r="CZ13" s="2558"/>
      <c r="DA13" s="2506" t="s">
        <v>1113</v>
      </c>
      <c r="DB13" s="2558"/>
      <c r="DC13" s="2506" t="s">
        <v>1114</v>
      </c>
      <c r="DD13" s="2558"/>
      <c r="DE13" s="2506" t="s">
        <v>1115</v>
      </c>
      <c r="DF13" s="2558"/>
      <c r="DG13" s="2556" t="s">
        <v>1116</v>
      </c>
      <c r="DH13" s="2557"/>
      <c r="DI13" s="2557"/>
      <c r="DJ13" s="2603"/>
      <c r="DK13" s="2606"/>
      <c r="DL13" s="2604"/>
      <c r="DM13" s="2604"/>
      <c r="DN13" s="2604"/>
      <c r="DO13" s="2604"/>
      <c r="DP13" s="2604"/>
      <c r="DQ13" s="2604"/>
      <c r="DR13" s="2604"/>
      <c r="DS13" s="2604"/>
      <c r="DT13" s="2604"/>
      <c r="DU13" s="2604"/>
      <c r="DV13" s="2604"/>
      <c r="DW13" s="2604"/>
      <c r="DX13" s="2604"/>
      <c r="DY13" s="2604"/>
      <c r="DZ13" s="2604"/>
      <c r="EA13" s="2604"/>
      <c r="EB13" s="2604"/>
      <c r="EC13" s="2604"/>
      <c r="ED13" s="2604"/>
      <c r="EE13" s="2604"/>
      <c r="EF13" s="2604"/>
      <c r="EG13" s="2604"/>
      <c r="EH13" s="2604"/>
      <c r="EI13" s="2604"/>
      <c r="EJ13" s="2604"/>
      <c r="EK13" s="2604"/>
      <c r="EL13" s="2604"/>
      <c r="EM13" s="2604"/>
      <c r="EN13" s="2604"/>
      <c r="EO13" s="2604"/>
      <c r="EP13" s="2604"/>
      <c r="EQ13" s="2604"/>
      <c r="ER13" s="2604"/>
      <c r="ES13" s="2604"/>
      <c r="ET13" s="2604"/>
      <c r="EU13" s="2604"/>
      <c r="EV13" s="2604"/>
      <c r="EW13" s="2604"/>
      <c r="EX13" s="2604"/>
      <c r="EY13" s="2604"/>
      <c r="EZ13" s="2604"/>
      <c r="FA13" s="2604"/>
      <c r="FB13" s="2604"/>
      <c r="FC13" s="2604"/>
      <c r="FD13" s="2604"/>
      <c r="FE13" s="2604"/>
      <c r="FF13" s="2604"/>
      <c r="FG13" s="2604"/>
      <c r="FH13" s="2604"/>
      <c r="FI13" s="2604"/>
      <c r="FJ13" s="2604"/>
      <c r="FK13" s="2604"/>
      <c r="FL13" s="2604"/>
      <c r="FM13" s="2604"/>
      <c r="FN13" s="2604"/>
      <c r="FO13" s="2604"/>
      <c r="FP13" s="2604"/>
      <c r="FQ13" s="2604"/>
      <c r="FR13" s="2604"/>
      <c r="FS13" s="2604"/>
      <c r="FT13" s="2604"/>
      <c r="FU13" s="2604"/>
      <c r="FV13" s="2604"/>
      <c r="FW13" s="2618"/>
      <c r="FX13" s="932"/>
      <c r="GC13" s="1096">
        <v>36</v>
      </c>
    </row>
    <row customHeight="1" ht="37.8">
      <c r="D14" s="1108"/>
      <c r="E14" s="1107"/>
      <c r="F14" s="2375"/>
      <c r="G14" s="2375"/>
      <c r="H14" s="2607"/>
      <c r="I14" s="2607"/>
      <c r="J14" s="2608"/>
      <c r="K14" s="2608"/>
      <c r="L14" s="2608"/>
      <c r="M14" s="2608"/>
      <c r="N14" s="2608"/>
      <c r="O14" s="2506" t="s">
        <v>1117</v>
      </c>
      <c r="P14" s="2558"/>
      <c r="Q14" s="2506" t="s">
        <v>1118</v>
      </c>
      <c r="R14" s="2558"/>
      <c r="S14" s="2507"/>
      <c r="T14" s="2383"/>
      <c r="U14" s="2506" t="s">
        <v>850</v>
      </c>
      <c r="V14" s="2558"/>
      <c r="W14" s="2506" t="s">
        <v>853</v>
      </c>
      <c r="X14" s="2558"/>
      <c r="Y14" s="2506" t="s">
        <v>850</v>
      </c>
      <c r="Z14" s="2558"/>
      <c r="AA14" s="2506" t="s">
        <v>860</v>
      </c>
      <c r="AB14" s="2558"/>
      <c r="AC14" s="2604"/>
      <c r="AD14" s="2604"/>
      <c r="AE14" s="2604"/>
      <c r="AF14" s="2604"/>
      <c r="AG14" s="2604"/>
      <c r="AH14" s="2604"/>
      <c r="AI14" s="2604"/>
      <c r="AJ14" s="2604"/>
      <c r="AK14" s="2604"/>
      <c r="AL14" s="2604"/>
      <c r="AM14" s="2604"/>
      <c r="AN14" s="2604"/>
      <c r="AO14" s="2604"/>
      <c r="AP14" s="2604"/>
      <c r="AQ14" s="2604"/>
      <c r="AR14" s="2604"/>
      <c r="AS14" s="2604"/>
      <c r="AT14" s="2604"/>
      <c r="AU14" s="2604"/>
      <c r="AV14" s="2604"/>
      <c r="AW14" s="2604"/>
      <c r="AX14" s="2604"/>
      <c r="AY14" s="2604"/>
      <c r="AZ14" s="2604"/>
      <c r="BA14" s="2604"/>
      <c r="BB14" s="2604"/>
      <c r="BC14" s="2604"/>
      <c r="BD14" s="2604"/>
      <c r="BE14" s="2604"/>
      <c r="BF14" s="2604"/>
      <c r="BG14" s="2604"/>
      <c r="BH14" s="2604"/>
      <c r="BI14" s="2604"/>
      <c r="BJ14" s="2604"/>
      <c r="BK14" s="2604"/>
      <c r="BL14" s="2604"/>
      <c r="BM14" s="2604"/>
      <c r="BN14" s="2604"/>
      <c r="BO14" s="2604"/>
      <c r="BP14" s="2604"/>
      <c r="BQ14" s="2604"/>
      <c r="BR14" s="2604"/>
      <c r="BS14" s="2623"/>
      <c r="BT14" s="2507"/>
      <c r="BU14" s="2383"/>
      <c r="BV14" s="2507"/>
      <c r="BW14" s="2383"/>
      <c r="BX14" s="2507"/>
      <c r="BY14" s="2383"/>
      <c r="BZ14" s="2507"/>
      <c r="CA14" s="2383"/>
      <c r="CB14" s="2507"/>
      <c r="CC14" s="2383"/>
      <c r="CD14" s="2507"/>
      <c r="CE14" s="2383"/>
      <c r="CF14" s="2507"/>
      <c r="CG14" s="2383"/>
      <c r="CH14" s="2506" t="s">
        <v>1119</v>
      </c>
      <c r="CI14" s="2558"/>
      <c r="CJ14" s="2506" t="s">
        <v>1120</v>
      </c>
      <c r="CK14" s="2558"/>
      <c r="CL14" s="2606"/>
      <c r="CM14" s="2604"/>
      <c r="CN14" s="2604"/>
      <c r="CO14" s="2604"/>
      <c r="CP14" s="2604"/>
      <c r="CQ14" s="2604"/>
      <c r="CR14" s="2604"/>
      <c r="CS14" s="2604"/>
      <c r="CT14" s="2604"/>
      <c r="CU14" s="2604"/>
      <c r="CV14" s="2604"/>
      <c r="CW14" s="2604"/>
      <c r="CX14" s="2623"/>
      <c r="CY14" s="2507"/>
      <c r="CZ14" s="2383"/>
      <c r="DA14" s="2507"/>
      <c r="DB14" s="2383"/>
      <c r="DC14" s="2507"/>
      <c r="DD14" s="2383"/>
      <c r="DE14" s="2507"/>
      <c r="DF14" s="2383"/>
      <c r="DG14" s="2506" t="s">
        <v>1121</v>
      </c>
      <c r="DH14" s="2558"/>
      <c r="DI14" s="2506" t="s">
        <v>1122</v>
      </c>
      <c r="DJ14" s="2558"/>
      <c r="DK14" s="2606"/>
      <c r="DL14" s="2604"/>
      <c r="DM14" s="2604"/>
      <c r="DN14" s="2604"/>
      <c r="DO14" s="2604"/>
      <c r="DP14" s="2604"/>
      <c r="DQ14" s="2604"/>
      <c r="DR14" s="2604"/>
      <c r="DS14" s="2604"/>
      <c r="DT14" s="2604"/>
      <c r="DU14" s="2604"/>
      <c r="DV14" s="2604"/>
      <c r="DW14" s="2604"/>
      <c r="DX14" s="2604"/>
      <c r="DY14" s="2604"/>
      <c r="DZ14" s="2604"/>
      <c r="EA14" s="2604"/>
      <c r="EB14" s="2604"/>
      <c r="EC14" s="2604"/>
      <c r="ED14" s="2604"/>
      <c r="EE14" s="2604"/>
      <c r="EF14" s="2604"/>
      <c r="EG14" s="2604"/>
      <c r="EH14" s="2604"/>
      <c r="EI14" s="2604"/>
      <c r="EJ14" s="2604"/>
      <c r="EK14" s="2604"/>
      <c r="EL14" s="2604"/>
      <c r="EM14" s="2604"/>
      <c r="EN14" s="2604"/>
      <c r="EO14" s="2604"/>
      <c r="EP14" s="2604"/>
      <c r="EQ14" s="2604"/>
      <c r="ER14" s="2604"/>
      <c r="ES14" s="2604"/>
      <c r="ET14" s="2604"/>
      <c r="EU14" s="2604"/>
      <c r="EV14" s="2604"/>
      <c r="EW14" s="2604"/>
      <c r="EX14" s="2604"/>
      <c r="EY14" s="2604"/>
      <c r="EZ14" s="2604"/>
      <c r="FA14" s="2604"/>
      <c r="FB14" s="2604"/>
      <c r="FC14" s="2604"/>
      <c r="FD14" s="2604"/>
      <c r="FE14" s="2604"/>
      <c r="FF14" s="2604"/>
      <c r="FG14" s="2604"/>
      <c r="FH14" s="2604"/>
      <c r="FI14" s="2604"/>
      <c r="FJ14" s="2604"/>
      <c r="FK14" s="2604"/>
      <c r="FL14" s="2604"/>
      <c r="FM14" s="2604"/>
      <c r="FN14" s="2604"/>
      <c r="FO14" s="2604"/>
      <c r="FP14" s="2604"/>
      <c r="FQ14" s="2604"/>
      <c r="FR14" s="2604"/>
      <c r="FS14" s="2604"/>
      <c r="FT14" s="2604"/>
      <c r="FU14" s="2604"/>
      <c r="FV14" s="2604"/>
      <c r="FW14" s="2618"/>
      <c r="FX14" s="932"/>
      <c r="GC14" s="1096">
        <v>36</v>
      </c>
    </row>
    <row customHeight="1" ht="37.8">
      <c r="D15" s="1108"/>
      <c r="E15" s="1107"/>
      <c r="F15" s="2375"/>
      <c r="G15" s="2375"/>
      <c r="H15" s="2607"/>
      <c r="I15" s="2607"/>
      <c r="J15" s="2608"/>
      <c r="K15" s="2608"/>
      <c r="L15" s="2608"/>
      <c r="M15" s="2608"/>
      <c r="N15" s="2608"/>
      <c r="O15" s="2508"/>
      <c r="P15" s="2605"/>
      <c r="Q15" s="2508"/>
      <c r="R15" s="2605"/>
      <c r="S15" s="2508"/>
      <c r="T15" s="2605"/>
      <c r="U15" s="2508"/>
      <c r="V15" s="2605"/>
      <c r="W15" s="2508"/>
      <c r="X15" s="2605"/>
      <c r="Y15" s="2508"/>
      <c r="Z15" s="2605"/>
      <c r="AA15" s="2508"/>
      <c r="AB15" s="2605"/>
      <c r="AC15" s="2604"/>
      <c r="AD15" s="2604"/>
      <c r="AE15" s="2604"/>
      <c r="AF15" s="2604"/>
      <c r="AG15" s="2604"/>
      <c r="AH15" s="2604"/>
      <c r="AI15" s="2604"/>
      <c r="AJ15" s="2604"/>
      <c r="AK15" s="2604"/>
      <c r="AL15" s="2604"/>
      <c r="AM15" s="2604"/>
      <c r="AN15" s="2604"/>
      <c r="AO15" s="2604"/>
      <c r="AP15" s="2604"/>
      <c r="AQ15" s="2604"/>
      <c r="AR15" s="2604"/>
      <c r="AS15" s="2604"/>
      <c r="AT15" s="2604"/>
      <c r="AU15" s="2604"/>
      <c r="AV15" s="2604"/>
      <c r="AW15" s="2604"/>
      <c r="AX15" s="2604"/>
      <c r="AY15" s="2604"/>
      <c r="AZ15" s="2604"/>
      <c r="BA15" s="2604"/>
      <c r="BB15" s="2604"/>
      <c r="BC15" s="2604"/>
      <c r="BD15" s="2604"/>
      <c r="BE15" s="2604"/>
      <c r="BF15" s="2604"/>
      <c r="BG15" s="2604"/>
      <c r="BH15" s="2604"/>
      <c r="BI15" s="2604"/>
      <c r="BJ15" s="2604"/>
      <c r="BK15" s="2604"/>
      <c r="BL15" s="2604"/>
      <c r="BM15" s="2604"/>
      <c r="BN15" s="2604"/>
      <c r="BO15" s="2604"/>
      <c r="BP15" s="2604"/>
      <c r="BQ15" s="2604"/>
      <c r="BR15" s="2604"/>
      <c r="BS15" s="2623"/>
      <c r="BT15" s="2508"/>
      <c r="BU15" s="2605"/>
      <c r="BV15" s="2508"/>
      <c r="BW15" s="2605"/>
      <c r="BX15" s="2508"/>
      <c r="BY15" s="2605"/>
      <c r="BZ15" s="2508"/>
      <c r="CA15" s="2605"/>
      <c r="CB15" s="2508"/>
      <c r="CC15" s="2605"/>
      <c r="CD15" s="2508"/>
      <c r="CE15" s="2605"/>
      <c r="CF15" s="2508"/>
      <c r="CG15" s="2605"/>
      <c r="CH15" s="2508"/>
      <c r="CI15" s="2605"/>
      <c r="CJ15" s="2508"/>
      <c r="CK15" s="2605"/>
      <c r="CL15" s="2606"/>
      <c r="CM15" s="2604"/>
      <c r="CN15" s="2604"/>
      <c r="CO15" s="2604"/>
      <c r="CP15" s="2604"/>
      <c r="CQ15" s="2604"/>
      <c r="CR15" s="2604"/>
      <c r="CS15" s="2604"/>
      <c r="CT15" s="2604"/>
      <c r="CU15" s="2604"/>
      <c r="CV15" s="2604"/>
      <c r="CW15" s="2604"/>
      <c r="CX15" s="2623"/>
      <c r="CY15" s="2508"/>
      <c r="CZ15" s="2605"/>
      <c r="DA15" s="2508"/>
      <c r="DB15" s="2605"/>
      <c r="DC15" s="2508"/>
      <c r="DD15" s="2605"/>
      <c r="DE15" s="2508"/>
      <c r="DF15" s="2605"/>
      <c r="DG15" s="2508"/>
      <c r="DH15" s="2605"/>
      <c r="DI15" s="2508"/>
      <c r="DJ15" s="2605"/>
      <c r="DK15" s="2606"/>
      <c r="DL15" s="2604"/>
      <c r="DM15" s="2604"/>
      <c r="DN15" s="2604"/>
      <c r="DO15" s="2604"/>
      <c r="DP15" s="2604"/>
      <c r="DQ15" s="2604"/>
      <c r="DR15" s="2604"/>
      <c r="DS15" s="2604"/>
      <c r="DT15" s="2604"/>
      <c r="DU15" s="2604"/>
      <c r="DV15" s="2604"/>
      <c r="DW15" s="2604"/>
      <c r="DX15" s="2604"/>
      <c r="DY15" s="2604"/>
      <c r="DZ15" s="2604"/>
      <c r="EA15" s="2604"/>
      <c r="EB15" s="2604"/>
      <c r="EC15" s="2604"/>
      <c r="ED15" s="2604"/>
      <c r="EE15" s="2604"/>
      <c r="EF15" s="2604"/>
      <c r="EG15" s="2604"/>
      <c r="EH15" s="2604"/>
      <c r="EI15" s="2604"/>
      <c r="EJ15" s="2604"/>
      <c r="EK15" s="2604"/>
      <c r="EL15" s="2604"/>
      <c r="EM15" s="2604"/>
      <c r="EN15" s="2604"/>
      <c r="EO15" s="2604"/>
      <c r="EP15" s="2604"/>
      <c r="EQ15" s="2604"/>
      <c r="ER15" s="2604"/>
      <c r="ES15" s="2604"/>
      <c r="ET15" s="2604"/>
      <c r="EU15" s="2604"/>
      <c r="EV15" s="2604"/>
      <c r="EW15" s="2604"/>
      <c r="EX15" s="2604"/>
      <c r="EY15" s="2604"/>
      <c r="EZ15" s="2604"/>
      <c r="FA15" s="2604"/>
      <c r="FB15" s="2604"/>
      <c r="FC15" s="2604"/>
      <c r="FD15" s="2604"/>
      <c r="FE15" s="2604"/>
      <c r="FF15" s="2604"/>
      <c r="FG15" s="2604"/>
      <c r="FH15" s="2604"/>
      <c r="FI15" s="2604"/>
      <c r="FJ15" s="2604"/>
      <c r="FK15" s="2604"/>
      <c r="FL15" s="2604"/>
      <c r="FM15" s="2604"/>
      <c r="FN15" s="2604"/>
      <c r="FO15" s="2604"/>
      <c r="FP15" s="2604"/>
      <c r="FQ15" s="2604"/>
      <c r="FR15" s="2604"/>
      <c r="FS15" s="2604"/>
      <c r="FT15" s="2604"/>
      <c r="FU15" s="2604"/>
      <c r="FV15" s="2604"/>
      <c r="FW15" s="2618"/>
      <c r="FX15" s="932"/>
      <c r="GC15" s="1096">
        <v>36</v>
      </c>
    </row>
    <row customHeight="1" ht="12.75">
      <c r="D16" s="1108"/>
      <c r="E16" s="1107"/>
      <c r="F16" s="2375"/>
      <c r="G16" s="2375"/>
      <c r="H16" s="2607"/>
      <c r="I16" s="2607"/>
      <c r="J16" s="2608"/>
      <c r="K16" s="2608"/>
      <c r="L16" s="2608"/>
      <c r="M16" s="2608"/>
      <c r="N16" s="2608"/>
      <c r="O16" s="2556" t="s">
        <v>840</v>
      </c>
      <c r="P16" s="2603"/>
      <c r="Q16" s="2556" t="s">
        <v>842</v>
      </c>
      <c r="R16" s="2603"/>
      <c r="S16" s="2556" t="s">
        <v>846</v>
      </c>
      <c r="T16" s="2603"/>
      <c r="U16" s="2556" t="s">
        <v>851</v>
      </c>
      <c r="V16" s="2603"/>
      <c r="W16" s="2556" t="s">
        <v>854</v>
      </c>
      <c r="X16" s="2603"/>
      <c r="Y16" s="2556" t="s">
        <v>858</v>
      </c>
      <c r="Z16" s="2603"/>
      <c r="AA16" s="2556" t="s">
        <v>861</v>
      </c>
      <c r="AB16" s="2603"/>
      <c r="AC16" s="2604"/>
      <c r="AD16" s="2604"/>
      <c r="AE16" s="2604"/>
      <c r="AF16" s="2604"/>
      <c r="AG16" s="2604"/>
      <c r="AH16" s="2604"/>
      <c r="AI16" s="2604"/>
      <c r="AJ16" s="2604"/>
      <c r="AK16" s="2604"/>
      <c r="AL16" s="2604"/>
      <c r="AM16" s="2604"/>
      <c r="AN16" s="2604"/>
      <c r="AO16" s="2604"/>
      <c r="AP16" s="2604"/>
      <c r="AQ16" s="2604"/>
      <c r="AR16" s="2604"/>
      <c r="AS16" s="2604"/>
      <c r="AT16" s="2604"/>
      <c r="AU16" s="2604"/>
      <c r="AV16" s="2604"/>
      <c r="AW16" s="2604"/>
      <c r="AX16" s="2604"/>
      <c r="AY16" s="2604"/>
      <c r="AZ16" s="2604"/>
      <c r="BA16" s="2604"/>
      <c r="BB16" s="2604"/>
      <c r="BC16" s="2604"/>
      <c r="BD16" s="2604"/>
      <c r="BE16" s="2604"/>
      <c r="BF16" s="2604"/>
      <c r="BG16" s="2604"/>
      <c r="BH16" s="2604"/>
      <c r="BI16" s="2604"/>
      <c r="BJ16" s="2604"/>
      <c r="BK16" s="2604"/>
      <c r="BL16" s="2604"/>
      <c r="BM16" s="2604"/>
      <c r="BN16" s="2604"/>
      <c r="BO16" s="2604"/>
      <c r="BP16" s="2604"/>
      <c r="BQ16" s="2604"/>
      <c r="BR16" s="2604"/>
      <c r="BS16" s="2623"/>
      <c r="BT16" s="2556" t="s">
        <v>573</v>
      </c>
      <c r="BU16" s="2603"/>
      <c r="BV16" s="2556" t="s">
        <v>573</v>
      </c>
      <c r="BW16" s="2603"/>
      <c r="BX16" s="2556" t="s">
        <v>573</v>
      </c>
      <c r="BY16" s="2603"/>
      <c r="BZ16" s="2556" t="s">
        <v>573</v>
      </c>
      <c r="CA16" s="2603"/>
      <c r="CB16" s="2556" t="s">
        <v>1123</v>
      </c>
      <c r="CC16" s="2603"/>
      <c r="CD16" s="2556" t="s">
        <v>573</v>
      </c>
      <c r="CE16" s="2603"/>
      <c r="CF16" s="2556" t="s">
        <v>1124</v>
      </c>
      <c r="CG16" s="2603"/>
      <c r="CH16" s="2556" t="s">
        <v>1125</v>
      </c>
      <c r="CI16" s="2603"/>
      <c r="CJ16" s="2556" t="s">
        <v>1125</v>
      </c>
      <c r="CK16" s="2603"/>
      <c r="CL16" s="2606"/>
      <c r="CM16" s="2604"/>
      <c r="CN16" s="2604"/>
      <c r="CO16" s="2604"/>
      <c r="CP16" s="2604"/>
      <c r="CQ16" s="2604"/>
      <c r="CR16" s="2604"/>
      <c r="CS16" s="2604"/>
      <c r="CT16" s="2604"/>
      <c r="CU16" s="2604"/>
      <c r="CV16" s="2604"/>
      <c r="CW16" s="2604"/>
      <c r="CX16" s="2623"/>
      <c r="CY16" s="2506" t="s">
        <v>573</v>
      </c>
      <c r="CZ16" s="2558"/>
      <c r="DA16" s="2506" t="s">
        <v>573</v>
      </c>
      <c r="DB16" s="2558"/>
      <c r="DC16" s="2506" t="s">
        <v>573</v>
      </c>
      <c r="DD16" s="2558"/>
      <c r="DE16" s="2556" t="s">
        <v>1123</v>
      </c>
      <c r="DF16" s="2603"/>
      <c r="DG16" s="2556" t="s">
        <v>1126</v>
      </c>
      <c r="DH16" s="2603"/>
      <c r="DI16" s="2556" t="s">
        <v>1126</v>
      </c>
      <c r="DJ16" s="2603"/>
      <c r="DK16" s="2606"/>
      <c r="DL16" s="2604"/>
      <c r="DM16" s="2604"/>
      <c r="DN16" s="2604"/>
      <c r="DO16" s="2604"/>
      <c r="DP16" s="2604"/>
      <c r="DQ16" s="2604"/>
      <c r="DR16" s="2604"/>
      <c r="DS16" s="2604"/>
      <c r="DT16" s="2604"/>
      <c r="DU16" s="2604"/>
      <c r="DV16" s="2604"/>
      <c r="DW16" s="2604"/>
      <c r="DX16" s="2604"/>
      <c r="DY16" s="2604"/>
      <c r="DZ16" s="2604"/>
      <c r="EA16" s="2604"/>
      <c r="EB16" s="2604"/>
      <c r="EC16" s="2604"/>
      <c r="ED16" s="2604"/>
      <c r="EE16" s="2604"/>
      <c r="EF16" s="2604"/>
      <c r="EG16" s="2604"/>
      <c r="EH16" s="2604"/>
      <c r="EI16" s="2604"/>
      <c r="EJ16" s="2604"/>
      <c r="EK16" s="2604"/>
      <c r="EL16" s="2604"/>
      <c r="EM16" s="2604"/>
      <c r="EN16" s="2604"/>
      <c r="EO16" s="2604"/>
      <c r="EP16" s="2604"/>
      <c r="EQ16" s="2604"/>
      <c r="ER16" s="2604"/>
      <c r="ES16" s="2604"/>
      <c r="ET16" s="2604"/>
      <c r="EU16" s="2604"/>
      <c r="EV16" s="2604"/>
      <c r="EW16" s="2604"/>
      <c r="EX16" s="2604"/>
      <c r="EY16" s="2604"/>
      <c r="EZ16" s="2604"/>
      <c r="FA16" s="2604"/>
      <c r="FB16" s="2604"/>
      <c r="FC16" s="2604"/>
      <c r="FD16" s="2604"/>
      <c r="FE16" s="2604"/>
      <c r="FF16" s="2604"/>
      <c r="FG16" s="2604"/>
      <c r="FH16" s="2604"/>
      <c r="FI16" s="2604"/>
      <c r="FJ16" s="2604"/>
      <c r="FK16" s="2604"/>
      <c r="FL16" s="2604"/>
      <c r="FM16" s="2604"/>
      <c r="FN16" s="2604"/>
      <c r="FO16" s="2604"/>
      <c r="FP16" s="2604"/>
      <c r="FQ16" s="2604"/>
      <c r="FR16" s="2604"/>
      <c r="FS16" s="2604"/>
      <c r="FT16" s="2604"/>
      <c r="FU16" s="2604"/>
      <c r="FV16" s="2604"/>
      <c r="FW16" s="2618"/>
      <c r="FX16" s="932"/>
      <c r="GC16" s="1096">
        <v>12</v>
      </c>
    </row>
    <row customHeight="1" ht="15.75">
      <c r="E17" s="1107"/>
      <c r="F17" s="2375"/>
      <c r="G17" s="2375"/>
      <c r="H17" s="2607"/>
      <c r="I17" s="2607"/>
      <c r="J17" s="2608"/>
      <c r="K17" s="2608"/>
      <c r="L17" s="2608"/>
      <c r="M17" s="2608"/>
      <c r="N17" s="2608"/>
      <c r="O17" s="1361" t="s">
        <v>1127</v>
      </c>
      <c r="P17" s="1361" t="s">
        <v>1128</v>
      </c>
      <c r="Q17" s="1361" t="s">
        <v>1127</v>
      </c>
      <c r="R17" s="1361" t="s">
        <v>1128</v>
      </c>
      <c r="S17" s="1361" t="s">
        <v>1127</v>
      </c>
      <c r="T17" s="1361" t="s">
        <v>1128</v>
      </c>
      <c r="U17" s="1361" t="s">
        <v>1127</v>
      </c>
      <c r="V17" s="1361" t="s">
        <v>1128</v>
      </c>
      <c r="W17" s="1361" t="s">
        <v>1127</v>
      </c>
      <c r="X17" s="1361" t="s">
        <v>1128</v>
      </c>
      <c r="Y17" s="1361" t="s">
        <v>1127</v>
      </c>
      <c r="Z17" s="1361" t="s">
        <v>1128</v>
      </c>
      <c r="AA17" s="1361" t="s">
        <v>1127</v>
      </c>
      <c r="AB17" s="1361" t="s">
        <v>1128</v>
      </c>
      <c r="AC17" s="2604"/>
      <c r="AD17" s="2604"/>
      <c r="AE17" s="2604"/>
      <c r="AF17" s="2604"/>
      <c r="AG17" s="2604"/>
      <c r="AH17" s="2604"/>
      <c r="AI17" s="2604"/>
      <c r="AJ17" s="2604"/>
      <c r="AK17" s="2604"/>
      <c r="AL17" s="2604"/>
      <c r="AM17" s="2604"/>
      <c r="AN17" s="2604"/>
      <c r="AO17" s="2604"/>
      <c r="AP17" s="2604"/>
      <c r="AQ17" s="2604"/>
      <c r="AR17" s="2604"/>
      <c r="AS17" s="2604"/>
      <c r="AT17" s="2604"/>
      <c r="AU17" s="2604"/>
      <c r="AV17" s="2604"/>
      <c r="AW17" s="2604"/>
      <c r="AX17" s="2604"/>
      <c r="AY17" s="2604"/>
      <c r="AZ17" s="2604"/>
      <c r="BA17" s="2604"/>
      <c r="BB17" s="2604"/>
      <c r="BC17" s="2604"/>
      <c r="BD17" s="2604"/>
      <c r="BE17" s="2604"/>
      <c r="BF17" s="2604"/>
      <c r="BG17" s="2604"/>
      <c r="BH17" s="2604"/>
      <c r="BI17" s="2604"/>
      <c r="BJ17" s="2604"/>
      <c r="BK17" s="2604"/>
      <c r="BL17" s="2604"/>
      <c r="BM17" s="2604"/>
      <c r="BN17" s="2604"/>
      <c r="BO17" s="2604"/>
      <c r="BP17" s="2604"/>
      <c r="BQ17" s="2604"/>
      <c r="BR17" s="2604"/>
      <c r="BS17" s="2623"/>
      <c r="BT17" s="1361" t="s">
        <v>1127</v>
      </c>
      <c r="BU17" s="1361" t="s">
        <v>1128</v>
      </c>
      <c r="BV17" s="1361" t="s">
        <v>1127</v>
      </c>
      <c r="BW17" s="1361" t="s">
        <v>1128</v>
      </c>
      <c r="BX17" s="1361" t="s">
        <v>1127</v>
      </c>
      <c r="BY17" s="1361" t="s">
        <v>1128</v>
      </c>
      <c r="BZ17" s="1361" t="s">
        <v>1127</v>
      </c>
      <c r="CA17" s="1361" t="s">
        <v>1128</v>
      </c>
      <c r="CB17" s="1361" t="s">
        <v>1127</v>
      </c>
      <c r="CC17" s="1361" t="s">
        <v>1128</v>
      </c>
      <c r="CD17" s="1361" t="s">
        <v>1127</v>
      </c>
      <c r="CE17" s="1361" t="s">
        <v>1128</v>
      </c>
      <c r="CF17" s="1361" t="s">
        <v>1127</v>
      </c>
      <c r="CG17" s="1361" t="s">
        <v>1128</v>
      </c>
      <c r="CH17" s="1361" t="s">
        <v>1127</v>
      </c>
      <c r="CI17" s="1361" t="s">
        <v>1128</v>
      </c>
      <c r="CJ17" s="1361" t="s">
        <v>1127</v>
      </c>
      <c r="CK17" s="1361" t="s">
        <v>1128</v>
      </c>
      <c r="CL17" s="2606"/>
      <c r="CM17" s="2604"/>
      <c r="CN17" s="2604"/>
      <c r="CO17" s="2604"/>
      <c r="CP17" s="2604"/>
      <c r="CQ17" s="2604"/>
      <c r="CR17" s="2604"/>
      <c r="CS17" s="2604"/>
      <c r="CT17" s="2604"/>
      <c r="CU17" s="2604"/>
      <c r="CV17" s="2604"/>
      <c r="CW17" s="2604"/>
      <c r="CX17" s="2623"/>
      <c r="CY17" s="1361" t="s">
        <v>1127</v>
      </c>
      <c r="CZ17" s="1361" t="s">
        <v>1128</v>
      </c>
      <c r="DA17" s="1361" t="s">
        <v>1127</v>
      </c>
      <c r="DB17" s="1361" t="s">
        <v>1128</v>
      </c>
      <c r="DC17" s="1361" t="s">
        <v>1127</v>
      </c>
      <c r="DD17" s="1361" t="s">
        <v>1128</v>
      </c>
      <c r="DE17" s="1361" t="s">
        <v>1127</v>
      </c>
      <c r="DF17" s="1361" t="s">
        <v>1128</v>
      </c>
      <c r="DG17" s="1361" t="s">
        <v>1127</v>
      </c>
      <c r="DH17" s="1361" t="s">
        <v>1128</v>
      </c>
      <c r="DI17" s="1361" t="s">
        <v>1127</v>
      </c>
      <c r="DJ17" s="1361" t="s">
        <v>1128</v>
      </c>
      <c r="DK17" s="2606"/>
      <c r="DL17" s="2604"/>
      <c r="DM17" s="2604"/>
      <c r="DN17" s="2604"/>
      <c r="DO17" s="2604"/>
      <c r="DP17" s="2604"/>
      <c r="DQ17" s="2604"/>
      <c r="DR17" s="2604"/>
      <c r="DS17" s="2604"/>
      <c r="DT17" s="2604"/>
      <c r="DU17" s="2604"/>
      <c r="DV17" s="2604"/>
      <c r="DW17" s="2604"/>
      <c r="DX17" s="2604"/>
      <c r="DY17" s="2604"/>
      <c r="DZ17" s="2604"/>
      <c r="EA17" s="2604"/>
      <c r="EB17" s="2604"/>
      <c r="EC17" s="2604"/>
      <c r="ED17" s="2604"/>
      <c r="EE17" s="2604"/>
      <c r="EF17" s="2604"/>
      <c r="EG17" s="2604"/>
      <c r="EH17" s="2604"/>
      <c r="EI17" s="2604"/>
      <c r="EJ17" s="2604"/>
      <c r="EK17" s="2604"/>
      <c r="EL17" s="2604"/>
      <c r="EM17" s="2604"/>
      <c r="EN17" s="2604"/>
      <c r="EO17" s="2604"/>
      <c r="EP17" s="2604"/>
      <c r="EQ17" s="2604"/>
      <c r="ER17" s="2604"/>
      <c r="ES17" s="2604"/>
      <c r="ET17" s="2604"/>
      <c r="EU17" s="2604"/>
      <c r="EV17" s="2604"/>
      <c r="EW17" s="2604"/>
      <c r="EX17" s="2604"/>
      <c r="EY17" s="2604"/>
      <c r="EZ17" s="2604"/>
      <c r="FA17" s="2604"/>
      <c r="FB17" s="2604"/>
      <c r="FC17" s="2604"/>
      <c r="FD17" s="2604"/>
      <c r="FE17" s="2604"/>
      <c r="FF17" s="2604"/>
      <c r="FG17" s="2604"/>
      <c r="FH17" s="2604"/>
      <c r="FI17" s="2604"/>
      <c r="FJ17" s="2604"/>
      <c r="FK17" s="2604"/>
      <c r="FL17" s="2604"/>
      <c r="FM17" s="2604"/>
      <c r="FN17" s="2604"/>
      <c r="FO17" s="2604"/>
      <c r="FP17" s="2604"/>
      <c r="FQ17" s="2604"/>
      <c r="FR17" s="2604"/>
      <c r="FS17" s="2604"/>
      <c r="FT17" s="2604"/>
      <c r="FU17" s="2604"/>
      <c r="FV17" s="2604"/>
      <c r="FW17" s="2619"/>
      <c r="FX17" s="932"/>
      <c r="GC17" s="1096">
        <v>15</v>
      </c>
    </row>
    <row s="14899" customFormat="1" customHeight="1" ht="12" hidden="1">
      <c r="B18" s="1093"/>
      <c r="E18" s="1109"/>
      <c r="F18" s="1362"/>
      <c r="G18" s="1362"/>
      <c r="H18" s="1362"/>
      <c r="I18" s="1362"/>
      <c r="J18" s="1363"/>
      <c r="K18" s="1363"/>
      <c r="L18" s="1363"/>
      <c r="M18" s="1363"/>
      <c r="N18" s="1363"/>
      <c r="O18" s="1362"/>
      <c r="P18" s="1362"/>
      <c r="Q18" s="1362"/>
      <c r="R18" s="1362"/>
      <c r="S18" s="1362"/>
      <c r="T18" s="1362"/>
      <c r="U18" s="1364"/>
      <c r="V18" s="1364"/>
      <c r="W18" s="1364"/>
      <c r="X18" s="1364"/>
      <c r="Y18" s="1364"/>
      <c r="Z18" s="1364"/>
      <c r="AA18" s="1364"/>
      <c r="AB18" s="1362"/>
      <c r="AC18" s="1363"/>
      <c r="AD18" s="1363"/>
      <c r="AE18" s="1363"/>
      <c r="AF18" s="1363"/>
      <c r="AG18" s="1363"/>
      <c r="AH18" s="1363"/>
      <c r="AI18" s="1363"/>
      <c r="AJ18" s="1363"/>
      <c r="AK18" s="1363"/>
      <c r="AL18" s="1363"/>
      <c r="AM18" s="1363"/>
      <c r="AN18" s="1363"/>
      <c r="AO18" s="1363"/>
      <c r="AP18" s="1363"/>
      <c r="AQ18" s="1363"/>
      <c r="AR18" s="1363"/>
      <c r="AS18" s="1363"/>
      <c r="AT18" s="1363"/>
      <c r="AU18" s="1363"/>
      <c r="AV18" s="1363"/>
      <c r="AW18" s="1363"/>
      <c r="AX18" s="1363"/>
      <c r="AY18" s="1363"/>
      <c r="AZ18" s="1363"/>
      <c r="BA18" s="1363"/>
      <c r="BB18" s="1363"/>
      <c r="BC18" s="1363"/>
      <c r="BD18" s="1363"/>
      <c r="BE18" s="1363"/>
      <c r="BF18" s="1363"/>
      <c r="BG18" s="1363"/>
      <c r="BH18" s="1363"/>
      <c r="BI18" s="1363"/>
      <c r="BJ18" s="1363"/>
      <c r="BK18" s="1363"/>
      <c r="BL18" s="1363"/>
      <c r="BM18" s="1363"/>
      <c r="BN18" s="1363"/>
      <c r="BO18" s="1363"/>
      <c r="BP18" s="1363"/>
      <c r="BQ18" s="1363"/>
      <c r="BR18" s="1363"/>
      <c r="BS18" s="1363"/>
      <c r="BT18" s="1365"/>
      <c r="BU18" s="1365"/>
      <c r="BV18" s="1365"/>
      <c r="BW18" s="1365"/>
      <c r="BX18" s="1365"/>
      <c r="BY18" s="1365"/>
      <c r="BZ18" s="1365"/>
      <c r="CA18" s="1365"/>
      <c r="CB18" s="1365"/>
      <c r="CC18" s="1365"/>
      <c r="CD18" s="1365"/>
      <c r="CE18" s="1365"/>
      <c r="CF18" s="1365"/>
      <c r="CG18" s="1365"/>
      <c r="CH18" s="1365"/>
      <c r="CI18" s="1365"/>
      <c r="CJ18" s="1365"/>
      <c r="CK18" s="1365"/>
      <c r="CL18" s="1363"/>
      <c r="CM18" s="1363"/>
      <c r="CN18" s="1363"/>
      <c r="CO18" s="1363"/>
      <c r="CP18" s="1363"/>
      <c r="CQ18" s="1363"/>
      <c r="CR18" s="1363"/>
      <c r="CS18" s="1363"/>
      <c r="CT18" s="1363"/>
      <c r="CU18" s="1363"/>
      <c r="CV18" s="1363"/>
      <c r="CW18" s="1363"/>
      <c r="CX18" s="1363"/>
      <c r="CY18" s="1365"/>
      <c r="CZ18" s="1365"/>
      <c r="DA18" s="1365"/>
      <c r="DB18" s="1365"/>
      <c r="DC18" s="1365"/>
      <c r="DD18" s="1365"/>
      <c r="DE18" s="1365"/>
      <c r="DF18" s="1365"/>
      <c r="DG18" s="1365"/>
      <c r="DH18" s="1365"/>
      <c r="DI18" s="1365"/>
      <c r="DJ18" s="1365"/>
      <c r="DK18" s="1363"/>
      <c r="DL18" s="1363"/>
      <c r="DM18" s="1363"/>
      <c r="DN18" s="1363"/>
      <c r="DO18" s="1363"/>
      <c r="DP18" s="1363"/>
      <c r="DQ18" s="1363"/>
      <c r="DR18" s="1363"/>
      <c r="DS18" s="1363"/>
      <c r="DT18" s="1363"/>
      <c r="DU18" s="1363"/>
      <c r="DV18" s="1363"/>
      <c r="DW18" s="1363"/>
      <c r="DX18" s="1363"/>
      <c r="DY18" s="1363"/>
      <c r="DZ18" s="1363"/>
      <c r="EA18" s="1363"/>
      <c r="EB18" s="1363"/>
      <c r="EC18" s="1363"/>
      <c r="ED18" s="1363"/>
      <c r="EE18" s="1363"/>
      <c r="EF18" s="1363"/>
      <c r="EG18" s="1363"/>
      <c r="EH18" s="1363"/>
      <c r="EI18" s="1363"/>
      <c r="EJ18" s="1363"/>
      <c r="EK18" s="1363"/>
      <c r="EL18" s="1363"/>
      <c r="EM18" s="1363"/>
      <c r="EN18" s="1363"/>
      <c r="EO18" s="1363"/>
      <c r="EP18" s="1363"/>
      <c r="EQ18" s="1363"/>
      <c r="ER18" s="1363"/>
      <c r="ES18" s="1363"/>
      <c r="ET18" s="1363"/>
      <c r="EU18" s="1363"/>
      <c r="EV18" s="1363"/>
      <c r="EW18" s="1363"/>
      <c r="EX18" s="1363"/>
      <c r="EY18" s="1363"/>
      <c r="EZ18" s="1363"/>
      <c r="FA18" s="1363"/>
      <c r="FB18" s="1363"/>
      <c r="FC18" s="1363"/>
      <c r="FD18" s="1363"/>
      <c r="FE18" s="1363"/>
      <c r="FF18" s="1363"/>
      <c r="FG18" s="1363"/>
      <c r="FH18" s="1363"/>
      <c r="FI18" s="1363"/>
      <c r="FJ18" s="1363"/>
      <c r="FK18" s="1363"/>
      <c r="FL18" s="1363"/>
      <c r="FM18" s="1363"/>
      <c r="FN18" s="1363"/>
      <c r="FO18" s="1363"/>
      <c r="FP18" s="1363"/>
      <c r="FQ18" s="1363"/>
      <c r="FR18" s="1363"/>
      <c r="FS18" s="1363"/>
      <c r="FT18" s="1363"/>
      <c r="FU18" s="1363"/>
      <c r="FV18" s="1363"/>
      <c r="FW18" s="1362"/>
      <c r="FX18" s="1366"/>
      <c r="GC18" s="1094">
        <v>0</v>
      </c>
    </row>
    <row s="14899" customFormat="1" customHeight="1" ht="11.25" hidden="1">
      <c r="B19" s="1093"/>
      <c r="E19" s="1109"/>
      <c r="F19" s="1362"/>
      <c r="G19" s="1362"/>
      <c r="H19" s="1362"/>
      <c r="I19" s="1362"/>
      <c r="J19" s="1362"/>
      <c r="K19" s="1362"/>
      <c r="L19" s="1362"/>
      <c r="M19" s="1362"/>
      <c r="N19" s="1362"/>
      <c r="O19" s="1362"/>
      <c r="P19" s="1362"/>
      <c r="Q19" s="1362"/>
      <c r="R19" s="1362"/>
      <c r="S19" s="1362"/>
      <c r="T19" s="1362"/>
      <c r="U19" s="1364"/>
      <c r="V19" s="1364"/>
      <c r="W19" s="1364"/>
      <c r="X19" s="1364"/>
      <c r="Y19" s="1364"/>
      <c r="Z19" s="1364"/>
      <c r="AA19" s="1364"/>
      <c r="AB19" s="1362"/>
      <c r="AC19" s="1362"/>
      <c r="AD19" s="1362"/>
      <c r="AE19" s="1362"/>
      <c r="AF19" s="1362"/>
      <c r="AG19" s="1362"/>
      <c r="AH19" s="1362"/>
      <c r="AI19" s="1362"/>
      <c r="AJ19" s="1362"/>
      <c r="AK19" s="1362"/>
      <c r="AL19" s="1362"/>
      <c r="AM19" s="1362"/>
      <c r="AN19" s="1362"/>
      <c r="AO19" s="1362"/>
      <c r="AP19" s="1362"/>
      <c r="AQ19" s="1362"/>
      <c r="AR19" s="1362"/>
      <c r="AS19" s="1362"/>
      <c r="AT19" s="1362"/>
      <c r="AU19" s="1362"/>
      <c r="AV19" s="1362"/>
      <c r="AW19" s="1362"/>
      <c r="AX19" s="1362"/>
      <c r="AY19" s="1362"/>
      <c r="AZ19" s="1362"/>
      <c r="BA19" s="1362"/>
      <c r="BB19" s="1362"/>
      <c r="BC19" s="1362"/>
      <c r="BD19" s="1362"/>
      <c r="BE19" s="1362"/>
      <c r="BF19" s="1362"/>
      <c r="BG19" s="1362"/>
      <c r="BH19" s="1362"/>
      <c r="BI19" s="1362"/>
      <c r="BJ19" s="1362"/>
      <c r="BK19" s="1362"/>
      <c r="BL19" s="1362"/>
      <c r="BM19" s="1362"/>
      <c r="BN19" s="1362"/>
      <c r="BO19" s="1362"/>
      <c r="BP19" s="1362"/>
      <c r="BQ19" s="1362"/>
      <c r="BR19" s="1362"/>
      <c r="BS19" s="1362"/>
      <c r="BT19" s="1362"/>
      <c r="BU19" s="1362"/>
      <c r="BV19" s="1362"/>
      <c r="BW19" s="1362"/>
      <c r="BX19" s="1362"/>
      <c r="BY19" s="1362"/>
      <c r="BZ19" s="1362"/>
      <c r="CA19" s="1362"/>
      <c r="CB19" s="1362"/>
      <c r="CC19" s="1362"/>
      <c r="CD19" s="1362"/>
      <c r="CE19" s="1362"/>
      <c r="CF19" s="1362"/>
      <c r="CG19" s="1362"/>
      <c r="CH19" s="1362"/>
      <c r="CI19" s="1362"/>
      <c r="CJ19" s="1362"/>
      <c r="CK19" s="1362"/>
      <c r="CL19" s="1362"/>
      <c r="CM19" s="1362"/>
      <c r="CN19" s="1362"/>
      <c r="CO19" s="1362"/>
      <c r="CP19" s="1362"/>
      <c r="CQ19" s="1362"/>
      <c r="CR19" s="1362"/>
      <c r="CS19" s="1362"/>
      <c r="CT19" s="1362"/>
      <c r="CU19" s="1362"/>
      <c r="CV19" s="1362"/>
      <c r="CW19" s="1362"/>
      <c r="CX19" s="1362"/>
      <c r="CY19" s="1362"/>
      <c r="CZ19" s="1362"/>
      <c r="DA19" s="1362"/>
      <c r="DB19" s="1362"/>
      <c r="DC19" s="1362"/>
      <c r="DD19" s="1362"/>
      <c r="DE19" s="1362"/>
      <c r="DF19" s="1362"/>
      <c r="DG19" s="1362"/>
      <c r="DH19" s="1362"/>
      <c r="DI19" s="1362"/>
      <c r="DJ19" s="1362"/>
      <c r="DK19" s="1362"/>
      <c r="DL19" s="1362"/>
      <c r="DM19" s="1362"/>
      <c r="DN19" s="1362"/>
      <c r="DO19" s="1362"/>
      <c r="DP19" s="1362"/>
      <c r="DQ19" s="1362"/>
      <c r="DR19" s="1362"/>
      <c r="DS19" s="1362"/>
      <c r="DT19" s="1362"/>
      <c r="DU19" s="1362"/>
      <c r="DV19" s="1362"/>
      <c r="DW19" s="1362"/>
      <c r="DX19" s="1362"/>
      <c r="DY19" s="1362"/>
      <c r="DZ19" s="1362"/>
      <c r="EA19" s="1362"/>
      <c r="EB19" s="1362"/>
      <c r="EC19" s="1362"/>
      <c r="ED19" s="1362"/>
      <c r="EE19" s="1362"/>
      <c r="EF19" s="1362"/>
      <c r="EG19" s="1362"/>
      <c r="EH19" s="1362"/>
      <c r="EI19" s="1362"/>
      <c r="EJ19" s="1362"/>
      <c r="EK19" s="1362"/>
      <c r="EL19" s="1362"/>
      <c r="EM19" s="1362"/>
      <c r="EN19" s="1362"/>
      <c r="EO19" s="1362"/>
      <c r="EP19" s="1362"/>
      <c r="EQ19" s="1362"/>
      <c r="ER19" s="1362"/>
      <c r="ES19" s="1362"/>
      <c r="ET19" s="1362"/>
      <c r="EU19" s="1362"/>
      <c r="EV19" s="1362"/>
      <c r="EW19" s="1362"/>
      <c r="EX19" s="1362"/>
      <c r="EY19" s="1362"/>
      <c r="EZ19" s="1362"/>
      <c r="FA19" s="1362"/>
      <c r="FB19" s="1362"/>
      <c r="FC19" s="1362"/>
      <c r="FD19" s="1362"/>
      <c r="FE19" s="1362"/>
      <c r="FF19" s="1362"/>
      <c r="FG19" s="1362"/>
      <c r="FH19" s="1362"/>
      <c r="FI19" s="1362"/>
      <c r="FJ19" s="1362"/>
      <c r="FK19" s="1362"/>
      <c r="FL19" s="1362"/>
      <c r="FM19" s="1362"/>
      <c r="FN19" s="1362"/>
      <c r="FO19" s="1362"/>
      <c r="FP19" s="1362"/>
      <c r="FQ19" s="1362"/>
      <c r="FR19" s="1362"/>
      <c r="FS19" s="1362"/>
      <c r="FT19" s="1362"/>
      <c r="FU19" s="1362"/>
      <c r="FV19" s="1362"/>
      <c r="FW19" s="1362"/>
      <c r="FX19" s="1366"/>
      <c r="GC19" s="1094">
        <v>0</v>
      </c>
    </row>
    <row s="14899" customFormat="1" customHeight="1" ht="11.25" hidden="1">
      <c r="B20" s="1110"/>
      <c r="D20" s="1094"/>
      <c r="E20" s="1109"/>
      <c r="F20" s="1367" t="s">
        <v>388</v>
      </c>
      <c r="G20" s="1368"/>
      <c r="H20" s="1369"/>
      <c r="I20" s="1369"/>
      <c r="J20" s="1369"/>
      <c r="K20" s="1369"/>
      <c r="L20" s="1369"/>
      <c r="M20" s="1369"/>
      <c r="N20" s="1369"/>
      <c r="O20" s="1368"/>
      <c r="P20" s="1368"/>
      <c r="Q20" s="1368"/>
      <c r="R20" s="1368"/>
      <c r="S20" s="1368"/>
      <c r="T20" s="1368"/>
      <c r="U20" s="1370"/>
      <c r="V20" s="1370"/>
      <c r="W20" s="1370"/>
      <c r="X20" s="1370"/>
      <c r="Y20" s="1370"/>
      <c r="Z20" s="1370"/>
      <c r="AA20" s="1370"/>
      <c r="AB20" s="1368"/>
      <c r="AC20" s="1369"/>
      <c r="AD20" s="1369"/>
      <c r="AE20" s="1369"/>
      <c r="AF20" s="1369"/>
      <c r="AG20" s="1369"/>
      <c r="AH20" s="1369"/>
      <c r="AI20" s="1369"/>
      <c r="AJ20" s="1369"/>
      <c r="AK20" s="1369"/>
      <c r="AL20" s="1369"/>
      <c r="AM20" s="1369"/>
      <c r="AN20" s="1369"/>
      <c r="AO20" s="1369"/>
      <c r="AP20" s="1369"/>
      <c r="AQ20" s="1369"/>
      <c r="AR20" s="1369"/>
      <c r="AS20" s="1369"/>
      <c r="AT20" s="1369"/>
      <c r="AU20" s="1369"/>
      <c r="AV20" s="1369"/>
      <c r="AW20" s="1369"/>
      <c r="AX20" s="1369"/>
      <c r="AY20" s="1369"/>
      <c r="AZ20" s="1369"/>
      <c r="BA20" s="1369"/>
      <c r="BB20" s="1369"/>
      <c r="BC20" s="1369"/>
      <c r="BD20" s="1369"/>
      <c r="BE20" s="1369"/>
      <c r="BF20" s="1369"/>
      <c r="BG20" s="1369"/>
      <c r="BH20" s="1369"/>
      <c r="BI20" s="1369"/>
      <c r="BJ20" s="1369"/>
      <c r="BK20" s="1369"/>
      <c r="BL20" s="1369"/>
      <c r="BM20" s="1369"/>
      <c r="BN20" s="1369"/>
      <c r="BO20" s="1369"/>
      <c r="BP20" s="1369"/>
      <c r="BQ20" s="1369"/>
      <c r="BR20" s="1369"/>
      <c r="BS20" s="1369"/>
      <c r="BT20" s="1369"/>
      <c r="BU20" s="1369"/>
      <c r="BV20" s="1369"/>
      <c r="BW20" s="1369"/>
      <c r="BX20" s="1369"/>
      <c r="BY20" s="1369"/>
      <c r="BZ20" s="1369"/>
      <c r="CA20" s="1369"/>
      <c r="CB20" s="1369"/>
      <c r="CC20" s="1369"/>
      <c r="CD20" s="1369"/>
      <c r="CE20" s="1369"/>
      <c r="CF20" s="1369"/>
      <c r="CG20" s="1369"/>
      <c r="CH20" s="1369"/>
      <c r="CI20" s="1369"/>
      <c r="CJ20" s="1369"/>
      <c r="CK20" s="1369"/>
      <c r="CL20" s="1371"/>
      <c r="CM20" s="1371"/>
      <c r="CN20" s="1371"/>
      <c r="CO20" s="1371"/>
      <c r="CP20" s="1371"/>
      <c r="CQ20" s="1371"/>
      <c r="CR20" s="1371"/>
      <c r="CS20" s="1371"/>
      <c r="CT20" s="1371"/>
      <c r="CU20" s="1371"/>
      <c r="CV20" s="1371"/>
      <c r="CW20" s="1371"/>
      <c r="CX20" s="1371"/>
      <c r="CY20" s="1371"/>
      <c r="CZ20" s="1371"/>
      <c r="DA20" s="1371"/>
      <c r="DB20" s="1371"/>
      <c r="DC20" s="1371"/>
      <c r="DD20" s="1371"/>
      <c r="DE20" s="1371"/>
      <c r="DF20" s="1371"/>
      <c r="DG20" s="1371"/>
      <c r="DH20" s="1371"/>
      <c r="DI20" s="1371"/>
      <c r="DJ20" s="1371"/>
      <c r="DK20" s="1371"/>
      <c r="DL20" s="1371"/>
      <c r="DM20" s="1371"/>
      <c r="DN20" s="1371"/>
      <c r="DO20" s="1371"/>
      <c r="DP20" s="1371"/>
      <c r="DQ20" s="1371"/>
      <c r="DR20" s="1371"/>
      <c r="DS20" s="1371"/>
      <c r="DT20" s="1371"/>
      <c r="DU20" s="1371"/>
      <c r="DV20" s="1371"/>
      <c r="DW20" s="1371"/>
      <c r="DX20" s="1371"/>
      <c r="DY20" s="1371"/>
      <c r="DZ20" s="1371"/>
      <c r="EA20" s="1371"/>
      <c r="EB20" s="1371"/>
      <c r="EC20" s="1371"/>
      <c r="ED20" s="1371"/>
      <c r="EE20" s="1371"/>
      <c r="EF20" s="1371"/>
      <c r="EG20" s="1371"/>
      <c r="EH20" s="1371"/>
      <c r="EI20" s="1371"/>
      <c r="EJ20" s="1371"/>
      <c r="EK20" s="1371"/>
      <c r="EL20" s="1371"/>
      <c r="EM20" s="1371"/>
      <c r="EN20" s="1371"/>
      <c r="EO20" s="1371"/>
      <c r="EP20" s="1371"/>
      <c r="EQ20" s="1371"/>
      <c r="ER20" s="1371"/>
      <c r="ES20" s="1371"/>
      <c r="ET20" s="1371"/>
      <c r="EU20" s="1371"/>
      <c r="EV20" s="1371"/>
      <c r="EW20" s="1371"/>
      <c r="EX20" s="1371"/>
      <c r="EY20" s="1371"/>
      <c r="EZ20" s="1371"/>
      <c r="FA20" s="1371"/>
      <c r="FB20" s="1371"/>
      <c r="FC20" s="1371"/>
      <c r="FD20" s="1371"/>
      <c r="FE20" s="1371"/>
      <c r="FF20" s="1371"/>
      <c r="FG20" s="1371"/>
      <c r="FH20" s="1371"/>
      <c r="FI20" s="1371"/>
      <c r="FJ20" s="1371"/>
      <c r="FK20" s="1371"/>
      <c r="FL20" s="1371"/>
      <c r="FM20" s="1371"/>
      <c r="FN20" s="1371"/>
      <c r="FO20" s="1371"/>
      <c r="FP20" s="1371"/>
      <c r="FQ20" s="1371"/>
      <c r="FR20" s="1371"/>
      <c r="FS20" s="1371"/>
      <c r="FT20" s="1371"/>
      <c r="FU20" s="1371"/>
      <c r="FV20" s="1371"/>
      <c r="FW20" s="1371"/>
      <c r="FX20" s="1372"/>
      <c r="GC20" s="1092">
        <v>0</v>
      </c>
    </row>
    <row s="14899" customFormat="1" customHeight="1" ht="12.75">
      <c r="A21" s="1111"/>
      <c r="B21" s="1111"/>
      <c r="C21" s="1111"/>
      <c r="D21" s="1111"/>
      <c r="E21" s="1111"/>
      <c r="F21" s="1109"/>
      <c r="G21" s="1109"/>
      <c r="H21" s="1109"/>
      <c r="I21" s="1109"/>
      <c r="J21" s="1109"/>
      <c r="K21" s="1109"/>
      <c r="L21" s="1109"/>
      <c r="M21" s="1109"/>
      <c r="N21" s="1109"/>
      <c r="O21" s="1109"/>
      <c r="P21" s="1109"/>
      <c r="Q21" s="1109"/>
      <c r="R21" s="1109"/>
      <c r="S21" s="1112"/>
      <c r="T21" s="1112"/>
      <c r="U21" s="1109"/>
      <c r="V21" s="1109"/>
      <c r="W21" s="1109"/>
      <c r="X21" s="1109"/>
      <c r="Y21" s="1109"/>
      <c r="Z21" s="1109"/>
      <c r="AA21" s="1109"/>
      <c r="AB21" s="1109"/>
      <c r="AC21" s="1109"/>
      <c r="AD21" s="1109"/>
      <c r="AE21" s="1109"/>
      <c r="AF21" s="1109"/>
      <c r="AG21" s="1109"/>
      <c r="AH21" s="1109"/>
      <c r="AI21" s="1109"/>
      <c r="AJ21" s="1109"/>
      <c r="AK21" s="1109"/>
      <c r="AL21" s="1109"/>
      <c r="AM21" s="1109"/>
      <c r="AN21" s="1109"/>
      <c r="AO21" s="1109"/>
      <c r="AP21" s="1109"/>
      <c r="AQ21" s="1109"/>
      <c r="AR21" s="1109"/>
      <c r="AS21" s="1109"/>
      <c r="AT21" s="1109"/>
      <c r="AU21" s="1109"/>
      <c r="AV21" s="1109"/>
      <c r="AW21" s="1109"/>
      <c r="AX21" s="1109"/>
      <c r="AY21" s="1109"/>
      <c r="AZ21" s="1109"/>
      <c r="BA21" s="1109"/>
      <c r="BB21" s="1109"/>
      <c r="BC21" s="1109"/>
      <c r="BD21" s="1109"/>
      <c r="BE21" s="1109"/>
      <c r="BF21" s="1109"/>
      <c r="BG21" s="1109"/>
      <c r="BH21" s="1109"/>
      <c r="BI21" s="1109"/>
      <c r="BJ21" s="1109"/>
      <c r="BK21" s="1109"/>
      <c r="BL21" s="1109"/>
      <c r="BM21" s="1109"/>
      <c r="BN21" s="1109"/>
      <c r="BO21" s="1109"/>
      <c r="BP21" s="1109"/>
      <c r="BQ21" s="1109"/>
      <c r="BR21" s="1109"/>
      <c r="BS21" s="1109"/>
      <c r="BT21" s="1109"/>
      <c r="BU21" s="1109"/>
      <c r="BV21" s="1109"/>
      <c r="BW21" s="1109"/>
      <c r="BX21" s="1109"/>
      <c r="BY21" s="1109"/>
      <c r="BZ21" s="1109"/>
      <c r="CA21" s="1109"/>
      <c r="CB21" s="1109"/>
      <c r="CC21" s="1109"/>
      <c r="CD21" s="1109"/>
      <c r="CE21" s="1109"/>
      <c r="CF21" s="1109"/>
      <c r="CG21" s="1109"/>
      <c r="CH21" s="1109"/>
      <c r="CI21" s="1109"/>
      <c r="CJ21" s="1109"/>
      <c r="CK21" s="1109"/>
      <c r="CL21" s="1109"/>
      <c r="CM21" s="1109"/>
      <c r="CN21" s="1109"/>
      <c r="CO21" s="1109"/>
      <c r="CP21" s="1109"/>
      <c r="CQ21" s="1109"/>
      <c r="CR21" s="1109"/>
      <c r="CS21" s="1109"/>
      <c r="CT21" s="1109"/>
      <c r="CU21" s="1109"/>
      <c r="CV21" s="1109"/>
      <c r="CW21" s="1109"/>
      <c r="CX21" s="1109"/>
      <c r="CY21" s="1109"/>
      <c r="CZ21" s="1109"/>
      <c r="DA21" s="1109"/>
      <c r="DB21" s="1109"/>
      <c r="DC21" s="1109"/>
      <c r="DD21" s="1109"/>
      <c r="DE21" s="1109"/>
      <c r="DF21" s="1109"/>
      <c r="DG21" s="1109"/>
      <c r="DH21" s="1109"/>
      <c r="DI21" s="1109"/>
      <c r="DJ21" s="1109"/>
      <c r="DK21" s="1109"/>
      <c r="DL21" s="1109"/>
      <c r="DM21" s="1109"/>
      <c r="DN21" s="1109"/>
      <c r="DO21" s="1109"/>
      <c r="DP21" s="1109"/>
      <c r="DQ21" s="1109"/>
      <c r="DR21" s="1109"/>
      <c r="DS21" s="1109"/>
      <c r="DT21" s="1109"/>
      <c r="DU21" s="1109"/>
      <c r="DV21" s="1109"/>
      <c r="DW21" s="1109"/>
      <c r="DX21" s="1109"/>
      <c r="DY21" s="1109"/>
      <c r="DZ21" s="1109"/>
      <c r="EA21" s="1109"/>
      <c r="EB21" s="1109"/>
      <c r="EC21" s="1109"/>
      <c r="ED21" s="1109"/>
      <c r="EE21" s="1109"/>
      <c r="EF21" s="1109"/>
      <c r="EG21" s="1109"/>
      <c r="EH21" s="1109"/>
      <c r="EI21" s="1109"/>
      <c r="EJ21" s="1109"/>
      <c r="EK21" s="1109"/>
      <c r="EL21" s="1109"/>
      <c r="EM21" s="1109"/>
      <c r="EN21" s="1109"/>
      <c r="EO21" s="1109"/>
      <c r="EP21" s="1109"/>
      <c r="EQ21" s="1109"/>
      <c r="ER21" s="1109"/>
      <c r="ES21" s="1109"/>
      <c r="ET21" s="1109"/>
      <c r="EU21" s="1109"/>
      <c r="EV21" s="1109"/>
      <c r="EW21" s="1109"/>
      <c r="EX21" s="1109"/>
      <c r="EY21" s="1109"/>
      <c r="EZ21" s="1109"/>
      <c r="FA21" s="1109"/>
      <c r="FB21" s="1109"/>
      <c r="FC21" s="1109"/>
      <c r="FD21" s="1109"/>
      <c r="FE21" s="1109"/>
      <c r="FF21" s="1109"/>
      <c r="FG21" s="1109"/>
      <c r="FH21" s="1109"/>
      <c r="FI21" s="1109"/>
      <c r="FJ21" s="1109"/>
      <c r="FK21" s="1109"/>
      <c r="FL21" s="1109"/>
      <c r="FM21" s="1109"/>
      <c r="FN21" s="1109"/>
      <c r="FO21" s="1109"/>
      <c r="FP21" s="1109"/>
      <c r="FQ21" s="1109"/>
      <c r="FR21" s="1109"/>
      <c r="FS21" s="1109"/>
      <c r="FT21" s="1109"/>
      <c r="FU21" s="1109"/>
      <c r="FV21" s="1109"/>
      <c r="FW21" s="1109"/>
      <c r="FX21" s="1111"/>
      <c r="FY21" s="1111"/>
      <c r="FZ21" s="1111"/>
      <c r="GA21" s="1111"/>
      <c r="GB21" s="1111"/>
      <c r="GC21" s="1092">
        <v>12</v>
      </c>
    </row>
    <row s="14899" customFormat="1" customHeight="1" ht="12.75">
      <c r="A22" s="1111"/>
      <c r="B22" s="1111"/>
      <c r="C22" s="1111"/>
      <c r="D22" s="1111"/>
      <c r="E22" s="1111"/>
      <c r="FX22" s="1111"/>
      <c r="FY22" s="1111"/>
      <c r="FZ22" s="1111"/>
      <c r="GA22" s="1111"/>
      <c r="GB22" s="1111"/>
      <c r="GC22" s="1092">
        <v>12</v>
      </c>
    </row>
    <row s="14969" customFormat="1" customHeight="1" ht="12.75">
      <c r="A23" s="1232"/>
      <c r="B23" s="1232"/>
      <c r="C23" s="1232"/>
      <c r="D23" s="1232"/>
      <c r="E23" s="1232"/>
      <c r="O23" s="1234"/>
      <c r="P23" s="1234"/>
      <c r="Q23" s="1234"/>
      <c r="R23" s="1234"/>
      <c r="S23" s="1234"/>
      <c r="T23" s="1234"/>
      <c r="U23" s="1234"/>
      <c r="V23" s="1234"/>
      <c r="W23" s="1234"/>
      <c r="X23" s="1234"/>
      <c r="Y23" s="1234"/>
      <c r="Z23" s="1234"/>
      <c r="AA23" s="1234"/>
      <c r="AB23" s="1234"/>
      <c r="AC23" s="1234"/>
      <c r="AD23" s="1234"/>
      <c r="AE23" s="1234"/>
      <c r="AF23" s="1234"/>
      <c r="AG23" s="1234"/>
      <c r="AH23" s="1234"/>
      <c r="AI23" s="1234"/>
      <c r="AJ23" s="1234"/>
      <c r="AK23" s="1234"/>
      <c r="AL23" s="1234"/>
      <c r="AM23" s="1234"/>
      <c r="AN23" s="1234"/>
      <c r="AO23" s="1234"/>
      <c r="AP23" s="1234"/>
      <c r="AQ23" s="1234"/>
      <c r="AR23" s="1234"/>
      <c r="AS23" s="1234"/>
      <c r="AT23" s="1234"/>
      <c r="AU23" s="1234"/>
      <c r="AV23" s="1234"/>
      <c r="AW23" s="1234"/>
      <c r="AX23" s="1234"/>
      <c r="AY23" s="1234"/>
      <c r="AZ23" s="1234"/>
      <c r="BA23" s="1234"/>
      <c r="BB23" s="1234"/>
      <c r="BC23" s="1234"/>
      <c r="BD23" s="1234"/>
      <c r="BE23" s="1234"/>
      <c r="BF23" s="1234"/>
      <c r="BG23" s="1234"/>
      <c r="BH23" s="1234"/>
      <c r="BI23" s="1234"/>
      <c r="BJ23" s="1234"/>
      <c r="BK23" s="1234"/>
      <c r="BL23" s="1234"/>
      <c r="BM23" s="1234"/>
      <c r="BN23" s="1234"/>
      <c r="BO23" s="1234"/>
      <c r="BP23" s="1234"/>
      <c r="BQ23" s="1234"/>
      <c r="BR23" s="1234"/>
      <c r="BS23" s="1234"/>
      <c r="BT23" s="1235"/>
      <c r="BU23" s="1235"/>
      <c r="BV23" s="1235"/>
      <c r="BW23" s="1235"/>
      <c r="BX23" s="1235"/>
      <c r="BY23" s="1235"/>
      <c r="BZ23" s="1235"/>
      <c r="CA23" s="1235"/>
      <c r="CB23" s="1235"/>
      <c r="CC23" s="1235"/>
      <c r="CD23" s="1235"/>
      <c r="CE23" s="1235"/>
      <c r="CF23" s="1235"/>
      <c r="CG23" s="1235"/>
      <c r="CH23" s="1235"/>
      <c r="CI23" s="1235"/>
      <c r="CJ23" s="1235"/>
      <c r="CK23" s="1235"/>
      <c r="CL23" s="1235"/>
      <c r="CM23" s="1235"/>
      <c r="CN23" s="1235"/>
      <c r="CO23" s="1235"/>
      <c r="CP23" s="1235"/>
      <c r="CQ23" s="1235"/>
      <c r="CR23" s="1235"/>
      <c r="CS23" s="1235"/>
      <c r="CT23" s="1235"/>
      <c r="CU23" s="1235"/>
      <c r="CV23" s="1235"/>
      <c r="CW23" s="1235"/>
      <c r="CX23" s="1235"/>
      <c r="CY23" s="1235"/>
      <c r="CZ23" s="1235"/>
      <c r="DA23" s="1235"/>
      <c r="DB23" s="1235"/>
      <c r="DC23" s="1235"/>
      <c r="DD23" s="1235"/>
      <c r="DE23" s="1235"/>
      <c r="DF23" s="1235"/>
      <c r="DG23" s="1235"/>
      <c r="DH23" s="1235"/>
      <c r="DI23" s="1235"/>
      <c r="DJ23" s="1235"/>
      <c r="DK23" s="1235"/>
      <c r="DL23" s="1235"/>
      <c r="DM23" s="1235"/>
      <c r="DN23" s="1235"/>
      <c r="DO23" s="1235"/>
      <c r="DP23" s="1235"/>
      <c r="DQ23" s="1235"/>
      <c r="DR23" s="1235"/>
      <c r="DS23" s="1235"/>
      <c r="DT23" s="1235"/>
      <c r="DU23" s="1235"/>
      <c r="DV23" s="1235"/>
      <c r="DW23" s="1235"/>
      <c r="DX23" s="1235"/>
      <c r="FX23" s="1232"/>
      <c r="FY23" s="1232"/>
      <c r="FZ23" s="1232"/>
      <c r="GA23" s="1232"/>
      <c r="GB23" s="1232"/>
      <c r="GC23" s="1233">
        <v>12</v>
      </c>
    </row>
    <row customHeight="1" ht="12.75">
      <c r="S24" s="1108"/>
      <c r="T24" s="1108"/>
      <c r="U24" s="1108"/>
      <c r="V24" s="1108"/>
      <c r="W24" s="1108"/>
      <c r="X24" s="1108"/>
      <c r="Y24" s="1108"/>
      <c r="Z24" s="1108"/>
      <c r="AA24" s="1108"/>
      <c r="AB24" s="1108"/>
      <c r="FX24" s="1108"/>
      <c r="FY24" s="1108"/>
      <c r="FZ24" s="1108"/>
      <c r="GA24" s="1108"/>
      <c r="GB24" s="1108"/>
      <c r="GC24" s="1096">
        <v>12</v>
      </c>
    </row>
    <row customHeight="1" ht="12" hidden="1">
      <c r="A25" s="1096" t="s">
        <v>85</v>
      </c>
      <c r="B25" s="1106">
        <v>0</v>
      </c>
      <c r="C25" s="1096">
        <v>0</v>
      </c>
      <c r="D25" s="1096">
        <v>0</v>
      </c>
      <c r="E25" s="1096">
        <v>3</v>
      </c>
      <c r="F25" s="1096">
        <v>6</v>
      </c>
      <c r="G25" s="1096">
        <v>18</v>
      </c>
      <c r="H25" s="1096">
        <v>27</v>
      </c>
      <c r="I25" s="1096">
        <v>18</v>
      </c>
      <c r="J25" s="1096">
        <v>0</v>
      </c>
      <c r="K25" s="1096">
        <v>0</v>
      </c>
      <c r="L25" s="1096">
        <v>0</v>
      </c>
      <c r="M25" s="1096">
        <v>0</v>
      </c>
      <c r="N25" s="1096">
        <v>0</v>
      </c>
      <c r="O25" s="1096">
        <v>0</v>
      </c>
      <c r="P25" s="1096">
        <v>0</v>
      </c>
      <c r="Q25" s="1096">
        <v>0</v>
      </c>
      <c r="R25" s="1096">
        <v>0</v>
      </c>
      <c r="S25" s="1096">
        <v>0</v>
      </c>
      <c r="T25" s="1096">
        <v>0</v>
      </c>
      <c r="U25" s="1096">
        <v>0</v>
      </c>
      <c r="V25" s="1096">
        <v>0</v>
      </c>
      <c r="W25" s="1096">
        <v>0</v>
      </c>
      <c r="X25" s="1096">
        <v>0</v>
      </c>
      <c r="Y25" s="1096">
        <v>0</v>
      </c>
      <c r="Z25" s="1096">
        <v>0</v>
      </c>
      <c r="AA25" s="1096">
        <v>0</v>
      </c>
      <c r="AB25" s="1096">
        <v>0</v>
      </c>
      <c r="AC25" s="1096">
        <v>0</v>
      </c>
      <c r="AD25" s="1096">
        <v>0</v>
      </c>
      <c r="AE25" s="1096">
        <v>0</v>
      </c>
      <c r="AF25" s="1096">
        <v>0</v>
      </c>
      <c r="AG25" s="1096">
        <v>0</v>
      </c>
      <c r="AH25" s="1096">
        <v>0</v>
      </c>
      <c r="AI25" s="1096">
        <v>0</v>
      </c>
      <c r="AJ25" s="1096">
        <v>0</v>
      </c>
      <c r="AK25" s="1096">
        <v>0</v>
      </c>
      <c r="AL25" s="1096">
        <v>0</v>
      </c>
      <c r="AM25" s="1096">
        <v>0</v>
      </c>
      <c r="AN25" s="1096">
        <v>0</v>
      </c>
      <c r="AO25" s="1096">
        <v>0</v>
      </c>
      <c r="AP25" s="1096">
        <v>0</v>
      </c>
      <c r="AQ25" s="1096">
        <v>0</v>
      </c>
      <c r="AR25" s="1096">
        <v>0</v>
      </c>
      <c r="AS25" s="1096">
        <v>0</v>
      </c>
      <c r="AT25" s="1096">
        <v>0</v>
      </c>
      <c r="AU25" s="1096">
        <v>0</v>
      </c>
      <c r="AV25" s="1096">
        <v>0</v>
      </c>
      <c r="AW25" s="1096">
        <v>0</v>
      </c>
      <c r="AX25" s="1096">
        <v>0</v>
      </c>
      <c r="AY25" s="1096">
        <v>0</v>
      </c>
      <c r="AZ25" s="1096">
        <v>0</v>
      </c>
      <c r="BA25" s="1096">
        <v>0</v>
      </c>
      <c r="BB25" s="1096">
        <v>0</v>
      </c>
      <c r="BC25" s="1096">
        <v>0</v>
      </c>
      <c r="BD25" s="1096">
        <v>0</v>
      </c>
      <c r="BE25" s="1096">
        <v>0</v>
      </c>
      <c r="BF25" s="1096">
        <v>0</v>
      </c>
      <c r="BG25" s="1096">
        <v>0</v>
      </c>
      <c r="BH25" s="1096">
        <v>0</v>
      </c>
      <c r="BI25" s="1096">
        <v>0</v>
      </c>
      <c r="BJ25" s="1096">
        <v>0</v>
      </c>
      <c r="BK25" s="1096">
        <v>0</v>
      </c>
      <c r="BL25" s="1096">
        <v>0</v>
      </c>
      <c r="BM25" s="1096">
        <v>0</v>
      </c>
      <c r="BN25" s="1096">
        <v>0</v>
      </c>
      <c r="BO25" s="1096">
        <v>0</v>
      </c>
      <c r="BP25" s="1096">
        <v>0</v>
      </c>
      <c r="BQ25" s="1096">
        <v>0</v>
      </c>
      <c r="BR25" s="1096">
        <v>0</v>
      </c>
      <c r="BS25" s="1096">
        <v>0</v>
      </c>
      <c r="BT25" s="1096">
        <v>0</v>
      </c>
      <c r="BU25" s="1096">
        <v>0</v>
      </c>
      <c r="BV25" s="1096">
        <v>0</v>
      </c>
      <c r="BW25" s="1096">
        <v>0</v>
      </c>
      <c r="BX25" s="1096">
        <v>0</v>
      </c>
      <c r="BY25" s="1096">
        <v>0</v>
      </c>
      <c r="BZ25" s="1096">
        <v>0</v>
      </c>
      <c r="CA25" s="1096">
        <v>0</v>
      </c>
      <c r="CB25" s="1096">
        <v>0</v>
      </c>
      <c r="CC25" s="1096">
        <v>0</v>
      </c>
      <c r="CD25" s="1096">
        <v>0</v>
      </c>
      <c r="CE25" s="1096">
        <v>0</v>
      </c>
      <c r="CF25" s="1096">
        <v>0</v>
      </c>
      <c r="CG25" s="1096">
        <v>0</v>
      </c>
      <c r="CH25" s="1096">
        <v>0</v>
      </c>
      <c r="CI25" s="1096">
        <v>0</v>
      </c>
      <c r="CJ25" s="1096">
        <v>0</v>
      </c>
      <c r="CK25" s="1096">
        <v>0</v>
      </c>
      <c r="CL25" s="1096">
        <v>0</v>
      </c>
      <c r="CM25" s="1096">
        <v>0</v>
      </c>
      <c r="CN25" s="1096">
        <v>0</v>
      </c>
      <c r="CO25" s="1096">
        <v>0</v>
      </c>
      <c r="CP25" s="1096">
        <v>0</v>
      </c>
      <c r="CQ25" s="1096">
        <v>0</v>
      </c>
      <c r="CR25" s="1096">
        <v>0</v>
      </c>
      <c r="CS25" s="1096">
        <v>0</v>
      </c>
      <c r="CT25" s="1096">
        <v>0</v>
      </c>
      <c r="CU25" s="1096">
        <v>0</v>
      </c>
      <c r="CV25" s="1096">
        <v>0</v>
      </c>
      <c r="CW25" s="1096">
        <v>0</v>
      </c>
      <c r="CX25" s="1096">
        <v>0</v>
      </c>
      <c r="CY25" s="1096">
        <v>0</v>
      </c>
      <c r="CZ25" s="1096">
        <v>0</v>
      </c>
      <c r="DA25" s="1096">
        <v>0</v>
      </c>
      <c r="DB25" s="1096">
        <v>0</v>
      </c>
      <c r="DC25" s="1096">
        <v>0</v>
      </c>
      <c r="DD25" s="1096">
        <v>0</v>
      </c>
      <c r="DE25" s="1096">
        <v>0</v>
      </c>
      <c r="DF25" s="1096">
        <v>0</v>
      </c>
      <c r="DG25" s="1096">
        <v>0</v>
      </c>
      <c r="DH25" s="1096">
        <v>0</v>
      </c>
      <c r="DI25" s="1096">
        <v>0</v>
      </c>
      <c r="DJ25" s="1096">
        <v>0</v>
      </c>
      <c r="DK25" s="1096">
        <v>0</v>
      </c>
      <c r="DL25" s="1096">
        <v>0</v>
      </c>
      <c r="DM25" s="1096">
        <v>0</v>
      </c>
      <c r="DN25" s="1096">
        <v>0</v>
      </c>
      <c r="DO25" s="1096">
        <v>0</v>
      </c>
      <c r="DP25" s="1096">
        <v>0</v>
      </c>
      <c r="DQ25" s="1096">
        <v>0</v>
      </c>
      <c r="DR25" s="1096">
        <v>0</v>
      </c>
      <c r="DS25" s="1096">
        <v>0</v>
      </c>
      <c r="DT25" s="1096">
        <v>0</v>
      </c>
      <c r="DU25" s="1096">
        <v>0</v>
      </c>
      <c r="DV25" s="1096">
        <v>0</v>
      </c>
      <c r="DW25" s="1096">
        <v>0</v>
      </c>
      <c r="DX25" s="1096">
        <v>0</v>
      </c>
      <c r="DY25" s="1096">
        <v>0</v>
      </c>
      <c r="DZ25" s="1096">
        <v>0</v>
      </c>
      <c r="EA25" s="1096">
        <v>0</v>
      </c>
      <c r="EB25" s="1096">
        <v>0</v>
      </c>
      <c r="EC25" s="1096">
        <v>0</v>
      </c>
      <c r="ED25" s="1096">
        <v>0</v>
      </c>
      <c r="EE25" s="1096">
        <v>0</v>
      </c>
      <c r="EF25" s="1096">
        <v>0</v>
      </c>
      <c r="EG25" s="1096">
        <v>0</v>
      </c>
      <c r="EH25" s="1096">
        <v>0</v>
      </c>
      <c r="EI25" s="1096">
        <v>0</v>
      </c>
      <c r="EJ25" s="1096">
        <v>0</v>
      </c>
      <c r="EK25" s="1096">
        <v>0</v>
      </c>
      <c r="EL25" s="1096">
        <v>0</v>
      </c>
      <c r="EM25" s="1096">
        <v>0</v>
      </c>
      <c r="EN25" s="1096">
        <v>0</v>
      </c>
      <c r="EO25" s="1096">
        <v>0</v>
      </c>
      <c r="EP25" s="1096">
        <v>0</v>
      </c>
      <c r="EQ25" s="1096">
        <v>0</v>
      </c>
      <c r="ER25" s="1096">
        <v>0</v>
      </c>
      <c r="ES25" s="1096">
        <v>0</v>
      </c>
      <c r="ET25" s="1096">
        <v>0</v>
      </c>
      <c r="EU25" s="1096">
        <v>0</v>
      </c>
      <c r="EV25" s="1096">
        <v>0</v>
      </c>
      <c r="EW25" s="1096">
        <v>0</v>
      </c>
      <c r="EX25" s="1096">
        <v>0</v>
      </c>
      <c r="EY25" s="1096">
        <v>0</v>
      </c>
      <c r="EZ25" s="1096">
        <v>0</v>
      </c>
      <c r="FA25" s="1096">
        <v>0</v>
      </c>
      <c r="FB25" s="1096">
        <v>0</v>
      </c>
      <c r="FC25" s="1096">
        <v>0</v>
      </c>
      <c r="FD25" s="1096">
        <v>0</v>
      </c>
      <c r="FE25" s="1096">
        <v>0</v>
      </c>
      <c r="FF25" s="1096">
        <v>0</v>
      </c>
      <c r="FG25" s="1096">
        <v>0</v>
      </c>
      <c r="FH25" s="1096">
        <v>0</v>
      </c>
      <c r="FI25" s="1096">
        <v>0</v>
      </c>
      <c r="FJ25" s="1096">
        <v>0</v>
      </c>
      <c r="FK25" s="1096">
        <v>0</v>
      </c>
      <c r="FL25" s="1096">
        <v>0</v>
      </c>
      <c r="FM25" s="1096">
        <v>0</v>
      </c>
      <c r="FN25" s="1096">
        <v>0</v>
      </c>
      <c r="FO25" s="1096">
        <v>0</v>
      </c>
      <c r="FP25" s="1096">
        <v>0</v>
      </c>
      <c r="FQ25" s="1096">
        <v>0</v>
      </c>
      <c r="FR25" s="1096">
        <v>0</v>
      </c>
      <c r="FS25" s="1096">
        <v>0</v>
      </c>
      <c r="FT25" s="1096">
        <v>0</v>
      </c>
      <c r="FU25" s="1096">
        <v>0</v>
      </c>
      <c r="FV25" s="1096">
        <v>0</v>
      </c>
      <c r="FW25" s="1096">
        <v>0</v>
      </c>
      <c r="FX25" s="1096">
        <v>8</v>
      </c>
      <c r="FY25" s="1096">
        <v>8</v>
      </c>
      <c r="FZ25" s="1096">
        <v>8</v>
      </c>
      <c r="GA25" s="1096">
        <v>8</v>
      </c>
      <c r="GB25" s="1096">
        <v>8</v>
      </c>
      <c r="GC25" s="109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9AF579-3FDD-28E2-1706-A9BBEABEFFC1}"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1877" width="9.140625" hidden="1" customWidth="1"/>
    <col min="2" max="2" style="11913" width="9.140625" hidden="1" customWidth="1"/>
    <col min="3" max="3" style="14793" width="4.00390625" customWidth="1"/>
    <col min="4" max="4" style="11913" width="6.00390625" customWidth="1"/>
    <col min="5" max="5" style="11913" width="36.00390625" customWidth="1"/>
    <col min="6" max="6" style="11913" width="9.00390625" customWidth="1"/>
    <col min="7" max="7" style="11913" width="42.421875" hidden="1" customWidth="1"/>
    <col min="8" max="8" style="11913" width="40.7109375" customWidth="1"/>
    <col min="9" max="9" style="11992" width="93.00390625" customWidth="1"/>
    <col min="10" max="17" style="11913" width="10.00390625" customWidth="1"/>
    <col min="18" max="18" style="14794" width="10.00390625" customWidth="1"/>
    <col min="19" max="19" style="11913" width="10.57421875" hidden="1"/>
  </cols>
  <sheetData>
    <row s="11992" customFormat="1" customHeight="1" ht="15" hidden="1">
      <c r="C1" s="842"/>
      <c r="H1" s="587">
        <v>4</v>
      </c>
      <c r="R1" s="590"/>
      <c r="S1" s="587" t="s">
        <v>14</v>
      </c>
    </row>
    <row customHeight="1" ht="22.5" hidden="1">
      <c r="C2" s="2098" t="s">
        <v>437</v>
      </c>
      <c r="D2" s="709"/>
      <c r="E2" s="833"/>
      <c r="F2" s="1931" t="str">
        <f>IF(TEMPLATE_SPHERE="HEAT","Гкал/час","тыс. куб. м/сутки")</f>
        <v>Гкал/час</v>
      </c>
      <c r="G2" s="850"/>
      <c r="H2" s="850"/>
      <c r="I2" s="459"/>
      <c r="S2" s="675">
        <v>0</v>
      </c>
    </row>
    <row s="11992" customFormat="1" customHeight="1" ht="15" hidden="1">
      <c r="C3" s="842"/>
      <c r="R3" s="590"/>
      <c r="S3" s="587">
        <v>0</v>
      </c>
    </row>
    <row customHeight="1" ht="15.75">
      <c r="C4" s="346"/>
      <c r="D4" s="679"/>
      <c r="E4" s="679"/>
      <c r="F4" s="679"/>
      <c r="G4" s="679"/>
      <c r="H4" s="679"/>
      <c r="S4" s="675">
        <v>15</v>
      </c>
    </row>
    <row customHeight="1" ht="39.75">
      <c r="C5" s="346"/>
      <c r="D5" s="240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407"/>
      <c r="F5" s="2407"/>
      <c r="G5" s="2407"/>
      <c r="H5" s="2407"/>
      <c r="I5" s="707"/>
      <c r="S5" s="675">
        <v>38</v>
      </c>
    </row>
    <row customHeight="1" ht="15.75">
      <c r="C6" s="346"/>
      <c r="D6" s="2346" t="str">
        <f>IF(org=0,"Не определено",org)</f>
        <v>Филиал "Шатурская ГРЭС" ПАО "Юнипро"</v>
      </c>
      <c r="E6" s="2346"/>
      <c r="F6" s="2346"/>
      <c r="G6" s="2346"/>
      <c r="H6" s="2346"/>
      <c r="I6" s="707"/>
      <c r="S6" s="675">
        <v>15</v>
      </c>
    </row>
    <row s="11913" customFormat="1" customHeight="1" ht="15.75">
      <c r="A7" s="929"/>
      <c r="C7" s="346"/>
      <c r="D7" s="846"/>
      <c r="E7" s="846"/>
      <c r="F7" s="846"/>
      <c r="G7" s="846"/>
      <c r="H7" s="922"/>
      <c r="I7" s="707"/>
      <c r="R7" s="845"/>
      <c r="S7" s="928">
        <v>15</v>
      </c>
    </row>
    <row customHeight="1" ht="1.05">
      <c r="C8" s="346"/>
      <c r="D8" s="679"/>
      <c r="E8" s="679"/>
      <c r="F8" s="679"/>
      <c r="G8" s="679"/>
      <c r="H8" s="707" t="s">
        <v>120</v>
      </c>
      <c r="S8" s="675">
        <v>1</v>
      </c>
    </row>
    <row customHeight="1" ht="15.75">
      <c r="C9" s="346"/>
      <c r="D9" s="881"/>
      <c r="E9" s="2537" t="s">
        <v>108</v>
      </c>
      <c r="F9" s="2538"/>
      <c r="G9" s="986" t="str">
        <f>IF(G8="","",INDEX(DIFFERENTIATION_UNMERGE_VD,MATCH(G8,DIFFERENTIATION_ID_DIFF,0)))</f>
        <v/>
      </c>
      <c r="H9" s="986">
        <f>IF(H8="","",INDEX(DIFFERENTIATION_UNMERGE_VD,MATCH(H8,DIFFERENTIATION_ID_DIFF,0)))</f>
        <v>0</v>
      </c>
      <c r="I9" s="2297" t="s">
        <v>313</v>
      </c>
      <c r="S9" s="675">
        <v>15</v>
      </c>
    </row>
    <row s="11913" customFormat="1" customHeight="1" ht="15.75">
      <c r="A10" s="929"/>
      <c r="C10" s="346"/>
      <c r="D10" s="881"/>
      <c r="E10" s="2537" t="s">
        <v>579</v>
      </c>
      <c r="F10" s="2538"/>
      <c r="G10" s="986" t="str">
        <f>IF(G8="","",INDEX(DIFFERENTIATION_UNMERGE_AREA,MATCH(G8,DIFFERENTIATION_ID_DIFF,0)))</f>
        <v/>
      </c>
      <c r="H10" s="986" t="str">
        <f>IF(H8="","",INDEX(DIFFERENTIATION_UNMERGE_AREA,MATCH(H8,DIFFERENTIATION_ID_DIFF,0)))</f>
        <v/>
      </c>
      <c r="I10" s="2297"/>
      <c r="R10" s="845"/>
      <c r="S10" s="928">
        <v>15</v>
      </c>
    </row>
    <row s="11913" customFormat="1" customHeight="1" ht="15.75">
      <c r="A11" s="929"/>
      <c r="C11" s="346"/>
      <c r="D11" s="881"/>
      <c r="E11" s="2537" t="s">
        <v>580</v>
      </c>
      <c r="F11" s="2538"/>
      <c r="G11" s="986" t="str">
        <f>IF(G8="","",INDEX(DIFFERENTIATION_UNMERGE_SYSTEM,MATCH(G8,DIFFERENTIATION_ID_DIFF,0)))</f>
        <v/>
      </c>
      <c r="H11" s="986" t="str">
        <f>IF(H8="","",INDEX(DIFFERENTIATION_UNMERGE_SYSTEM,MATCH(H8,DIFFERENTIATION_ID_DIFF,0)))</f>
        <v>без дифференциации</v>
      </c>
      <c r="I11" s="2297"/>
      <c r="R11" s="845"/>
      <c r="S11" s="928">
        <v>15</v>
      </c>
    </row>
    <row s="11913" customFormat="1" customHeight="1" ht="15.75">
      <c r="A12" s="929"/>
      <c r="C12" s="346"/>
      <c r="D12" s="2539" t="s">
        <v>312</v>
      </c>
      <c r="E12" s="2540"/>
      <c r="F12" s="2540"/>
      <c r="G12" s="1057"/>
      <c r="H12" s="1057"/>
      <c r="I12" s="2297"/>
      <c r="R12" s="845"/>
      <c r="S12" s="928">
        <v>15</v>
      </c>
    </row>
    <row customHeight="1" ht="35.699999999999996">
      <c r="C13" s="346"/>
      <c r="D13" s="931" t="s">
        <v>91</v>
      </c>
      <c r="E13" s="930" t="s">
        <v>314</v>
      </c>
      <c r="F13" s="930" t="s">
        <v>581</v>
      </c>
      <c r="G13" s="978" t="s">
        <v>315</v>
      </c>
      <c r="H13" s="924" t="s">
        <v>315</v>
      </c>
      <c r="I13" s="2297"/>
      <c r="S13" s="675">
        <v>34</v>
      </c>
    </row>
    <row customHeight="1" ht="15" hidden="1">
      <c r="C14" s="346"/>
      <c r="D14" s="763" t="s">
        <v>112</v>
      </c>
      <c r="E14" s="763" t="s">
        <v>113</v>
      </c>
      <c r="F14" s="763" t="s">
        <v>93</v>
      </c>
      <c r="G14" s="829" t="str">
        <f>G1&amp;".1"</f>
        <v>.1</v>
      </c>
      <c r="H14" s="829" t="str">
        <f>H1&amp;".1"</f>
        <v>4.1</v>
      </c>
      <c r="I14" s="459"/>
      <c r="S14" s="675">
        <v>0</v>
      </c>
    </row>
    <row customHeight="1" ht="15.75">
      <c r="A15" s="675"/>
      <c r="C15" s="696"/>
      <c r="D15" s="691">
        <v>1</v>
      </c>
      <c r="E15" s="2100" t="str">
        <f>TP_P_A</f>
        <v>Количество поданных заявок</v>
      </c>
      <c r="F15" s="691" t="s">
        <v>1129</v>
      </c>
      <c r="G15" s="855"/>
      <c r="H15" s="855"/>
      <c r="I15" s="37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675">
        <v>15</v>
      </c>
    </row>
    <row customHeight="1" ht="15.75">
      <c r="A16" s="675"/>
      <c r="C16" s="696"/>
      <c r="D16" s="691">
        <v>2</v>
      </c>
      <c r="E16" s="2100" t="str">
        <f>TP_P_B</f>
        <v>Количество рассмотренных заявок</v>
      </c>
      <c r="F16" s="691" t="s">
        <v>1129</v>
      </c>
      <c r="G16" s="855"/>
      <c r="H16" s="855"/>
      <c r="I16" s="37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675">
        <v>15</v>
      </c>
    </row>
    <row customHeight="1" ht="77.7">
      <c r="A17" s="675"/>
      <c r="C17" s="696"/>
      <c r="D17" s="691">
        <v>3</v>
      </c>
      <c r="E17" s="210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691" t="s">
        <v>1129</v>
      </c>
      <c r="G17" s="855"/>
      <c r="H17" s="855"/>
      <c r="I17" s="378" t="str">
        <f>TP_P_NOTE_V</f>
        <v>Указывается количество заявок с решением об отказе в течение отчетного квартала.</v>
      </c>
      <c r="S17" s="675">
        <v>74</v>
      </c>
    </row>
    <row customHeight="1" ht="54.75">
      <c r="A18" s="675"/>
      <c r="C18" s="696"/>
      <c r="D18" s="691">
        <v>4</v>
      </c>
      <c r="E18" s="2100" t="str">
        <f>TP_P_V_1</f>
        <v>Причины отказа в заключении договора о подключении (технологическом присоединении) к системе теплоснабжения</v>
      </c>
      <c r="F18" s="691" t="s">
        <v>318</v>
      </c>
      <c r="G18" s="856"/>
      <c r="H18" s="856"/>
      <c r="I18" s="100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675">
        <v>52</v>
      </c>
    </row>
    <row customHeight="1" ht="60">
      <c r="A19" s="675"/>
      <c r="C19" s="696"/>
      <c r="D19" s="691">
        <v>5</v>
      </c>
      <c r="E19" s="2100" t="str">
        <f>TP_P_G</f>
        <v>Резерв мощности источников тепловой энергии, входящих в систему теплоснабжения, в течение одного квартала, в том числе:</v>
      </c>
      <c r="F19" s="691" t="str">
        <f>IF(TEMPLATE_SPHERE="HEAT","Гкал/час","тыс. куб. м/сутки")</f>
        <v>Гкал/час</v>
      </c>
      <c r="G19" s="857">
        <f>SUM(G20:G22)</f>
        <v>0</v>
      </c>
      <c r="H19" s="857">
        <f>SUM(H20:H22)</f>
        <v>0</v>
      </c>
      <c r="I19" s="37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675">
        <v>57</v>
      </c>
    </row>
    <row customHeight="1" ht="15" hidden="1">
      <c r="D20" s="679" t="s">
        <v>1130</v>
      </c>
      <c r="E20" s="858"/>
      <c r="F20" s="679"/>
      <c r="G20" s="679"/>
      <c r="H20" s="679"/>
      <c r="I20" s="1933"/>
      <c r="S20" s="675">
        <v>0</v>
      </c>
    </row>
    <row customHeight="1" ht="29.25">
      <c r="C21" s="621"/>
      <c r="D21" s="709" t="s">
        <v>325</v>
      </c>
      <c r="E21" s="840"/>
      <c r="F21" s="1931" t="str">
        <f>IF(TEMPLATE_SPHERE="HEAT","Гкал/час","тыс. куб. м/сутки")</f>
        <v>Гкал/час</v>
      </c>
      <c r="G21" s="850"/>
      <c r="H21" s="850"/>
      <c r="I21" s="233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675">
        <v>28</v>
      </c>
    </row>
    <row customHeight="1" ht="15.75">
      <c r="A22" s="675"/>
      <c r="C22" s="675"/>
      <c r="D22" s="517"/>
      <c r="E22" s="750" t="s">
        <v>1131</v>
      </c>
      <c r="F22" s="742"/>
      <c r="G22" s="742"/>
      <c r="H22" s="742"/>
      <c r="I22" s="2341"/>
      <c r="R22" s="675"/>
      <c r="S22" s="675">
        <v>15</v>
      </c>
    </row>
    <row customHeight="1" ht="22.5" hidden="1">
      <c r="A23" s="619" t="s">
        <v>85</v>
      </c>
      <c r="B23" s="675">
        <v>0</v>
      </c>
      <c r="C23" s="853">
        <v>4</v>
      </c>
      <c r="D23" s="675">
        <v>6</v>
      </c>
      <c r="E23" s="675">
        <v>36</v>
      </c>
      <c r="F23" s="675">
        <v>9</v>
      </c>
      <c r="G23" s="928">
        <v>0</v>
      </c>
      <c r="H23" s="675">
        <v>40</v>
      </c>
      <c r="I23" s="587">
        <v>93</v>
      </c>
      <c r="J23" s="675">
        <v>10</v>
      </c>
      <c r="K23" s="675">
        <v>10</v>
      </c>
      <c r="L23" s="675">
        <v>10</v>
      </c>
      <c r="M23" s="675">
        <v>10</v>
      </c>
      <c r="N23" s="675">
        <v>10</v>
      </c>
      <c r="O23" s="675">
        <v>10</v>
      </c>
      <c r="P23" s="675">
        <v>10</v>
      </c>
      <c r="Q23" s="675">
        <v>10</v>
      </c>
      <c r="R23" s="845">
        <v>10</v>
      </c>
      <c r="S23" s="67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B42DB1-2709-EB6A-5D7D-769F23207804}"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13390" width="9.140625" hidden="1" customWidth="1"/>
    <col min="2" max="2" style="11992" width="9.140625" hidden="1" customWidth="1"/>
    <col min="3" max="3" style="13391" width="3.00390625" customWidth="1"/>
    <col min="4" max="4" style="11913" width="6.00390625" customWidth="1"/>
    <col min="5" max="6" style="11913" width="64.00390625" customWidth="1"/>
    <col min="7" max="7" style="11913" width="140.00390625" customWidth="1"/>
    <col min="8" max="8" style="11913" width="10.00390625" customWidth="1"/>
    <col min="9" max="10" style="12082" width="10.00390625" customWidth="1"/>
    <col min="11" max="16" style="11913" width="10.00390625" customWidth="1"/>
    <col min="17" max="17" style="11913" width="10.57421875" hidden="1"/>
  </cols>
  <sheetData>
    <row customHeight="1" ht="22.5" hidden="1">
      <c r="M1" s="425"/>
      <c r="N1" s="425"/>
      <c r="P1" s="425"/>
      <c r="Q1" s="253" t="s">
        <v>14</v>
      </c>
    </row>
    <row customHeight="1" ht="14.25" hidden="1">
      <c r="Q2" s="253">
        <v>0</v>
      </c>
    </row>
    <row customHeight="1" ht="14.25" hidden="1">
      <c r="Q3" s="253">
        <v>0</v>
      </c>
    </row>
    <row customHeight="1" ht="3">
      <c r="C4" s="266"/>
      <c r="D4" s="254"/>
      <c r="E4" s="254"/>
      <c r="F4" s="255"/>
      <c r="G4" s="255"/>
      <c r="Q4" s="253">
        <v>3</v>
      </c>
    </row>
    <row customHeight="1" ht="29.25">
      <c r="C5" s="266"/>
      <c r="D5" s="262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625"/>
      <c r="F5" s="2625"/>
      <c r="G5" s="2626"/>
      <c r="Q5" s="253">
        <v>28</v>
      </c>
    </row>
    <row s="11913" customFormat="1" customHeight="1" ht="18.75">
      <c r="A6" s="1052"/>
      <c r="B6" s="587"/>
      <c r="C6" s="546"/>
      <c r="D6" s="2627" t="str">
        <f>IF(org=0,"Не определено",org)</f>
        <v>Филиал "Шатурская ГРЭС" ПАО "Юнипро"</v>
      </c>
      <c r="E6" s="2628"/>
      <c r="F6" s="2628"/>
      <c r="G6" s="2629"/>
      <c r="I6" s="670"/>
      <c r="J6" s="670"/>
      <c r="Q6" s="928">
        <v>18</v>
      </c>
    </row>
    <row customHeight="1" ht="14.699999999999998">
      <c r="C7" s="266"/>
      <c r="D7" s="254"/>
      <c r="E7" s="265"/>
      <c r="F7" s="922"/>
      <c r="G7" s="363"/>
      <c r="Q7" s="253">
        <v>14</v>
      </c>
    </row>
    <row s="11913" customFormat="1" customHeight="1" ht="1.05">
      <c r="A8" s="1839"/>
      <c r="B8" s="1330"/>
      <c r="C8" s="546"/>
      <c r="D8" s="533"/>
      <c r="E8" s="559"/>
      <c r="F8" s="922"/>
      <c r="G8" s="363"/>
      <c r="I8" s="1794"/>
      <c r="J8" s="1794"/>
      <c r="Q8" s="1801">
        <v>1</v>
      </c>
    </row>
    <row customHeight="1" ht="14.699999999999998">
      <c r="C9" s="266"/>
      <c r="D9" s="2379" t="s">
        <v>312</v>
      </c>
      <c r="E9" s="2379"/>
      <c r="F9" s="2379"/>
      <c r="G9" s="2559" t="s">
        <v>313</v>
      </c>
      <c r="Q9" s="253">
        <v>14</v>
      </c>
    </row>
    <row customHeight="1" ht="24">
      <c r="C10" s="266"/>
      <c r="D10" s="275" t="s">
        <v>91</v>
      </c>
      <c r="E10" s="278" t="s">
        <v>314</v>
      </c>
      <c r="F10" s="278" t="s">
        <v>402</v>
      </c>
      <c r="G10" s="2559"/>
      <c r="Q10" s="253">
        <v>23</v>
      </c>
    </row>
    <row customHeight="1" ht="12" hidden="1">
      <c r="C11" s="266"/>
      <c r="D11" s="257"/>
      <c r="E11" s="257"/>
      <c r="F11" s="257"/>
      <c r="G11" s="257"/>
      <c r="Q11" s="253">
        <v>0</v>
      </c>
    </row>
    <row customHeight="1" ht="65.25">
      <c r="A12" s="362"/>
      <c r="C12" s="266"/>
      <c r="D12" s="317">
        <v>1</v>
      </c>
      <c r="E12" s="36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368" t="s">
        <v>318</v>
      </c>
      <c r="G12" s="321"/>
      <c r="Q12" s="253">
        <v>62</v>
      </c>
    </row>
    <row customHeight="1" ht="24">
      <c r="A13" s="362"/>
      <c r="C13" s="266"/>
      <c r="D13" s="317" t="s">
        <v>1036</v>
      </c>
      <c r="E13" s="36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368" t="s">
        <v>318</v>
      </c>
      <c r="G13" s="321"/>
      <c r="Q13" s="253">
        <v>23</v>
      </c>
    </row>
    <row customHeight="1" ht="14.699999999999998">
      <c r="A14" s="362"/>
      <c r="C14" s="266"/>
      <c r="D14" s="317" t="s">
        <v>1072</v>
      </c>
      <c r="E14" s="365"/>
      <c r="F14" s="383"/>
      <c r="G14" s="233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53">
        <v>14</v>
      </c>
    </row>
    <row customHeight="1" ht="15.75">
      <c r="A15" s="362"/>
      <c r="C15" s="266"/>
      <c r="D15" s="279"/>
      <c r="E15" s="519" t="s">
        <v>1132</v>
      </c>
      <c r="F15" s="371"/>
      <c r="G15" s="2341"/>
      <c r="Q15" s="253">
        <v>15</v>
      </c>
    </row>
    <row customHeight="1" ht="14.699999999999998">
      <c r="A16" s="362"/>
      <c r="C16" s="266"/>
      <c r="D16" s="317" t="s">
        <v>1038</v>
      </c>
      <c r="E16" s="36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368" t="s">
        <v>318</v>
      </c>
      <c r="G16" s="507"/>
      <c r="Q16" s="253">
        <v>14</v>
      </c>
    </row>
    <row customHeight="1" ht="14.699999999999998">
      <c r="A17" s="362"/>
      <c r="C17" s="266"/>
      <c r="D17" s="317" t="s">
        <v>1080</v>
      </c>
      <c r="E17" s="365"/>
      <c r="F17" s="555"/>
      <c r="G17" s="233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53">
        <v>14</v>
      </c>
    </row>
    <row s="11913" customFormat="1" customHeight="1" ht="22.049999999999997">
      <c r="A18" s="513"/>
      <c r="B18" s="316"/>
      <c r="C18" s="477"/>
      <c r="D18" s="517"/>
      <c r="E18" s="519" t="s">
        <v>1133</v>
      </c>
      <c r="F18" s="508"/>
      <c r="G18" s="2341"/>
      <c r="I18" s="520"/>
      <c r="J18" s="520"/>
      <c r="Q18" s="512">
        <v>21</v>
      </c>
    </row>
    <row s="11913" customFormat="1" customHeight="1" ht="256.5" hidden="1">
      <c r="A19" s="513"/>
      <c r="B19" s="587"/>
      <c r="C19" s="546"/>
      <c r="D19" s="1054" t="s">
        <v>1040</v>
      </c>
      <c r="E19" s="1053" t="s">
        <v>1134</v>
      </c>
      <c r="F19" s="555"/>
      <c r="G19" s="507" t="s">
        <v>1135</v>
      </c>
      <c r="I19" s="670"/>
      <c r="J19" s="670"/>
      <c r="Q19" s="928">
        <v>0</v>
      </c>
    </row>
    <row s="11913" customFormat="1" customHeight="1" ht="14.699999999999998">
      <c r="A20" s="513"/>
      <c r="B20" s="316"/>
      <c r="C20" s="477"/>
      <c r="D20" s="1055">
        <v>2</v>
      </c>
      <c r="E20" s="500" t="s">
        <v>1136</v>
      </c>
      <c r="F20" s="368" t="s">
        <v>318</v>
      </c>
      <c r="G20" s="507"/>
      <c r="I20" s="520"/>
      <c r="J20" s="520"/>
      <c r="Q20" s="512">
        <v>14</v>
      </c>
    </row>
    <row s="11913" customFormat="1" customHeight="1" ht="18.75" hidden="1">
      <c r="A21" s="513"/>
      <c r="B21" s="316"/>
      <c r="C21" s="477"/>
      <c r="D21" s="503" t="s">
        <v>651</v>
      </c>
      <c r="E21" s="502"/>
      <c r="F21" s="501"/>
      <c r="G21" s="511"/>
      <c r="H21" s="504"/>
      <c r="I21" s="520"/>
      <c r="J21" s="520"/>
      <c r="Q21" s="512">
        <v>0</v>
      </c>
    </row>
    <row customHeight="1" ht="15.75">
      <c r="A22" s="362"/>
      <c r="C22" s="266"/>
      <c r="D22" s="279"/>
      <c r="E22" s="373" t="s">
        <v>334</v>
      </c>
      <c r="F22" s="508"/>
      <c r="G22" s="509"/>
      <c r="Q22" s="253">
        <v>15</v>
      </c>
    </row>
    <row s="11913" customFormat="1" customHeight="1" ht="22.5" hidden="1">
      <c r="A23" s="513"/>
      <c r="B23" s="1330"/>
      <c r="C23" s="546"/>
      <c r="D23" s="1843" t="s">
        <v>113</v>
      </c>
      <c r="E23" s="367" t="s">
        <v>1137</v>
      </c>
      <c r="F23" s="1840" t="s">
        <v>318</v>
      </c>
      <c r="G23" s="515"/>
      <c r="I23" s="1794"/>
      <c r="J23" s="1794"/>
      <c r="Q23" s="1801">
        <v>0</v>
      </c>
    </row>
    <row s="11913" customFormat="1" customHeight="1" ht="14.25" hidden="1">
      <c r="A24" s="513"/>
      <c r="B24" s="1330"/>
      <c r="C24" s="546"/>
      <c r="D24" s="1843" t="s">
        <v>723</v>
      </c>
      <c r="E24" s="1842" t="s">
        <v>1138</v>
      </c>
      <c r="F24" s="1840" t="s">
        <v>318</v>
      </c>
      <c r="G24" s="507"/>
      <c r="I24" s="1794"/>
      <c r="J24" s="1794"/>
      <c r="Q24" s="1801">
        <v>0</v>
      </c>
    </row>
    <row s="11913" customFormat="1" customHeight="1" ht="14.25" hidden="1">
      <c r="A25" s="513"/>
      <c r="B25" s="1330"/>
      <c r="C25" s="546"/>
      <c r="D25" s="1843" t="s">
        <v>726</v>
      </c>
      <c r="E25" s="365"/>
      <c r="F25" s="555"/>
      <c r="G25" s="2339" t="s">
        <v>1139</v>
      </c>
      <c r="I25" s="1794"/>
      <c r="J25" s="1794"/>
      <c r="Q25" s="1801">
        <v>0</v>
      </c>
    </row>
    <row s="11913" customFormat="1" customHeight="1" ht="22.5" hidden="1">
      <c r="A26" s="513"/>
      <c r="B26" s="1330"/>
      <c r="C26" s="546"/>
      <c r="D26" s="517"/>
      <c r="E26" s="519" t="s">
        <v>1140</v>
      </c>
      <c r="F26" s="508"/>
      <c r="G26" s="2341"/>
      <c r="I26" s="1794"/>
      <c r="J26" s="1794"/>
      <c r="Q26" s="1801">
        <v>0</v>
      </c>
    </row>
    <row customHeight="1" ht="3">
      <c r="Q27" s="253">
        <v>3</v>
      </c>
    </row>
    <row customHeight="1" ht="14.699999999999998">
      <c r="D28" s="506"/>
      <c r="E28" s="505"/>
      <c r="F28" s="485"/>
      <c r="G28" s="485"/>
      <c r="H28" s="485"/>
      <c r="I28" s="485"/>
      <c r="J28" s="485"/>
      <c r="K28" s="485"/>
      <c r="L28" s="485"/>
      <c r="M28" s="485"/>
      <c r="N28" s="485"/>
      <c r="O28" s="485"/>
      <c r="P28" s="485"/>
      <c r="Q28" s="253">
        <v>14</v>
      </c>
    </row>
    <row customHeight="1" ht="14.699999999999998">
      <c r="D29" s="506"/>
      <c r="E29" s="752"/>
      <c r="Q29" s="253">
        <v>14</v>
      </c>
    </row>
    <row customHeight="1" ht="14.699999999999998">
      <c r="Q30" s="253">
        <v>14</v>
      </c>
    </row>
    <row customHeight="1" ht="14.699999999999998">
      <c r="E31" s="928"/>
      <c r="Q31" s="253">
        <v>14</v>
      </c>
    </row>
    <row customHeight="1" ht="22.5" hidden="1">
      <c r="A32" s="271" t="s">
        <v>85</v>
      </c>
      <c r="B32" s="316">
        <v>0</v>
      </c>
      <c r="C32" s="267">
        <v>3</v>
      </c>
      <c r="D32" s="253">
        <v>6</v>
      </c>
      <c r="E32" s="253">
        <v>64</v>
      </c>
      <c r="F32" s="253">
        <v>64</v>
      </c>
      <c r="G32" s="253">
        <v>140</v>
      </c>
      <c r="H32" s="253">
        <v>10</v>
      </c>
      <c r="I32" s="325">
        <v>10</v>
      </c>
      <c r="J32" s="325">
        <v>10</v>
      </c>
      <c r="K32" s="253">
        <v>10</v>
      </c>
      <c r="L32" s="253">
        <v>10</v>
      </c>
      <c r="M32" s="253">
        <v>10</v>
      </c>
      <c r="N32" s="253">
        <v>10</v>
      </c>
      <c r="O32" s="253">
        <v>10</v>
      </c>
      <c r="P32" s="253">
        <v>10</v>
      </c>
      <c r="Q32" s="25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06563A-F73A-83B9-09DC-70D72C08F8BA}" mc:Ignorable="x14ac xr xr2 xr3">
  <sheetPr>
    <tabColor theme="6" tint="0.4"/>
  </sheetPr>
  <dimension ref="A1:M45"/>
  <sheetViews>
    <sheetView topLeftCell="C13" showGridLines="0" zoomScale="90" workbookViewId="0" tabSelected="1">
      <selection activeCell="E44" sqref="E44:I44"/>
    </sheetView>
  </sheetViews>
  <sheetFormatPr defaultColWidth="10.57421875" customHeight="1" defaultRowHeight="14.25"/>
  <cols>
    <col min="1" max="1" style="13389" width="9.140625" hidden="1" customWidth="1"/>
    <col min="2" max="2" style="11992" width="9.140625" hidden="1" customWidth="1"/>
    <col min="3" max="3" style="13391" width="3.00390625" customWidth="1"/>
    <col min="4" max="4" style="11913" width="6.00390625" customWidth="1"/>
    <col min="5" max="5" style="11913" width="63.00390625" customWidth="1"/>
    <col min="6" max="6" style="11913" width="1.7109375" hidden="1" customWidth="1"/>
    <col min="7" max="7" style="11913" width="84.28125" customWidth="1"/>
    <col min="8" max="8" style="11913" width="35.00390625" customWidth="1"/>
    <col min="9" max="9" style="11913" width="91.00390625" customWidth="1"/>
    <col min="10" max="10" style="11913" width="68.00390625" customWidth="1"/>
    <col min="11" max="12" style="12082" width="10.00390625" customWidth="1"/>
    <col min="13" max="13" style="11913" width="10.57421875" hidden="1"/>
  </cols>
  <sheetData>
    <row customHeight="1" ht="22.5" hidden="1">
      <c r="M1" s="253" t="s">
        <v>14</v>
      </c>
    </row>
    <row s="11913" customFormat="1" customHeight="1" ht="18.75" hidden="1">
      <c r="A2" s="1853"/>
      <c r="B2" s="1330"/>
      <c r="C2" s="1900" t="s">
        <v>437</v>
      </c>
      <c r="D2" s="1843"/>
      <c r="E2" s="369"/>
      <c r="F2" s="1840"/>
      <c r="G2" s="1840" t="s">
        <v>318</v>
      </c>
      <c r="H2" s="1331"/>
      <c r="K2" s="1794"/>
      <c r="L2" s="1794"/>
      <c r="M2" s="1801">
        <v>0</v>
      </c>
    </row>
    <row s="11913" customFormat="1" customHeight="1" ht="14.25" hidden="1">
      <c r="A3" s="1532"/>
      <c r="B3" s="1330"/>
      <c r="C3" s="514"/>
      <c r="K3" s="1794"/>
      <c r="L3" s="1794"/>
      <c r="M3" s="1801">
        <v>0</v>
      </c>
    </row>
    <row s="11913" customFormat="1" customHeight="1" ht="18.75" hidden="1">
      <c r="A4" s="1853"/>
      <c r="B4" s="1330"/>
      <c r="C4" s="1900" t="s">
        <v>437</v>
      </c>
      <c r="D4" s="1843"/>
      <c r="E4" s="375" t="s">
        <v>1141</v>
      </c>
      <c r="F4" s="1840"/>
      <c r="G4" s="427"/>
      <c r="H4" s="1840" t="s">
        <v>318</v>
      </c>
      <c r="K4" s="1794"/>
      <c r="L4" s="1794"/>
      <c r="M4" s="1801">
        <v>0</v>
      </c>
    </row>
    <row s="11913" customFormat="1" customHeight="1" ht="14.25" hidden="1">
      <c r="A5" s="1532"/>
      <c r="B5" s="1330"/>
      <c r="C5" s="514"/>
      <c r="K5" s="1794"/>
      <c r="L5" s="1794"/>
      <c r="M5" s="1801">
        <v>0</v>
      </c>
    </row>
    <row s="11913" customFormat="1" customHeight="1" ht="18.75" hidden="1">
      <c r="A6" s="1853"/>
      <c r="B6" s="1330"/>
      <c r="C6" s="1900" t="s">
        <v>437</v>
      </c>
      <c r="D6" s="1843"/>
      <c r="E6" s="376" t="s">
        <v>1142</v>
      </c>
      <c r="F6" s="1840"/>
      <c r="G6" s="427"/>
      <c r="H6" s="1840" t="s">
        <v>318</v>
      </c>
      <c r="K6" s="1794"/>
      <c r="L6" s="1794"/>
      <c r="M6" s="1801">
        <v>0</v>
      </c>
    </row>
    <row s="11913" customFormat="1" customHeight="1" ht="14.25" hidden="1">
      <c r="A7" s="1532"/>
      <c r="B7" s="1330"/>
      <c r="C7" s="514"/>
      <c r="K7" s="1794"/>
      <c r="L7" s="1794"/>
      <c r="M7" s="1801">
        <v>0</v>
      </c>
    </row>
    <row s="11913" customFormat="1" customHeight="1" ht="18.75" hidden="1">
      <c r="A8" s="1853"/>
      <c r="B8" s="1330"/>
      <c r="C8" s="1900" t="s">
        <v>437</v>
      </c>
      <c r="D8" s="1843"/>
      <c r="E8" s="376" t="s">
        <v>1143</v>
      </c>
      <c r="F8" s="1840"/>
      <c r="G8" s="427"/>
      <c r="H8" s="1840" t="s">
        <v>318</v>
      </c>
      <c r="K8" s="1794"/>
      <c r="L8" s="1794"/>
      <c r="M8" s="1801">
        <v>0</v>
      </c>
    </row>
    <row s="11913" customFormat="1" customHeight="1" ht="14.25" hidden="1">
      <c r="A9" s="1532"/>
      <c r="B9" s="1330"/>
      <c r="C9" s="514"/>
      <c r="K9" s="1794"/>
      <c r="L9" s="1794"/>
      <c r="M9" s="1801">
        <v>0</v>
      </c>
    </row>
    <row s="11913" customFormat="1" customHeight="1" ht="18.75" hidden="1">
      <c r="A10" s="1853"/>
      <c r="B10" s="1330"/>
      <c r="C10" s="1900" t="s">
        <v>437</v>
      </c>
      <c r="D10" s="1843"/>
      <c r="E10" s="376" t="s">
        <v>1144</v>
      </c>
      <c r="F10" s="1840"/>
      <c r="G10" s="1844"/>
      <c r="H10" s="1840" t="s">
        <v>318</v>
      </c>
      <c r="K10" s="1794"/>
      <c r="L10" s="1794" t="s">
        <v>1145</v>
      </c>
      <c r="M10" s="1801">
        <v>0</v>
      </c>
    </row>
    <row customHeight="1" ht="14.25" hidden="1">
      <c r="M11" s="253">
        <v>0</v>
      </c>
    </row>
    <row customHeight="1" ht="14.25" hidden="1">
      <c r="M12" s="253">
        <v>0</v>
      </c>
    </row>
    <row customHeight="1" ht="14.699999999999998">
      <c r="C13" s="266"/>
      <c r="D13" s="254"/>
      <c r="E13" s="254"/>
      <c r="F13" s="254"/>
      <c r="G13" s="254"/>
      <c r="H13" s="255"/>
      <c r="I13" s="255"/>
      <c r="M13" s="253">
        <v>14</v>
      </c>
    </row>
    <row customHeight="1" ht="29.25">
      <c r="C14" s="266"/>
      <c r="D14" s="262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625"/>
      <c r="F14" s="2625"/>
      <c r="G14" s="2625"/>
      <c r="H14" s="2626"/>
      <c r="J14" s="1801"/>
      <c r="M14" s="253">
        <v>28</v>
      </c>
    </row>
    <row s="11913" customFormat="1" customHeight="1" ht="14.699999999999998">
      <c r="A15" s="1532"/>
      <c r="B15" s="1330"/>
      <c r="C15" s="546"/>
      <c r="D15" s="2627" t="str">
        <f>IF(org=0,"Не определено",org)</f>
        <v>Филиал "Шатурская ГРЭС" ПАО "Юнипро"</v>
      </c>
      <c r="E15" s="2628"/>
      <c r="F15" s="2628"/>
      <c r="G15" s="2628"/>
      <c r="H15" s="2629"/>
      <c r="J15" s="1022"/>
      <c r="K15" s="1794"/>
      <c r="L15" s="1794"/>
      <c r="M15" s="1801">
        <v>14</v>
      </c>
    </row>
    <row customHeight="1" ht="14.699999999999998">
      <c r="C16" s="266"/>
      <c r="D16" s="254"/>
      <c r="E16" s="265"/>
      <c r="F16" s="265"/>
      <c r="G16" s="265"/>
      <c r="H16" s="922"/>
      <c r="I16" s="363"/>
      <c r="M16" s="253">
        <v>14</v>
      </c>
    </row>
    <row s="11913" customFormat="1" customHeight="1" ht="14.25" hidden="1">
      <c r="A17" s="1532"/>
      <c r="B17" s="1330"/>
      <c r="C17" s="546"/>
      <c r="D17" s="533"/>
      <c r="E17" s="559"/>
      <c r="F17" s="559"/>
      <c r="G17" s="559"/>
      <c r="H17" s="922"/>
      <c r="I17" s="363"/>
      <c r="K17" s="1794"/>
      <c r="L17" s="1794"/>
      <c r="M17" s="1801">
        <v>0</v>
      </c>
    </row>
    <row customHeight="1" ht="22.049999999999997">
      <c r="C18" s="266"/>
      <c r="D18" s="2379" t="s">
        <v>312</v>
      </c>
      <c r="E18" s="2379"/>
      <c r="F18" s="2379"/>
      <c r="G18" s="2379"/>
      <c r="H18" s="2379"/>
      <c r="I18" s="2559" t="s">
        <v>313</v>
      </c>
      <c r="M18" s="253">
        <v>21</v>
      </c>
    </row>
    <row customHeight="1" ht="22.049999999999997">
      <c r="C19" s="266"/>
      <c r="D19" s="275" t="s">
        <v>91</v>
      </c>
      <c r="E19" s="278" t="s">
        <v>314</v>
      </c>
      <c r="F19" s="278"/>
      <c r="G19" s="278" t="s">
        <v>315</v>
      </c>
      <c r="H19" s="278" t="s">
        <v>402</v>
      </c>
      <c r="I19" s="2559"/>
      <c r="M19" s="253">
        <v>21</v>
      </c>
    </row>
    <row customHeight="1" ht="12" hidden="1">
      <c r="C20" s="266"/>
      <c r="D20" s="257"/>
      <c r="E20" s="257"/>
      <c r="F20" s="257"/>
      <c r="G20" s="257"/>
      <c r="H20" s="257"/>
      <c r="I20" s="257"/>
      <c r="M20" s="253">
        <v>0</v>
      </c>
    </row>
    <row customHeight="1" ht="14.699999999999998">
      <c r="A21" s="1853"/>
      <c r="C21" s="266"/>
      <c r="D21" s="317">
        <v>1</v>
      </c>
      <c r="E21" s="2631" t="s">
        <v>1146</v>
      </c>
      <c r="F21" s="2631"/>
      <c r="G21" s="2631"/>
      <c r="H21" s="2631"/>
      <c r="I21" s="378"/>
      <c r="M21" s="253">
        <v>14</v>
      </c>
    </row>
    <row customHeight="1" ht="21">
      <c r="A22" s="1853"/>
      <c r="C22" s="266"/>
      <c r="D22" s="317" t="s">
        <v>1036</v>
      </c>
      <c r="E22" s="364" t="s">
        <v>1147</v>
      </c>
      <c r="F22" s="368"/>
      <c r="G22" s="15043">
        <v>45670.571597222224</v>
      </c>
      <c r="H22" s="368" t="s">
        <v>318</v>
      </c>
      <c r="I22" s="321" t="s">
        <v>1148</v>
      </c>
      <c r="M22" s="253">
        <v>20</v>
      </c>
    </row>
    <row customHeight="1" ht="60">
      <c r="A23" s="1853"/>
      <c r="C23" s="266"/>
      <c r="D23" s="317" t="s">
        <v>1038</v>
      </c>
      <c r="E23" s="364" t="s">
        <v>1149</v>
      </c>
      <c r="F23" s="368"/>
      <c r="G23" s="11011" t="s">
        <v>1150</v>
      </c>
      <c r="H23" s="383" t="s">
        <v>1151</v>
      </c>
      <c r="I23" s="428" t="s">
        <v>1152</v>
      </c>
      <c r="M23" s="253">
        <v>57</v>
      </c>
    </row>
    <row customHeight="1" ht="52.5">
      <c r="A24" s="1853"/>
      <c r="B24" s="316">
        <v>3</v>
      </c>
      <c r="C24" s="266"/>
      <c r="D24" s="317">
        <v>2</v>
      </c>
      <c r="E24" s="39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368"/>
      <c r="G24" s="368" t="s">
        <v>318</v>
      </c>
      <c r="H24" s="383" t="s">
        <v>1153</v>
      </c>
      <c r="I24" s="429" t="s">
        <v>646</v>
      </c>
      <c r="M24" s="253">
        <v>14</v>
      </c>
    </row>
    <row customHeight="1" ht="48.29999999999999">
      <c r="A25" s="1853"/>
      <c r="C25" s="266"/>
      <c r="D25" s="317">
        <v>3</v>
      </c>
      <c r="E25" s="263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630"/>
      <c r="G25" s="2630"/>
      <c r="H25" s="2630"/>
      <c r="I25" s="426"/>
      <c r="M25" s="253">
        <v>46</v>
      </c>
    </row>
    <row customHeight="1" ht="39.75">
      <c r="A26" s="1853"/>
      <c r="C26" s="266"/>
      <c r="D26" s="317" t="s">
        <v>336</v>
      </c>
      <c r="E26" s="369" t="s">
        <v>1154</v>
      </c>
      <c r="F26" s="368"/>
      <c r="G26" s="368" t="s">
        <v>318</v>
      </c>
      <c r="H26" s="383" t="s">
        <v>1155</v>
      </c>
      <c r="I26" s="2339" t="s">
        <v>1156</v>
      </c>
      <c r="M26" s="253">
        <v>14</v>
      </c>
    </row>
    <row customHeight="1" ht="15.75">
      <c r="A27" s="1853" t="s">
        <v>112</v>
      </c>
      <c r="C27" s="266"/>
      <c r="D27" s="279"/>
      <c r="E27" s="373" t="s">
        <v>334</v>
      </c>
      <c r="F27" s="374"/>
      <c r="G27" s="374"/>
      <c r="H27" s="371"/>
      <c r="I27" s="2341"/>
      <c r="M27" s="253">
        <v>15</v>
      </c>
    </row>
    <row customHeight="1" ht="39.75">
      <c r="A28" s="1853"/>
      <c r="B28" s="316">
        <v>3</v>
      </c>
      <c r="C28" s="266"/>
      <c r="D28" s="317">
        <v>4</v>
      </c>
      <c r="E28" s="263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630"/>
      <c r="G28" s="2630"/>
      <c r="H28" s="2630"/>
      <c r="I28" s="426"/>
      <c r="M28" s="253">
        <v>38</v>
      </c>
    </row>
    <row customHeight="1" ht="21">
      <c r="A29" s="1853"/>
      <c r="C29" s="266"/>
      <c r="D29" s="317" t="s">
        <v>768</v>
      </c>
      <c r="E29" s="375" t="s">
        <v>1141</v>
      </c>
      <c r="F29" s="368"/>
      <c r="G29" s="427" t="s">
        <v>1157</v>
      </c>
      <c r="H29" s="368" t="s">
        <v>318</v>
      </c>
      <c r="I29" s="2339" t="s">
        <v>1158</v>
      </c>
      <c r="M29" s="253">
        <v>20</v>
      </c>
    </row>
    <row s="12757" customFormat="1" customHeight="1" ht="52.5">
      <c r="A30" s="11018"/>
      <c r="B30" s="9033"/>
      <c r="C30" s="11019" t="s">
        <v>437</v>
      </c>
      <c r="D30" s="11020" t="s">
        <v>810</v>
      </c>
      <c r="E30" s="11021" t="s">
        <v>1141</v>
      </c>
      <c r="F30" s="9105"/>
      <c r="G30" s="11022" t="s">
        <v>1159</v>
      </c>
      <c r="H30" s="9105" t="s">
        <v>318</v>
      </c>
      <c r="I30" s="8724"/>
      <c r="J30" s="8724"/>
      <c r="K30" s="11023"/>
      <c r="L30" s="11023"/>
      <c r="M30" s="8724">
        <v>0</v>
      </c>
    </row>
    <row s="12757" customFormat="1" customHeight="1" ht="74.25">
      <c r="A31" s="11018"/>
      <c r="B31" s="9033"/>
      <c r="C31" s="11019" t="s">
        <v>437</v>
      </c>
      <c r="D31" s="11020" t="s">
        <v>813</v>
      </c>
      <c r="E31" s="11021" t="s">
        <v>1141</v>
      </c>
      <c r="F31" s="9105"/>
      <c r="G31" s="11022" t="s">
        <v>1160</v>
      </c>
      <c r="H31" s="9105" t="s">
        <v>318</v>
      </c>
      <c r="I31" s="8724"/>
      <c r="J31" s="8724"/>
      <c r="K31" s="11023"/>
      <c r="L31" s="11023"/>
      <c r="M31" s="8724">
        <v>0</v>
      </c>
    </row>
    <row customHeight="1" ht="15.75">
      <c r="A32" s="1853" t="s">
        <v>113</v>
      </c>
      <c r="C32" s="266"/>
      <c r="D32" s="279"/>
      <c r="E32" s="373" t="s">
        <v>334</v>
      </c>
      <c r="F32" s="374"/>
      <c r="G32" s="374"/>
      <c r="H32" s="371"/>
      <c r="I32" s="2341"/>
      <c r="M32" s="253">
        <v>15</v>
      </c>
    </row>
    <row customHeight="1" ht="31.5">
      <c r="A33" s="1853"/>
      <c r="B33" s="316">
        <v>3</v>
      </c>
      <c r="C33" s="266"/>
      <c r="D33" s="317">
        <v>5</v>
      </c>
      <c r="E33" s="263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630"/>
      <c r="G33" s="2630"/>
      <c r="H33" s="2630"/>
      <c r="I33" s="426"/>
      <c r="M33" s="253">
        <v>30</v>
      </c>
    </row>
    <row customHeight="1" ht="27.299999999999997">
      <c r="A34" s="1853"/>
      <c r="C34" s="266"/>
      <c r="D34" s="317" t="s">
        <v>325</v>
      </c>
      <c r="E34" s="257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4" s="2573"/>
      <c r="G34" s="2573"/>
      <c r="H34" s="2573"/>
      <c r="I34" s="426"/>
      <c r="M34" s="253">
        <v>26</v>
      </c>
    </row>
    <row customHeight="1" ht="15">
      <c r="A35" s="1853"/>
      <c r="C35" s="266"/>
      <c r="D35" s="317" t="s">
        <v>1161</v>
      </c>
      <c r="E35" s="376" t="s">
        <v>1142</v>
      </c>
      <c r="F35" s="368"/>
      <c r="G35" s="427" t="s">
        <v>1162</v>
      </c>
      <c r="H35" s="368" t="s">
        <v>318</v>
      </c>
      <c r="I35" s="2339" t="s">
        <v>1163</v>
      </c>
      <c r="M35" s="253">
        <v>14</v>
      </c>
    </row>
    <row customHeight="1" ht="15.75">
      <c r="A36" s="1853" t="s">
        <v>93</v>
      </c>
      <c r="C36" s="266"/>
      <c r="D36" s="279"/>
      <c r="E36" s="374" t="s">
        <v>334</v>
      </c>
      <c r="F36" s="370"/>
      <c r="G36" s="370"/>
      <c r="H36" s="371"/>
      <c r="I36" s="2341"/>
      <c r="M36" s="253">
        <v>15</v>
      </c>
    </row>
    <row customHeight="1" ht="25.2">
      <c r="A37" s="1853"/>
      <c r="C37" s="266"/>
      <c r="D37" s="317" t="s">
        <v>896</v>
      </c>
      <c r="E37" s="257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7" s="2573"/>
      <c r="G37" s="2573"/>
      <c r="H37" s="2573"/>
      <c r="I37" s="426"/>
      <c r="M37" s="253">
        <v>24</v>
      </c>
    </row>
    <row customHeight="1" ht="66">
      <c r="A38" s="1853"/>
      <c r="C38" s="266"/>
      <c r="D38" s="317" t="s">
        <v>1164</v>
      </c>
      <c r="E38" s="376" t="s">
        <v>1143</v>
      </c>
      <c r="F38" s="368"/>
      <c r="G38" s="427" t="s">
        <v>1165</v>
      </c>
      <c r="H38" s="368" t="s">
        <v>318</v>
      </c>
      <c r="I38" s="2313" t="s">
        <v>1166</v>
      </c>
      <c r="M38" s="253">
        <v>14</v>
      </c>
    </row>
    <row customHeight="1" ht="15.75">
      <c r="A39" s="1853" t="s">
        <v>94</v>
      </c>
      <c r="C39" s="266"/>
      <c r="D39" s="279"/>
      <c r="E39" s="374" t="s">
        <v>334</v>
      </c>
      <c r="F39" s="370"/>
      <c r="G39" s="370"/>
      <c r="H39" s="371"/>
      <c r="I39" s="2313"/>
      <c r="M39" s="253">
        <v>15</v>
      </c>
    </row>
    <row customHeight="1" ht="27.299999999999997">
      <c r="A40" s="1853"/>
      <c r="C40" s="266"/>
      <c r="D40" s="317" t="s">
        <v>897</v>
      </c>
      <c r="E40" s="257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0" s="2573"/>
      <c r="G40" s="2573"/>
      <c r="H40" s="2573"/>
      <c r="I40" s="426"/>
      <c r="M40" s="253">
        <v>26</v>
      </c>
    </row>
    <row customHeight="1" ht="15">
      <c r="A41" s="1853"/>
      <c r="C41" s="266"/>
      <c r="D41" s="317" t="s">
        <v>898</v>
      </c>
      <c r="E41" s="376" t="s">
        <v>1144</v>
      </c>
      <c r="F41" s="368"/>
      <c r="G41" s="377" t="s">
        <v>1167</v>
      </c>
      <c r="H41" s="368" t="s">
        <v>318</v>
      </c>
      <c r="I41" s="2339" t="s">
        <v>1168</v>
      </c>
      <c r="L41" s="325" t="s">
        <v>1145</v>
      </c>
      <c r="M41" s="253">
        <v>14</v>
      </c>
    </row>
    <row customHeight="1" ht="15.75">
      <c r="A42" s="1853" t="s">
        <v>114</v>
      </c>
      <c r="C42" s="266"/>
      <c r="D42" s="279"/>
      <c r="E42" s="374" t="s">
        <v>334</v>
      </c>
      <c r="F42" s="370"/>
      <c r="G42" s="370"/>
      <c r="H42" s="371"/>
      <c r="I42" s="2341"/>
      <c r="M42" s="253">
        <v>15</v>
      </c>
    </row>
    <row s="15059" customFormat="1" customHeight="1" ht="3">
      <c r="A43" s="1853"/>
      <c r="K43" s="366"/>
      <c r="L43" s="366"/>
      <c r="M43" s="310">
        <v>3</v>
      </c>
    </row>
    <row customHeight="1" ht="26.25">
      <c r="D44" s="1851" t="s">
        <v>818</v>
      </c>
      <c r="E44" s="245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4" s="2455"/>
      <c r="G44" s="2455"/>
      <c r="H44" s="2455"/>
      <c r="I44" s="2455"/>
      <c r="M44" s="253">
        <v>25</v>
      </c>
    </row>
    <row customHeight="1" ht="22.5" hidden="1">
      <c r="A45" s="1532" t="s">
        <v>85</v>
      </c>
      <c r="B45" s="316">
        <v>0</v>
      </c>
      <c r="C45" s="267">
        <v>3</v>
      </c>
      <c r="D45" s="253">
        <v>6</v>
      </c>
      <c r="E45" s="253">
        <v>63</v>
      </c>
      <c r="F45" s="253">
        <v>0</v>
      </c>
      <c r="G45" s="253">
        <v>35</v>
      </c>
      <c r="H45" s="253">
        <v>35</v>
      </c>
      <c r="I45" s="253">
        <v>91</v>
      </c>
      <c r="J45" s="253">
        <v>68</v>
      </c>
      <c r="K45" s="325">
        <v>10</v>
      </c>
      <c r="L45" s="325">
        <v>10</v>
      </c>
      <c r="M45" s="253">
        <v>23</v>
      </c>
    </row>
  </sheetData>
  <sheetProtection formatColumns="0" formatRows="0" autoFilter="0" sort="0" insertRows="0" insertColumns="1" deleteRows="0" deleteColumns="0"/>
  <mergeCells count="17">
    <mergeCell ref="I29:I32"/>
    <mergeCell ref="E33:H33"/>
    <mergeCell ref="D14:H14"/>
    <mergeCell ref="D18:H18"/>
    <mergeCell ref="I18:I19"/>
    <mergeCell ref="E21:H21"/>
    <mergeCell ref="E25:H25"/>
    <mergeCell ref="I26:I27"/>
    <mergeCell ref="E28:H28"/>
    <mergeCell ref="D15:H15"/>
    <mergeCell ref="E44:I44"/>
    <mergeCell ref="E34:H34"/>
    <mergeCell ref="E37:H37"/>
    <mergeCell ref="E40:H40"/>
    <mergeCell ref="I35:I36"/>
    <mergeCell ref="I38:I39"/>
    <mergeCell ref="I41:I42"/>
  </mergeCells>
  <dataValidations count="4">
    <dataValidation type="textLength" operator="lessThanOrEqual" allowBlank="1" showInputMessage="1" showErrorMessage="1" errorTitle="Ошибка" error="Допускается ввод не более 900 символов!" sqref="I23:I24 I35 G38 I41 I26 E29:E31 G35 E38 I29:I31 E35 I38 G23 E26 I10 E23 G29:G31 E10 G8 E2 I2 I4 G4 E4 E6 I6 G6 E8 I8 E4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G23" r:id="rId2" xr:uid="{C7C462B3-BACE-B8C1-3675-B2D196B6D275}"/>
    <hyperlink ref="H23" r:id="rId3" tooltip="https://portal.eias.ru/Portal/DownloadPage.aspx?type=12&amp;guid=a530ef06-1f5b-4156-a8cd-f095cb2addc2" xr:uid="{7B75B60F-78DA-E3C3-963A-A5F265942064}"/>
    <hyperlink ref="H24" r:id="rId4" tooltip="https://portal.eias.ru/Portal/DownloadPage.aspx?type=12&amp;guid=e7b9e985-9f93-4a17-9ff1-46f168cb151d" xr:uid="{727470A1-AA14-92F5-2D03-0078102A72E6}"/>
    <hyperlink ref="H26" r:id="rId5" tooltip="https://portal.eias.ru/Portal/DownloadPage.aspx?type=12&amp;guid=15b5c5dd-402e-4df3-b5a3-5ca4f583bfda" xr:uid="{C8D91E8C-A8C4-7BCA-3A3E-1006E0AACF09}"/>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A6B468-B565-5E27-35A2-029D93C2148D}" mc:Ignorable="x14ac xr xr2 xr3">
  <sheetPr>
    <tabColor theme="6" tint="0.4"/>
  </sheetPr>
  <dimension ref="A1:AH342"/>
  <sheetViews>
    <sheetView topLeftCell="A1" showGridLines="0" zoomScale="90" workbookViewId="0">
      <selection activeCell="A301" sqref="A301:AH302"/>
    </sheetView>
  </sheetViews>
  <sheetFormatPr defaultColWidth="10.57421875" customHeight="1" defaultRowHeight="14.25"/>
  <cols>
    <col min="1" max="2" style="15138" width="25.140625" hidden="1" customWidth="1"/>
    <col min="3" max="3" style="15139" width="9.140625" hidden="1" customWidth="1"/>
    <col min="4" max="4" style="13391" width="3.00390625" customWidth="1"/>
    <col min="5" max="5" style="11913" width="6.00390625" customWidth="1"/>
    <col min="6" max="6" style="11913" width="46.7109375" customWidth="1"/>
    <col min="7" max="7" style="11913" width="35.00390625" customWidth="1"/>
    <col min="8" max="8" style="11913" width="3.00390625" customWidth="1"/>
    <col min="9" max="10" style="11913" width="11.00390625" customWidth="1"/>
    <col min="11" max="12" style="11913" width="35.00390625" customWidth="1"/>
    <col min="13" max="13" style="11913" width="84.00390625" customWidth="1"/>
    <col min="14" max="14" style="11913" width="10.00390625" customWidth="1"/>
    <col min="15" max="16" style="12082" width="10.00390625" customWidth="1"/>
    <col min="17" max="33" style="11913" width="10.00390625" customWidth="1"/>
    <col min="34" max="34" style="11913" width="10.57421875" hidden="1"/>
  </cols>
  <sheetData>
    <row s="11913" customFormat="1" customHeight="1" ht="22.5" hidden="1">
      <c r="A1" s="1949"/>
      <c r="B1" s="1949"/>
      <c r="C1" s="539"/>
      <c r="D1" s="514"/>
      <c r="N1" s="1806">
        <f>_xlfn.IFERROR(MATCH("метод экономически обоснованных расходов (затрат)",OFFER_METHOD,0),0)</f>
        <v>0</v>
      </c>
      <c r="O1" s="1794"/>
      <c r="P1" s="1794"/>
      <c r="T1" s="1001"/>
      <c r="AG1" s="425"/>
      <c r="AH1" s="1801" t="s">
        <v>14</v>
      </c>
    </row>
    <row s="11913" customFormat="1" customHeight="1" ht="18.75" hidden="1">
      <c r="A2" s="1950" t="s">
        <v>160</v>
      </c>
      <c r="B2" s="1950" t="s">
        <v>161</v>
      </c>
      <c r="C2" s="539"/>
      <c r="D2" s="514"/>
      <c r="E2" s="1201"/>
      <c r="F2" s="1201"/>
      <c r="G2" s="2597" t="str">
        <f>INDEX(PT_DIFFERENTIATION_NTAR,MATCH(B2,PT_DIFFERENTIATION_NTAR_ID,0))</f>
        <v>Тариф на тепловую энергию (мощность) на коллекторах источника тепловой энергии</v>
      </c>
      <c r="H2" s="2034"/>
      <c r="I2" s="1909"/>
      <c r="J2" s="1943"/>
      <c r="K2" s="2035"/>
      <c r="L2" s="2034" t="s">
        <v>318</v>
      </c>
      <c r="M2" s="2045"/>
      <c r="N2" s="504"/>
      <c r="O2" s="1794"/>
      <c r="P2" s="1794"/>
      <c r="AH2" s="1801">
        <v>0</v>
      </c>
    </row>
    <row s="11913" customFormat="1" customHeight="1" ht="18.75" hidden="1">
      <c r="A3" s="1950"/>
      <c r="B3" s="1950"/>
      <c r="C3" s="539" t="s">
        <v>1169</v>
      </c>
      <c r="D3" s="514"/>
      <c r="E3" s="1201"/>
      <c r="F3" s="1201"/>
      <c r="G3" s="2597"/>
      <c r="H3" s="1670"/>
      <c r="I3" s="821" t="s">
        <v>1170</v>
      </c>
      <c r="J3" s="741"/>
      <c r="K3" s="1670"/>
      <c r="L3" s="384"/>
      <c r="M3" s="2045"/>
      <c r="N3" s="504"/>
      <c r="O3" s="1794"/>
      <c r="P3" s="1794"/>
      <c r="AH3" s="1801">
        <v>0</v>
      </c>
    </row>
    <row s="11913" customFormat="1" customHeight="1" ht="14.25" hidden="1">
      <c r="A4" s="1949"/>
      <c r="B4" s="1949"/>
      <c r="C4" s="539"/>
      <c r="D4" s="514"/>
      <c r="N4" s="1806">
        <f>_xlfn.IFERROR(MATCH("метод экономически обоснованных расходов (затрат)",OFFER_METHOD,0),0)</f>
        <v>0</v>
      </c>
      <c r="O4" s="1794"/>
      <c r="P4" s="1794"/>
      <c r="T4" s="1001"/>
      <c r="AG4" s="425"/>
      <c r="AH4" s="1801">
        <v>0</v>
      </c>
    </row>
    <row s="11913" customFormat="1" customHeight="1" ht="18.75" hidden="1">
      <c r="A5" s="1950" t="s">
        <v>160</v>
      </c>
      <c r="B5" s="1950" t="s">
        <v>161</v>
      </c>
      <c r="C5" s="539"/>
      <c r="D5" s="514"/>
      <c r="E5" s="1201"/>
      <c r="F5" s="1201"/>
      <c r="G5" s="2597" t="str">
        <f>INDEX(PT_DIFFERENTIATION_NTAR,MATCH(B5,PT_DIFFERENTIATION_NTAR_ID,0))</f>
        <v>Тариф на тепловую энергию (мощность) на коллекторах источника тепловой энергии</v>
      </c>
      <c r="H5" s="2034"/>
      <c r="I5" s="1909"/>
      <c r="J5" s="1943"/>
      <c r="K5" s="1948"/>
      <c r="L5" s="2034" t="s">
        <v>318</v>
      </c>
      <c r="M5" s="2045"/>
      <c r="N5" s="504"/>
      <c r="O5" s="1794"/>
      <c r="P5" s="1794"/>
      <c r="AH5" s="1801">
        <v>0</v>
      </c>
    </row>
    <row s="11913" customFormat="1" customHeight="1" ht="18.75" hidden="1">
      <c r="A6" s="1950"/>
      <c r="B6" s="1950"/>
      <c r="C6" s="539" t="s">
        <v>1171</v>
      </c>
      <c r="D6" s="514"/>
      <c r="E6" s="1201"/>
      <c r="F6" s="1201"/>
      <c r="G6" s="2597"/>
      <c r="H6" s="1670"/>
      <c r="I6" s="821" t="s">
        <v>1170</v>
      </c>
      <c r="J6" s="741"/>
      <c r="K6" s="1670"/>
      <c r="L6" s="384"/>
      <c r="M6" s="2045"/>
      <c r="N6" s="504"/>
      <c r="O6" s="1794"/>
      <c r="P6" s="1794"/>
      <c r="AH6" s="1801">
        <v>0</v>
      </c>
    </row>
    <row s="11913" customFormat="1" customHeight="1" ht="14.25" hidden="1">
      <c r="A7" s="1949"/>
      <c r="B7" s="1949"/>
      <c r="C7" s="539"/>
      <c r="D7" s="514"/>
      <c r="N7" s="1806">
        <f>_xlfn.IFERROR(MATCH("метод экономически обоснованных расходов (затрат)",OFFER_METHOD,0),0)</f>
        <v>0</v>
      </c>
      <c r="O7" s="1794"/>
      <c r="P7" s="1794"/>
      <c r="T7" s="1001"/>
      <c r="AG7" s="425"/>
      <c r="AH7" s="1801">
        <v>0</v>
      </c>
    </row>
    <row s="11913" customFormat="1" customHeight="1" ht="56.25" hidden="1">
      <c r="A8" s="1950"/>
      <c r="B8" s="1950"/>
      <c r="C8" s="539"/>
      <c r="D8" s="514"/>
      <c r="E8" s="1201"/>
      <c r="F8" s="1201"/>
      <c r="G8" s="1201"/>
      <c r="H8" s="1941"/>
      <c r="I8" s="1909"/>
      <c r="J8" s="1943"/>
      <c r="K8" s="2035"/>
      <c r="L8" s="1941" t="s">
        <v>318</v>
      </c>
      <c r="M8" s="2045"/>
      <c r="N8" s="504"/>
      <c r="O8" s="1794"/>
      <c r="P8" s="1794"/>
      <c r="AH8" s="1801">
        <v>0</v>
      </c>
    </row>
    <row customHeight="1" ht="14.25" hidden="1">
      <c r="T9" s="567"/>
      <c r="AG9" s="425"/>
      <c r="AH9" s="544">
        <v>0</v>
      </c>
    </row>
    <row s="11913" customFormat="1" customHeight="1" ht="56.25" hidden="1">
      <c r="A10" s="1950"/>
      <c r="B10" s="1950"/>
      <c r="C10" s="539"/>
      <c r="D10" s="514"/>
      <c r="E10" s="1201"/>
      <c r="F10" s="1201"/>
      <c r="G10" s="1201"/>
      <c r="H10" s="1940"/>
      <c r="I10" s="1909"/>
      <c r="J10" s="1943"/>
      <c r="K10" s="1948"/>
      <c r="L10" s="1941" t="s">
        <v>318</v>
      </c>
      <c r="M10" s="2045"/>
      <c r="N10" s="504"/>
      <c r="O10" s="1794"/>
      <c r="P10" s="1794"/>
      <c r="AH10" s="1801">
        <v>0</v>
      </c>
    </row>
    <row customHeight="1" ht="14.25" hidden="1">
      <c r="AH11" s="544">
        <v>0</v>
      </c>
    </row>
    <row customHeight="1" ht="14.25" hidden="1">
      <c r="AH12" s="544">
        <v>0</v>
      </c>
    </row>
    <row customHeight="1" ht="6.3">
      <c r="D13" s="546"/>
      <c r="E13" s="533"/>
      <c r="F13" s="533"/>
      <c r="G13" s="533"/>
      <c r="H13" s="533"/>
      <c r="I13" s="533"/>
      <c r="J13" s="533"/>
      <c r="K13" s="533"/>
      <c r="L13" s="255"/>
      <c r="M13" s="255"/>
      <c r="AH13" s="544">
        <v>6</v>
      </c>
    </row>
    <row customHeight="1" ht="14.699999999999998">
      <c r="D14" s="546"/>
      <c r="E14" s="263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635"/>
      <c r="G14" s="2635"/>
      <c r="H14" s="2635"/>
      <c r="I14" s="2635"/>
      <c r="J14" s="2635"/>
      <c r="K14" s="2635"/>
      <c r="L14" s="2635"/>
      <c r="M14" s="390"/>
      <c r="AH14" s="544">
        <v>14</v>
      </c>
    </row>
    <row customHeight="1" ht="6.3">
      <c r="D15" s="546"/>
      <c r="E15" s="533"/>
      <c r="F15" s="559"/>
      <c r="G15" s="559"/>
      <c r="H15" s="559"/>
      <c r="I15" s="559"/>
      <c r="J15" s="559"/>
      <c r="K15" s="559"/>
      <c r="L15" s="492"/>
      <c r="M15" s="363"/>
      <c r="AH15" s="544">
        <v>6</v>
      </c>
    </row>
    <row customHeight="1" ht="24">
      <c r="D16" s="546"/>
      <c r="E16" s="533"/>
      <c r="F16" s="475" t="str">
        <f>"Дата подачи заявления об "&amp;IF(TITLE_DATE_PR_CHANGE="","утверждении","изменении")&amp;" тарифов"</f>
        <v>Дата подачи заявления об изменении тарифов</v>
      </c>
      <c r="G16" s="2434" t="str">
        <f>IF(TITLE_DATE_PR_CHANGE="",IF(TITLE_DATE_PR="","",TITLE_DATE_PR),TITLE_DATE_PR_CHANGE)</f>
        <v>45646.459814814814</v>
      </c>
      <c r="H16" s="2434"/>
      <c r="I16" s="2434"/>
      <c r="J16" s="2434"/>
      <c r="K16" s="2434"/>
      <c r="L16" s="2434"/>
      <c r="M16" s="568"/>
      <c r="N16" s="496"/>
      <c r="AH16" s="544">
        <v>23</v>
      </c>
    </row>
    <row customHeight="1" ht="24">
      <c r="D17" s="546"/>
      <c r="E17" s="533"/>
      <c r="F17" s="475" t="str">
        <f>"Номер подачи заявления об "&amp;IF(TITLE_DATE_PR_CHANGE="","утверждении","изменении")&amp;" тарифов"</f>
        <v>Номер подачи заявления об изменении тарифов</v>
      </c>
      <c r="G17" s="2421" t="str">
        <f>IF(TITLE_NUMBER_PR_CHANGE="",IF(TITLE_NUMBER_PR="","",TITLE_NUMBER_PR),TITLE_NUMBER_PR_CHANGE)</f>
        <v>329-Р</v>
      </c>
      <c r="H17" s="2421"/>
      <c r="I17" s="2421"/>
      <c r="J17" s="2421"/>
      <c r="K17" s="2421"/>
      <c r="L17" s="2421"/>
      <c r="M17" s="568"/>
      <c r="N17" s="496"/>
      <c r="AH17" s="544">
        <v>23</v>
      </c>
    </row>
    <row customHeight="1" ht="14.699999999999998">
      <c r="D18" s="546"/>
      <c r="E18" s="533"/>
      <c r="F18" s="559"/>
      <c r="G18" s="559"/>
      <c r="H18" s="559"/>
      <c r="I18" s="559"/>
      <c r="J18" s="559"/>
      <c r="K18" s="559"/>
      <c r="L18" s="922"/>
      <c r="M18" s="363"/>
      <c r="AH18" s="544">
        <v>14</v>
      </c>
    </row>
    <row customHeight="1" ht="22.049999999999997">
      <c r="D19" s="546"/>
      <c r="E19" s="2379" t="s">
        <v>312</v>
      </c>
      <c r="F19" s="2379"/>
      <c r="G19" s="2379"/>
      <c r="H19" s="2379"/>
      <c r="I19" s="2379"/>
      <c r="J19" s="2379"/>
      <c r="K19" s="2379"/>
      <c r="L19" s="2379"/>
      <c r="M19" s="2559" t="s">
        <v>313</v>
      </c>
      <c r="AH19" s="544">
        <v>21</v>
      </c>
    </row>
    <row customHeight="1" ht="22.049999999999997">
      <c r="D20" s="546"/>
      <c r="E20" s="2447" t="s">
        <v>91</v>
      </c>
      <c r="F20" s="2394" t="s">
        <v>125</v>
      </c>
      <c r="G20" s="2394" t="s">
        <v>126</v>
      </c>
      <c r="H20" s="2556" t="s">
        <v>1172</v>
      </c>
      <c r="I20" s="2557"/>
      <c r="J20" s="2603"/>
      <c r="K20" s="2394" t="s">
        <v>315</v>
      </c>
      <c r="L20" s="2394" t="s">
        <v>402</v>
      </c>
      <c r="M20" s="2559"/>
      <c r="AH20" s="544">
        <v>21</v>
      </c>
    </row>
    <row customHeight="1" ht="22.049999999999997">
      <c r="D21" s="546"/>
      <c r="E21" s="2449"/>
      <c r="F21" s="2395"/>
      <c r="G21" s="2395"/>
      <c r="H21" s="2388" t="s">
        <v>1173</v>
      </c>
      <c r="I21" s="2390"/>
      <c r="J21" s="278" t="s">
        <v>1174</v>
      </c>
      <c r="K21" s="2395"/>
      <c r="L21" s="2395"/>
      <c r="M21" s="2559"/>
      <c r="AH21" s="544">
        <v>21</v>
      </c>
    </row>
    <row customHeight="1" ht="12.75">
      <c r="D22" s="546"/>
      <c r="E22" s="451"/>
      <c r="F22" s="451"/>
      <c r="G22" s="451"/>
      <c r="H22" s="2637"/>
      <c r="I22" s="2637"/>
      <c r="J22" s="451"/>
      <c r="K22" s="451"/>
      <c r="L22" s="451"/>
      <c r="M22" s="451"/>
      <c r="AH22" s="544">
        <v>12</v>
      </c>
    </row>
    <row customHeight="1" ht="19.95">
      <c r="A23" s="1950"/>
      <c r="B23" s="1950"/>
      <c r="D23" s="546"/>
      <c r="E23" s="2036" t="s">
        <v>112</v>
      </c>
      <c r="F23" s="2638" t="str">
        <f>"Предлагаемый метод регулирования"&amp;IF(TEMPLATE_SPHERE="HEAT"," в сфере "&amp;TEMPLATE_SPHERE_RUS,"")</f>
        <v>Предлагаемый метод регулирования в сфере теплоснабжения</v>
      </c>
      <c r="G23" s="2639"/>
      <c r="H23" s="2631"/>
      <c r="I23" s="2631"/>
      <c r="J23" s="2631"/>
      <c r="K23" s="2639" t="s">
        <v>318</v>
      </c>
      <c r="L23" s="2631"/>
      <c r="M23" s="1939"/>
      <c r="N23" s="504"/>
      <c r="AH23" s="544">
        <v>19</v>
      </c>
    </row>
    <row customHeight="1" ht="60.75" hidden="1">
      <c r="A24" s="1950" t="s">
        <v>160</v>
      </c>
      <c r="B24" s="1950" t="s">
        <v>161</v>
      </c>
      <c r="D24" s="2636"/>
      <c r="E24" s="2374"/>
      <c r="F24" s="264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597" t="str">
        <f>INDEX(PT_DIFFERENTIATION_NTAR,MATCH(B24,PT_DIFFERENTIATION_NTAR_ID,0))</f>
        <v>Тариф на тепловую энергию (мощность) на коллекторах источника тепловой энергии</v>
      </c>
      <c r="H24" s="2032"/>
      <c r="I24" s="1909"/>
      <c r="J24" s="1943"/>
      <c r="K24" s="2035"/>
      <c r="L24" s="1938" t="s">
        <v>318</v>
      </c>
      <c r="M24" s="233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504"/>
      <c r="AH24" s="544">
        <v>0</v>
      </c>
    </row>
    <row s="11913" customFormat="1" customHeight="1" ht="18.75" hidden="1">
      <c r="A25" s="1950"/>
      <c r="B25" s="1950"/>
      <c r="C25" s="539" t="s">
        <v>1169</v>
      </c>
      <c r="D25" s="2636"/>
      <c r="E25" s="2374"/>
      <c r="F25" s="2640"/>
      <c r="G25" s="2597"/>
      <c r="H25" s="1670"/>
      <c r="I25" s="821" t="s">
        <v>1170</v>
      </c>
      <c r="J25" s="741"/>
      <c r="K25" s="1670"/>
      <c r="L25" s="384"/>
      <c r="M25" s="2340"/>
      <c r="N25" s="504"/>
      <c r="O25" s="1794"/>
      <c r="P25" s="1794"/>
      <c r="AH25" s="1801">
        <v>0</v>
      </c>
    </row>
    <row customHeight="1" ht="0.75" hidden="1">
      <c r="A26" s="1950"/>
      <c r="B26" s="1950"/>
      <c r="C26" s="539" t="s">
        <v>1175</v>
      </c>
      <c r="D26" s="2636"/>
      <c r="E26" s="2374"/>
      <c r="F26" s="2553"/>
      <c r="G26" s="570"/>
      <c r="H26" s="1670"/>
      <c r="I26" s="565"/>
      <c r="J26" s="519"/>
      <c r="K26" s="1670"/>
      <c r="L26" s="371"/>
      <c r="M26" s="2340"/>
      <c r="N26" s="504"/>
      <c r="AH26" s="544">
        <v>0</v>
      </c>
    </row>
    <row s="11913" customFormat="1" customHeight="1" ht="45" hidden="1">
      <c r="A27" s="1950" t="s">
        <v>172</v>
      </c>
      <c r="B27" s="1950" t="s">
        <v>173</v>
      </c>
      <c r="C27" s="539"/>
      <c r="D27" s="2632"/>
      <c r="E27" s="2633"/>
      <c r="F27" s="2634"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597" t="str">
        <f>INDEX(PT_DIFFERENTIATION_NTAR,MATCH(B27,PT_DIFFERENTIATION_NTAR_ID,0))</f>
        <v>Тариф на тепловую энергию (мощность) поставляемую потребителям</v>
      </c>
      <c r="H27" s="2032"/>
      <c r="I27" s="1909"/>
      <c r="J27" s="1943"/>
      <c r="K27" s="2035"/>
      <c r="L27" s="2032" t="s">
        <v>318</v>
      </c>
      <c r="M27" s="2340"/>
      <c r="N27" s="504"/>
      <c r="O27" s="1794"/>
      <c r="P27" s="1794"/>
      <c r="AH27" s="1801">
        <v>0</v>
      </c>
    </row>
    <row s="11913" customFormat="1" customHeight="1" ht="18.75" hidden="1">
      <c r="A28" s="1950"/>
      <c r="B28" s="1950"/>
      <c r="C28" s="539" t="s">
        <v>1169</v>
      </c>
      <c r="D28" s="2632"/>
      <c r="E28" s="2633"/>
      <c r="F28" s="2634"/>
      <c r="G28" s="2597"/>
      <c r="H28" s="1670"/>
      <c r="I28" s="821" t="s">
        <v>1170</v>
      </c>
      <c r="J28" s="741"/>
      <c r="K28" s="1670"/>
      <c r="L28" s="384"/>
      <c r="M28" s="2340"/>
      <c r="N28" s="504"/>
      <c r="O28" s="1794"/>
      <c r="P28" s="1794"/>
      <c r="AH28" s="1801">
        <v>0</v>
      </c>
    </row>
    <row s="11913" customFormat="1" customHeight="1" ht="0.75" hidden="1">
      <c r="A29" s="1950"/>
      <c r="B29" s="1950"/>
      <c r="C29" s="539" t="s">
        <v>1175</v>
      </c>
      <c r="D29" s="2632"/>
      <c r="E29" s="2374"/>
      <c r="F29" s="2553"/>
      <c r="G29" s="570"/>
      <c r="H29" s="1670"/>
      <c r="I29" s="821"/>
      <c r="J29" s="741"/>
      <c r="K29" s="1670"/>
      <c r="L29" s="384"/>
      <c r="M29" s="2340"/>
      <c r="N29" s="504"/>
      <c r="O29" s="1794"/>
      <c r="P29" s="1794"/>
      <c r="AH29" s="1801">
        <v>0</v>
      </c>
    </row>
    <row s="11913" customFormat="1" customHeight="1" ht="45" hidden="1">
      <c r="A30" s="1950" t="s">
        <v>181</v>
      </c>
      <c r="B30" s="1950" t="s">
        <v>182</v>
      </c>
      <c r="C30" s="539"/>
      <c r="D30" s="2632"/>
      <c r="E30" s="2374"/>
      <c r="F30" s="255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597" t="str">
        <f>INDEX(PT_DIFFERENTIATION_NTAR,MATCH(B30,PT_DIFFERENTIATION_NTAR_ID,0))</f>
        <v>Тариф на теплоноситель, поставляемый потребителям</v>
      </c>
      <c r="H30" s="2032"/>
      <c r="I30" s="1909"/>
      <c r="J30" s="1943"/>
      <c r="K30" s="2035"/>
      <c r="L30" s="2032" t="s">
        <v>318</v>
      </c>
      <c r="M30" s="2340"/>
      <c r="N30" s="504"/>
      <c r="O30" s="1794"/>
      <c r="P30" s="1794"/>
      <c r="AH30" s="1801">
        <v>0</v>
      </c>
    </row>
    <row s="11913" customFormat="1" customHeight="1" ht="18.75" hidden="1">
      <c r="A31" s="1950"/>
      <c r="B31" s="1950"/>
      <c r="C31" s="539" t="s">
        <v>1169</v>
      </c>
      <c r="D31" s="2632"/>
      <c r="E31" s="2374"/>
      <c r="F31" s="2553"/>
      <c r="G31" s="2597"/>
      <c r="H31" s="1670"/>
      <c r="I31" s="821" t="s">
        <v>1170</v>
      </c>
      <c r="J31" s="741"/>
      <c r="K31" s="1670"/>
      <c r="L31" s="384"/>
      <c r="M31" s="2340"/>
      <c r="N31" s="504"/>
      <c r="O31" s="1794"/>
      <c r="P31" s="1794"/>
      <c r="AH31" s="1801">
        <v>0</v>
      </c>
    </row>
    <row s="11913" customFormat="1" customHeight="1" ht="0.75" hidden="1">
      <c r="A32" s="1950"/>
      <c r="B32" s="1950"/>
      <c r="C32" s="539" t="s">
        <v>1175</v>
      </c>
      <c r="D32" s="2632"/>
      <c r="E32" s="2374"/>
      <c r="F32" s="2553"/>
      <c r="G32" s="570"/>
      <c r="H32" s="1670"/>
      <c r="I32" s="821"/>
      <c r="J32" s="741"/>
      <c r="K32" s="1670"/>
      <c r="L32" s="384"/>
      <c r="M32" s="2340"/>
      <c r="N32" s="504"/>
      <c r="O32" s="1794"/>
      <c r="P32" s="1794"/>
      <c r="AH32" s="1801">
        <v>0</v>
      </c>
    </row>
    <row s="11913" customFormat="1" customHeight="1" ht="45" hidden="1">
      <c r="A33" s="1950" t="s">
        <v>187</v>
      </c>
      <c r="B33" s="1950" t="s">
        <v>188</v>
      </c>
      <c r="C33" s="539"/>
      <c r="D33" s="2632"/>
      <c r="E33" s="2374"/>
      <c r="F33" s="255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597" t="str">
        <f>INDEX(PT_DIFFERENTIATION_NTAR,MATCH(B33,PT_DIFFERENTIATION_NTAR_ID,0))</f>
        <v/>
      </c>
      <c r="H33" s="2032"/>
      <c r="I33" s="1909"/>
      <c r="J33" s="1943"/>
      <c r="K33" s="2035"/>
      <c r="L33" s="2032" t="s">
        <v>318</v>
      </c>
      <c r="M33" s="2340"/>
      <c r="N33" s="504"/>
      <c r="O33" s="1794"/>
      <c r="P33" s="1794"/>
      <c r="AH33" s="1801">
        <v>0</v>
      </c>
    </row>
    <row s="11913" customFormat="1" customHeight="1" ht="18.75" hidden="1">
      <c r="A34" s="1950"/>
      <c r="B34" s="1950"/>
      <c r="C34" s="539" t="s">
        <v>1169</v>
      </c>
      <c r="D34" s="2632"/>
      <c r="E34" s="2374"/>
      <c r="F34" s="2553"/>
      <c r="G34" s="2597"/>
      <c r="H34" s="1670"/>
      <c r="I34" s="821" t="s">
        <v>1170</v>
      </c>
      <c r="J34" s="741"/>
      <c r="K34" s="1670"/>
      <c r="L34" s="384"/>
      <c r="M34" s="2340"/>
      <c r="N34" s="504"/>
      <c r="O34" s="1794"/>
      <c r="P34" s="1794"/>
      <c r="AH34" s="1801">
        <v>0</v>
      </c>
    </row>
    <row s="11913" customFormat="1" customHeight="1" ht="0.75" hidden="1">
      <c r="A35" s="1950"/>
      <c r="B35" s="1950"/>
      <c r="C35" s="539" t="s">
        <v>1175</v>
      </c>
      <c r="D35" s="2632"/>
      <c r="E35" s="2374"/>
      <c r="F35" s="2553"/>
      <c r="G35" s="570"/>
      <c r="H35" s="1670"/>
      <c r="I35" s="821"/>
      <c r="J35" s="741"/>
      <c r="K35" s="1670"/>
      <c r="L35" s="384"/>
      <c r="M35" s="2340"/>
      <c r="N35" s="504"/>
      <c r="O35" s="1794"/>
      <c r="P35" s="1794"/>
      <c r="AH35" s="1801">
        <v>0</v>
      </c>
    </row>
    <row s="11913" customFormat="1" customHeight="1" ht="18.75" hidden="1">
      <c r="A36" s="1950" t="s">
        <v>193</v>
      </c>
      <c r="B36" s="1950" t="s">
        <v>194</v>
      </c>
      <c r="C36" s="539"/>
      <c r="D36" s="2632"/>
      <c r="E36" s="2374"/>
      <c r="F36" s="2553" t="str">
        <f>INDEX(PT_DIFFERENTIATION_VTAR,MATCH(A36,PT_DIFFERENTIATION_VTAR_ID,0))</f>
        <v>Тарифы на услуги по передаче тепловой энергии</v>
      </c>
      <c r="G36" s="2597" t="str">
        <f>INDEX(PT_DIFFERENTIATION_NTAR,MATCH(B36,PT_DIFFERENTIATION_NTAR_ID,0))</f>
        <v/>
      </c>
      <c r="H36" s="2032"/>
      <c r="I36" s="1909"/>
      <c r="J36" s="1943"/>
      <c r="K36" s="2035"/>
      <c r="L36" s="2032" t="s">
        <v>318</v>
      </c>
      <c r="M36" s="2340"/>
      <c r="N36" s="504"/>
      <c r="O36" s="1794"/>
      <c r="P36" s="1794"/>
      <c r="AH36" s="1801">
        <v>0</v>
      </c>
    </row>
    <row s="11913" customFormat="1" customHeight="1" ht="18.75" hidden="1">
      <c r="A37" s="1950"/>
      <c r="B37" s="1950"/>
      <c r="C37" s="539" t="s">
        <v>1169</v>
      </c>
      <c r="D37" s="2632"/>
      <c r="E37" s="2374"/>
      <c r="F37" s="2553"/>
      <c r="G37" s="2597"/>
      <c r="H37" s="1670"/>
      <c r="I37" s="821" t="s">
        <v>1170</v>
      </c>
      <c r="J37" s="741"/>
      <c r="K37" s="1670"/>
      <c r="L37" s="384"/>
      <c r="M37" s="2340"/>
      <c r="N37" s="504"/>
      <c r="O37" s="1794"/>
      <c r="P37" s="1794"/>
      <c r="AH37" s="1801">
        <v>0</v>
      </c>
    </row>
    <row s="11913" customFormat="1" customHeight="1" ht="0.75" hidden="1">
      <c r="A38" s="1950"/>
      <c r="B38" s="1950"/>
      <c r="C38" s="539" t="s">
        <v>1175</v>
      </c>
      <c r="D38" s="2632"/>
      <c r="E38" s="2374"/>
      <c r="F38" s="2553"/>
      <c r="G38" s="570"/>
      <c r="H38" s="1670"/>
      <c r="I38" s="821"/>
      <c r="J38" s="741"/>
      <c r="K38" s="1670"/>
      <c r="L38" s="384"/>
      <c r="M38" s="2340"/>
      <c r="N38" s="504"/>
      <c r="O38" s="1794"/>
      <c r="P38" s="1794"/>
      <c r="AH38" s="1801">
        <v>0</v>
      </c>
    </row>
    <row s="11913" customFormat="1" customHeight="1" ht="18.75" hidden="1">
      <c r="A39" s="1950" t="s">
        <v>199</v>
      </c>
      <c r="B39" s="1950" t="s">
        <v>200</v>
      </c>
      <c r="C39" s="539"/>
      <c r="D39" s="2632"/>
      <c r="E39" s="2374"/>
      <c r="F39" s="2553" t="str">
        <f>INDEX(PT_DIFFERENTIATION_VTAR,MATCH(A39,PT_DIFFERENTIATION_VTAR_ID,0))</f>
        <v>Тарифы на услуги по передаче теплоносителя</v>
      </c>
      <c r="G39" s="2597" t="str">
        <f>INDEX(PT_DIFFERENTIATION_NTAR,MATCH(B39,PT_DIFFERENTIATION_NTAR_ID,0))</f>
        <v/>
      </c>
      <c r="H39" s="2032"/>
      <c r="I39" s="1909"/>
      <c r="J39" s="1943"/>
      <c r="K39" s="2035"/>
      <c r="L39" s="2032" t="s">
        <v>318</v>
      </c>
      <c r="M39" s="2340"/>
      <c r="N39" s="504"/>
      <c r="O39" s="1794"/>
      <c r="P39" s="1794"/>
      <c r="AH39" s="1801">
        <v>0</v>
      </c>
    </row>
    <row s="11913" customFormat="1" customHeight="1" ht="18.75" hidden="1">
      <c r="A40" s="1950"/>
      <c r="B40" s="1950"/>
      <c r="C40" s="539" t="s">
        <v>1169</v>
      </c>
      <c r="D40" s="2632"/>
      <c r="E40" s="2374"/>
      <c r="F40" s="2553"/>
      <c r="G40" s="2597"/>
      <c r="H40" s="1670"/>
      <c r="I40" s="821" t="s">
        <v>1170</v>
      </c>
      <c r="J40" s="741"/>
      <c r="K40" s="1670"/>
      <c r="L40" s="384"/>
      <c r="M40" s="2340"/>
      <c r="N40" s="504"/>
      <c r="O40" s="1794"/>
      <c r="P40" s="1794"/>
      <c r="AH40" s="1801">
        <v>0</v>
      </c>
    </row>
    <row s="11913" customFormat="1" customHeight="1" ht="0.75" hidden="1">
      <c r="A41" s="1950"/>
      <c r="B41" s="1950"/>
      <c r="C41" s="539" t="s">
        <v>1175</v>
      </c>
      <c r="D41" s="2632"/>
      <c r="E41" s="2374"/>
      <c r="F41" s="2553"/>
      <c r="G41" s="570"/>
      <c r="H41" s="1670"/>
      <c r="I41" s="821"/>
      <c r="J41" s="741"/>
      <c r="K41" s="1670"/>
      <c r="L41" s="384"/>
      <c r="M41" s="2340"/>
      <c r="N41" s="504"/>
      <c r="O41" s="1794"/>
      <c r="P41" s="1794"/>
      <c r="AH41" s="1801">
        <v>0</v>
      </c>
    </row>
    <row s="11913" customFormat="1" customHeight="1" ht="18.75" hidden="1">
      <c r="A42" s="1950" t="s">
        <v>205</v>
      </c>
      <c r="B42" s="1950" t="s">
        <v>206</v>
      </c>
      <c r="C42" s="539"/>
      <c r="D42" s="2632"/>
      <c r="E42" s="2374"/>
      <c r="F42" s="2553" t="str">
        <f>INDEX(PT_DIFFERENTIATION_VTAR,MATCH(A42,PT_DIFFERENTIATION_VTAR_ID,0))</f>
        <v>Плата за услуги по поддержанию резервной тепловой мощности при отсутствии потребления тепловой энергии</v>
      </c>
      <c r="G42" s="2597" t="str">
        <f>INDEX(PT_DIFFERENTIATION_NTAR,MATCH(B42,PT_DIFFERENTIATION_NTAR_ID,0))</f>
        <v/>
      </c>
      <c r="H42" s="2032"/>
      <c r="I42" s="1909"/>
      <c r="J42" s="1943"/>
      <c r="K42" s="2035"/>
      <c r="L42" s="2032" t="s">
        <v>318</v>
      </c>
      <c r="M42" s="2340"/>
      <c r="N42" s="504"/>
      <c r="O42" s="1794"/>
      <c r="P42" s="1794"/>
      <c r="AH42" s="1801">
        <v>0</v>
      </c>
    </row>
    <row s="11913" customFormat="1" customHeight="1" ht="18.75" hidden="1">
      <c r="A43" s="1950"/>
      <c r="B43" s="1950"/>
      <c r="C43" s="539" t="s">
        <v>1169</v>
      </c>
      <c r="D43" s="2632"/>
      <c r="E43" s="2374"/>
      <c r="F43" s="2553"/>
      <c r="G43" s="2597"/>
      <c r="H43" s="1670"/>
      <c r="I43" s="821" t="s">
        <v>1170</v>
      </c>
      <c r="J43" s="741"/>
      <c r="K43" s="1670"/>
      <c r="L43" s="384"/>
      <c r="M43" s="2340"/>
      <c r="N43" s="504"/>
      <c r="O43" s="1794"/>
      <c r="P43" s="1794"/>
      <c r="AH43" s="1801">
        <v>0</v>
      </c>
    </row>
    <row s="11913" customFormat="1" customHeight="1" ht="0.75" hidden="1">
      <c r="A44" s="1950"/>
      <c r="B44" s="1950"/>
      <c r="C44" s="539" t="s">
        <v>1175</v>
      </c>
      <c r="D44" s="2632"/>
      <c r="E44" s="2374"/>
      <c r="F44" s="2553"/>
      <c r="G44" s="570"/>
      <c r="H44" s="1670"/>
      <c r="I44" s="821"/>
      <c r="J44" s="741"/>
      <c r="K44" s="1670"/>
      <c r="L44" s="384"/>
      <c r="M44" s="2340"/>
      <c r="N44" s="504"/>
      <c r="O44" s="1794"/>
      <c r="P44" s="1794"/>
      <c r="AH44" s="1801">
        <v>0</v>
      </c>
    </row>
    <row s="11913" customFormat="1" customHeight="1" ht="18.75" hidden="1">
      <c r="A45" s="1950" t="s">
        <v>211</v>
      </c>
      <c r="B45" s="1950" t="s">
        <v>212</v>
      </c>
      <c r="C45" s="539"/>
      <c r="D45" s="2632"/>
      <c r="E45" s="2374"/>
      <c r="F45" s="2553" t="str">
        <f>INDEX(PT_DIFFERENTIATION_VTAR,MATCH(A45,PT_DIFFERENTIATION_VTAR_ID,0))</f>
        <v>Плата за подключение (технологическое присоединение) к системе теплоснабжения</v>
      </c>
      <c r="G45" s="2597" t="str">
        <f>INDEX(PT_DIFFERENTIATION_NTAR,MATCH(B45,PT_DIFFERENTIATION_NTAR_ID,0))</f>
        <v/>
      </c>
      <c r="H45" s="2032"/>
      <c r="I45" s="1909"/>
      <c r="J45" s="1943"/>
      <c r="K45" s="2035"/>
      <c r="L45" s="2032" t="s">
        <v>318</v>
      </c>
      <c r="M45" s="2340"/>
      <c r="N45" s="504"/>
      <c r="O45" s="1794"/>
      <c r="P45" s="1794"/>
      <c r="AH45" s="1801">
        <v>0</v>
      </c>
    </row>
    <row s="11913" customFormat="1" customHeight="1" ht="18.75" hidden="1">
      <c r="A46" s="1950"/>
      <c r="B46" s="1950"/>
      <c r="C46" s="539" t="s">
        <v>1169</v>
      </c>
      <c r="D46" s="2632"/>
      <c r="E46" s="2374"/>
      <c r="F46" s="2553"/>
      <c r="G46" s="2597"/>
      <c r="H46" s="1670"/>
      <c r="I46" s="821" t="s">
        <v>1170</v>
      </c>
      <c r="J46" s="741"/>
      <c r="K46" s="1670"/>
      <c r="L46" s="384"/>
      <c r="M46" s="2340"/>
      <c r="N46" s="504"/>
      <c r="O46" s="1794"/>
      <c r="P46" s="1794"/>
      <c r="AH46" s="1801">
        <v>0</v>
      </c>
    </row>
    <row s="15092" customFormat="1" customHeight="1" ht="18.75">
      <c r="A47" s="7075" t="s">
        <v>211</v>
      </c>
      <c r="B47" s="7075" t="s">
        <v>1176</v>
      </c>
      <c r="C47" s="7076"/>
      <c r="D47" s="7077"/>
      <c r="E47" s="7078"/>
      <c r="F47" s="7078"/>
      <c r="G47" s="7079">
        <f>INDEX(PT_DIFFERENTIATION_NTAR,MATCH(B47,PT_DIFFERENTIATION_NTAR_ID,0))</f>
      </c>
      <c r="H47" s="7080"/>
      <c r="I47" s="7081"/>
      <c r="J47" s="7082"/>
      <c r="K47" s="7083"/>
      <c r="L47" s="7080" t="s">
        <v>318</v>
      </c>
      <c r="M47" s="7084"/>
      <c r="N47" s="7085"/>
      <c r="O47" s="3984"/>
      <c r="P47" s="3984"/>
      <c r="Q47" s="3985"/>
      <c r="R47" s="3985"/>
      <c r="S47" s="3985"/>
      <c r="T47" s="3985"/>
      <c r="U47" s="3985"/>
      <c r="V47" s="3985"/>
      <c r="W47" s="3985"/>
      <c r="X47" s="3985"/>
      <c r="Y47" s="3985"/>
      <c r="Z47" s="3985"/>
      <c r="AA47" s="3985"/>
      <c r="AB47" s="3985"/>
      <c r="AC47" s="3985"/>
      <c r="AD47" s="3985"/>
      <c r="AE47" s="3985"/>
      <c r="AF47" s="3985"/>
      <c r="AG47" s="3985"/>
      <c r="AH47" s="3985">
        <v>0</v>
      </c>
    </row>
    <row s="15092" customFormat="1" customHeight="1" ht="18.75">
      <c r="A48" s="7075"/>
      <c r="B48" s="7075"/>
      <c r="C48" s="7076" t="s">
        <v>1169</v>
      </c>
      <c r="D48" s="7077"/>
      <c r="E48" s="7078"/>
      <c r="F48" s="7078"/>
      <c r="G48" s="7079"/>
      <c r="H48" s="7086"/>
      <c r="I48" s="7087" t="s">
        <v>1170</v>
      </c>
      <c r="J48" s="7088"/>
      <c r="K48" s="7089"/>
      <c r="L48" s="7090"/>
      <c r="M48" s="7084"/>
      <c r="N48" s="7085"/>
      <c r="O48" s="3984"/>
      <c r="P48" s="3984"/>
      <c r="Q48" s="3985"/>
      <c r="R48" s="3985"/>
      <c r="S48" s="3985"/>
      <c r="T48" s="3985"/>
      <c r="U48" s="3985"/>
      <c r="V48" s="3985"/>
      <c r="W48" s="3985"/>
      <c r="X48" s="3985"/>
      <c r="Y48" s="3985"/>
      <c r="Z48" s="3985"/>
      <c r="AA48" s="3985"/>
      <c r="AB48" s="3985"/>
      <c r="AC48" s="3985"/>
      <c r="AD48" s="3985"/>
      <c r="AE48" s="3985"/>
      <c r="AF48" s="3985"/>
      <c r="AG48" s="3985"/>
      <c r="AH48" s="3985">
        <v>0</v>
      </c>
    </row>
    <row s="11913" customFormat="1" customHeight="1" ht="0.75" hidden="1">
      <c r="A49" s="1950"/>
      <c r="B49" s="1950"/>
      <c r="C49" s="539" t="s">
        <v>1175</v>
      </c>
      <c r="D49" s="2632"/>
      <c r="E49" s="2374"/>
      <c r="F49" s="2553"/>
      <c r="G49" s="570"/>
      <c r="H49" s="1670"/>
      <c r="I49" s="821"/>
      <c r="J49" s="741"/>
      <c r="K49" s="1670"/>
      <c r="L49" s="384"/>
      <c r="M49" s="2340"/>
      <c r="N49" s="504"/>
      <c r="O49" s="1794"/>
      <c r="P49" s="1794"/>
      <c r="AH49" s="1801">
        <v>0</v>
      </c>
    </row>
    <row s="11913" customFormat="1" customHeight="1" ht="18.75" hidden="1">
      <c r="A50" s="1950" t="s">
        <v>217</v>
      </c>
      <c r="B50" s="1950" t="s">
        <v>218</v>
      </c>
      <c r="C50" s="539"/>
      <c r="D50" s="2632"/>
      <c r="E50" s="2374"/>
      <c r="F50" s="2553" t="str">
        <f>INDEX(PT_DIFFERENTIATION_VTAR,MATCH(A50,PT_DIFFERENTIATION_VTAR_ID,0))</f>
        <v>Плата за подключение (технологическое присоединение) к системе теплоснабжения (индивидуальная)</v>
      </c>
      <c r="G50" s="2597" t="str">
        <f>INDEX(PT_DIFFERENTIATION_NTAR,MATCH(B50,PT_DIFFERENTIATION_NTAR_ID,0))</f>
        <v/>
      </c>
      <c r="H50" s="2159"/>
      <c r="I50" s="1909"/>
      <c r="J50" s="1943"/>
      <c r="K50" s="2035"/>
      <c r="L50" s="2159" t="s">
        <v>318</v>
      </c>
      <c r="M50" s="2340"/>
      <c r="N50" s="504"/>
      <c r="O50" s="1794"/>
      <c r="P50" s="1794"/>
      <c r="AH50" s="1801">
        <v>0</v>
      </c>
    </row>
    <row s="11913" customFormat="1" customHeight="1" ht="18.75" hidden="1">
      <c r="A51" s="1950"/>
      <c r="B51" s="1950"/>
      <c r="C51" s="539" t="s">
        <v>1169</v>
      </c>
      <c r="D51" s="2632"/>
      <c r="E51" s="2374"/>
      <c r="F51" s="2553"/>
      <c r="G51" s="2597"/>
      <c r="H51" s="1670"/>
      <c r="I51" s="821" t="s">
        <v>1170</v>
      </c>
      <c r="J51" s="741"/>
      <c r="K51" s="1670"/>
      <c r="L51" s="384"/>
      <c r="M51" s="2340"/>
      <c r="N51" s="504"/>
      <c r="O51" s="1794"/>
      <c r="P51" s="1794"/>
      <c r="AH51" s="1801">
        <v>0</v>
      </c>
    </row>
    <row s="11913" customFormat="1" customHeight="1" ht="0.75" hidden="1">
      <c r="A52" s="1950"/>
      <c r="B52" s="1950"/>
      <c r="C52" s="539" t="s">
        <v>1175</v>
      </c>
      <c r="D52" s="2632"/>
      <c r="E52" s="2374"/>
      <c r="F52" s="2553"/>
      <c r="G52" s="570"/>
      <c r="H52" s="1670"/>
      <c r="I52" s="821"/>
      <c r="J52" s="741"/>
      <c r="K52" s="1670"/>
      <c r="L52" s="384"/>
      <c r="M52" s="2340"/>
      <c r="N52" s="504"/>
      <c r="O52" s="1794"/>
      <c r="P52" s="1794"/>
      <c r="AH52" s="1801">
        <v>0</v>
      </c>
    </row>
    <row s="11913" customFormat="1" customHeight="1" ht="18.75" hidden="1">
      <c r="A53" s="1950" t="s">
        <v>237</v>
      </c>
      <c r="B53" s="1950" t="s">
        <v>238</v>
      </c>
      <c r="C53" s="539"/>
      <c r="D53" s="2632"/>
      <c r="E53" s="2374"/>
      <c r="F53" s="2553" t="str">
        <f>INDEX(PT_DIFFERENTIATION_VTAR,MATCH(A53,PT_DIFFERENTIATION_VTAR_ID,0))</f>
        <v>Тариф на питьевую воду (питьевое водоснабжение)</v>
      </c>
      <c r="G53" s="2597" t="str">
        <f>INDEX(PT_DIFFERENTIATION_NTAR,MATCH(B53,PT_DIFFERENTIATION_NTAR_ID,0))</f>
        <v/>
      </c>
      <c r="H53" s="2032"/>
      <c r="I53" s="1909"/>
      <c r="J53" s="1943"/>
      <c r="K53" s="2035"/>
      <c r="L53" s="2032" t="s">
        <v>318</v>
      </c>
      <c r="M53" s="2340"/>
      <c r="N53" s="504"/>
      <c r="O53" s="1794"/>
      <c r="P53" s="1794"/>
      <c r="AH53" s="1801">
        <v>0</v>
      </c>
    </row>
    <row s="11913" customFormat="1" customHeight="1" ht="18.75" hidden="1">
      <c r="A54" s="1950"/>
      <c r="B54" s="1950"/>
      <c r="C54" s="539" t="s">
        <v>1169</v>
      </c>
      <c r="D54" s="2632"/>
      <c r="E54" s="2374"/>
      <c r="F54" s="2553"/>
      <c r="G54" s="2597"/>
      <c r="H54" s="1670"/>
      <c r="I54" s="821" t="s">
        <v>1170</v>
      </c>
      <c r="J54" s="741"/>
      <c r="K54" s="1670"/>
      <c r="L54" s="384"/>
      <c r="M54" s="2340"/>
      <c r="N54" s="504"/>
      <c r="O54" s="1794"/>
      <c r="P54" s="1794"/>
      <c r="AH54" s="1801">
        <v>0</v>
      </c>
    </row>
    <row s="11913" customFormat="1" customHeight="1" ht="0.75" hidden="1">
      <c r="A55" s="1950"/>
      <c r="B55" s="1950"/>
      <c r="C55" s="539" t="s">
        <v>1175</v>
      </c>
      <c r="D55" s="2632"/>
      <c r="E55" s="2374"/>
      <c r="F55" s="2553"/>
      <c r="G55" s="570"/>
      <c r="H55" s="1670"/>
      <c r="I55" s="821"/>
      <c r="J55" s="741"/>
      <c r="K55" s="1670"/>
      <c r="L55" s="384"/>
      <c r="M55" s="2340"/>
      <c r="N55" s="504"/>
      <c r="O55" s="1794"/>
      <c r="P55" s="1794"/>
      <c r="AH55" s="1801">
        <v>0</v>
      </c>
    </row>
    <row s="11913" customFormat="1" customHeight="1" ht="18.75" hidden="1">
      <c r="A56" s="1950" t="s">
        <v>242</v>
      </c>
      <c r="B56" s="1950" t="s">
        <v>243</v>
      </c>
      <c r="C56" s="539"/>
      <c r="D56" s="2632"/>
      <c r="E56" s="2374"/>
      <c r="F56" s="2553" t="str">
        <f>INDEX(PT_DIFFERENTIATION_VTAR,MATCH(A56,PT_DIFFERENTIATION_VTAR_ID,0))</f>
        <v>Тариф на техническую воду</v>
      </c>
      <c r="G56" s="2597" t="str">
        <f>INDEX(PT_DIFFERENTIATION_NTAR,MATCH(B56,PT_DIFFERENTIATION_NTAR_ID,0))</f>
        <v/>
      </c>
      <c r="H56" s="2032"/>
      <c r="I56" s="1909"/>
      <c r="J56" s="1943"/>
      <c r="K56" s="2035"/>
      <c r="L56" s="2032" t="s">
        <v>318</v>
      </c>
      <c r="M56" s="2340"/>
      <c r="N56" s="504"/>
      <c r="O56" s="1794"/>
      <c r="P56" s="1794"/>
      <c r="AH56" s="1801">
        <v>0</v>
      </c>
    </row>
    <row s="11913" customFormat="1" customHeight="1" ht="18.75" hidden="1">
      <c r="A57" s="1950"/>
      <c r="B57" s="1950"/>
      <c r="C57" s="539" t="s">
        <v>1169</v>
      </c>
      <c r="D57" s="2632"/>
      <c r="E57" s="2374"/>
      <c r="F57" s="2553"/>
      <c r="G57" s="2597"/>
      <c r="H57" s="1670"/>
      <c r="I57" s="821" t="s">
        <v>1170</v>
      </c>
      <c r="J57" s="741"/>
      <c r="K57" s="1670"/>
      <c r="L57" s="384"/>
      <c r="M57" s="2340"/>
      <c r="N57" s="504"/>
      <c r="O57" s="1794"/>
      <c r="P57" s="1794"/>
      <c r="AH57" s="1801">
        <v>0</v>
      </c>
    </row>
    <row s="11913" customFormat="1" customHeight="1" ht="0.75" hidden="1">
      <c r="A58" s="1950"/>
      <c r="B58" s="1950"/>
      <c r="C58" s="539" t="s">
        <v>1175</v>
      </c>
      <c r="D58" s="2632"/>
      <c r="E58" s="2374"/>
      <c r="F58" s="2553"/>
      <c r="G58" s="570"/>
      <c r="H58" s="1670"/>
      <c r="I58" s="821"/>
      <c r="J58" s="741"/>
      <c r="K58" s="1670"/>
      <c r="L58" s="384"/>
      <c r="M58" s="2340"/>
      <c r="N58" s="504"/>
      <c r="O58" s="1794"/>
      <c r="P58" s="1794"/>
      <c r="AH58" s="1801">
        <v>0</v>
      </c>
    </row>
    <row s="11913" customFormat="1" customHeight="1" ht="18.75" hidden="1">
      <c r="A59" s="1950" t="s">
        <v>247</v>
      </c>
      <c r="B59" s="1950" t="s">
        <v>248</v>
      </c>
      <c r="C59" s="539"/>
      <c r="D59" s="2632"/>
      <c r="E59" s="2374"/>
      <c r="F59" s="2553" t="str">
        <f>INDEX(PT_DIFFERENTIATION_VTAR,MATCH(A59,PT_DIFFERENTIATION_VTAR_ID,0))</f>
        <v>Тариф на транспортировку воды</v>
      </c>
      <c r="G59" s="2597" t="str">
        <f>INDEX(PT_DIFFERENTIATION_NTAR,MATCH(B59,PT_DIFFERENTIATION_NTAR_ID,0))</f>
        <v/>
      </c>
      <c r="H59" s="2032"/>
      <c r="I59" s="1909"/>
      <c r="J59" s="1943"/>
      <c r="K59" s="2035"/>
      <c r="L59" s="2032" t="s">
        <v>318</v>
      </c>
      <c r="M59" s="2340"/>
      <c r="N59" s="504"/>
      <c r="O59" s="1794"/>
      <c r="P59" s="1794"/>
      <c r="AH59" s="1801">
        <v>0</v>
      </c>
    </row>
    <row s="11913" customFormat="1" customHeight="1" ht="18.75" hidden="1">
      <c r="A60" s="1950"/>
      <c r="B60" s="1950"/>
      <c r="C60" s="539" t="s">
        <v>1169</v>
      </c>
      <c r="D60" s="2632"/>
      <c r="E60" s="2374"/>
      <c r="F60" s="2553"/>
      <c r="G60" s="2597"/>
      <c r="H60" s="1670"/>
      <c r="I60" s="821" t="s">
        <v>1170</v>
      </c>
      <c r="J60" s="741"/>
      <c r="K60" s="1670"/>
      <c r="L60" s="384"/>
      <c r="M60" s="2340"/>
      <c r="N60" s="504"/>
      <c r="O60" s="1794"/>
      <c r="P60" s="1794"/>
      <c r="AH60" s="1801">
        <v>0</v>
      </c>
    </row>
    <row s="11913" customFormat="1" customHeight="1" ht="0.75" hidden="1">
      <c r="A61" s="1950"/>
      <c r="B61" s="1950"/>
      <c r="C61" s="539" t="s">
        <v>1175</v>
      </c>
      <c r="D61" s="2632"/>
      <c r="E61" s="2374"/>
      <c r="F61" s="2553"/>
      <c r="G61" s="570"/>
      <c r="H61" s="1670"/>
      <c r="I61" s="821"/>
      <c r="J61" s="741"/>
      <c r="K61" s="1670"/>
      <c r="L61" s="384"/>
      <c r="M61" s="2340"/>
      <c r="N61" s="504"/>
      <c r="O61" s="1794"/>
      <c r="P61" s="1794"/>
      <c r="AH61" s="1801">
        <v>0</v>
      </c>
    </row>
    <row s="11913" customFormat="1" customHeight="1" ht="18.75" hidden="1">
      <c r="A62" s="1950" t="s">
        <v>252</v>
      </c>
      <c r="B62" s="1950" t="s">
        <v>253</v>
      </c>
      <c r="C62" s="539"/>
      <c r="D62" s="2632"/>
      <c r="E62" s="2374"/>
      <c r="F62" s="2553" t="str">
        <f>INDEX(PT_DIFFERENTIATION_VTAR,MATCH(A62,PT_DIFFERENTIATION_VTAR_ID,0))</f>
        <v>Тариф на подвоз воды</v>
      </c>
      <c r="G62" s="2597" t="str">
        <f>INDEX(PT_DIFFERENTIATION_NTAR,MATCH(B62,PT_DIFFERENTIATION_NTAR_ID,0))</f>
        <v/>
      </c>
      <c r="H62" s="2032"/>
      <c r="I62" s="1909"/>
      <c r="J62" s="1943"/>
      <c r="K62" s="2035"/>
      <c r="L62" s="2032" t="s">
        <v>318</v>
      </c>
      <c r="M62" s="2340"/>
      <c r="N62" s="504"/>
      <c r="O62" s="1794"/>
      <c r="P62" s="1794"/>
      <c r="AH62" s="1801">
        <v>0</v>
      </c>
    </row>
    <row s="11913" customFormat="1" customHeight="1" ht="18.75" hidden="1">
      <c r="A63" s="1950"/>
      <c r="B63" s="1950"/>
      <c r="C63" s="539" t="s">
        <v>1169</v>
      </c>
      <c r="D63" s="2632"/>
      <c r="E63" s="2374"/>
      <c r="F63" s="2553"/>
      <c r="G63" s="2597"/>
      <c r="H63" s="1670"/>
      <c r="I63" s="821" t="s">
        <v>1170</v>
      </c>
      <c r="J63" s="741"/>
      <c r="K63" s="1670"/>
      <c r="L63" s="384"/>
      <c r="M63" s="2340"/>
      <c r="N63" s="504"/>
      <c r="O63" s="1794"/>
      <c r="P63" s="1794"/>
      <c r="AH63" s="1801">
        <v>0</v>
      </c>
    </row>
    <row s="11913" customFormat="1" customHeight="1" ht="0.75" hidden="1">
      <c r="A64" s="1950"/>
      <c r="B64" s="1950"/>
      <c r="C64" s="539" t="s">
        <v>1175</v>
      </c>
      <c r="D64" s="2632"/>
      <c r="E64" s="2374"/>
      <c r="F64" s="2553"/>
      <c r="G64" s="570"/>
      <c r="H64" s="1670"/>
      <c r="I64" s="821"/>
      <c r="J64" s="741"/>
      <c r="K64" s="1670"/>
      <c r="L64" s="384"/>
      <c r="M64" s="2340"/>
      <c r="N64" s="504"/>
      <c r="O64" s="1794"/>
      <c r="P64" s="1794"/>
      <c r="AH64" s="1801">
        <v>0</v>
      </c>
    </row>
    <row s="11913" customFormat="1" customHeight="1" ht="18.75" hidden="1">
      <c r="A65" s="1950" t="s">
        <v>257</v>
      </c>
      <c r="B65" s="1950" t="s">
        <v>258</v>
      </c>
      <c r="C65" s="539"/>
      <c r="D65" s="2632"/>
      <c r="E65" s="2374"/>
      <c r="F65" s="2553" t="str">
        <f>INDEX(PT_DIFFERENTIATION_VTAR,MATCH(A65,PT_DIFFERENTIATION_VTAR_ID,0))</f>
        <v>Тариф на подключение (технологическое присоединение) к централизованной системе холодного водоснабжения</v>
      </c>
      <c r="G65" s="2597" t="str">
        <f>INDEX(PT_DIFFERENTIATION_NTAR,MATCH(B65,PT_DIFFERENTIATION_NTAR_ID,0))</f>
        <v/>
      </c>
      <c r="H65" s="2032"/>
      <c r="I65" s="1909"/>
      <c r="J65" s="1943"/>
      <c r="K65" s="2035"/>
      <c r="L65" s="2032" t="s">
        <v>318</v>
      </c>
      <c r="M65" s="2340"/>
      <c r="N65" s="504"/>
      <c r="O65" s="1794"/>
      <c r="P65" s="1794"/>
      <c r="AH65" s="1801">
        <v>0</v>
      </c>
    </row>
    <row s="11913" customFormat="1" customHeight="1" ht="18.75" hidden="1">
      <c r="A66" s="1950"/>
      <c r="B66" s="1950"/>
      <c r="C66" s="539" t="s">
        <v>1169</v>
      </c>
      <c r="D66" s="2632"/>
      <c r="E66" s="2374"/>
      <c r="F66" s="2553"/>
      <c r="G66" s="2597"/>
      <c r="H66" s="1670"/>
      <c r="I66" s="821" t="s">
        <v>1170</v>
      </c>
      <c r="J66" s="741"/>
      <c r="K66" s="1670"/>
      <c r="L66" s="384"/>
      <c r="M66" s="2340"/>
      <c r="N66" s="504"/>
      <c r="O66" s="1794"/>
      <c r="P66" s="1794"/>
      <c r="AH66" s="1801">
        <v>0</v>
      </c>
    </row>
    <row s="11913" customFormat="1" customHeight="1" ht="0.75" hidden="1">
      <c r="A67" s="1950"/>
      <c r="B67" s="1950"/>
      <c r="C67" s="539" t="s">
        <v>1175</v>
      </c>
      <c r="D67" s="2632"/>
      <c r="E67" s="2374"/>
      <c r="F67" s="2553"/>
      <c r="G67" s="570"/>
      <c r="H67" s="1670"/>
      <c r="I67" s="821"/>
      <c r="J67" s="741"/>
      <c r="K67" s="1670"/>
      <c r="L67" s="384"/>
      <c r="M67" s="2340"/>
      <c r="N67" s="504"/>
      <c r="O67" s="1794"/>
      <c r="P67" s="1794"/>
      <c r="AH67" s="1801">
        <v>0</v>
      </c>
    </row>
    <row s="11913" customFormat="1" customHeight="1" ht="18.75" hidden="1">
      <c r="A68" s="1950" t="s">
        <v>262</v>
      </c>
      <c r="B68" s="1950" t="s">
        <v>263</v>
      </c>
      <c r="C68" s="539"/>
      <c r="D68" s="2632"/>
      <c r="E68" s="2374"/>
      <c r="F68" s="2553" t="str">
        <f>INDEX(PT_DIFFERENTIATION_VTAR,MATCH(A68,PT_DIFFERENTIATION_VTAR_ID,0))</f>
        <v>Тариф на горячую воду (горячее водоснабжение)</v>
      </c>
      <c r="G68" s="2597" t="str">
        <f>INDEX(PT_DIFFERENTIATION_NTAR,MATCH(B68,PT_DIFFERENTIATION_NTAR_ID,0))</f>
        <v/>
      </c>
      <c r="H68" s="2032"/>
      <c r="I68" s="1909"/>
      <c r="J68" s="1943"/>
      <c r="K68" s="2035"/>
      <c r="L68" s="2032" t="s">
        <v>318</v>
      </c>
      <c r="M68" s="2340"/>
      <c r="N68" s="504"/>
      <c r="O68" s="1794"/>
      <c r="P68" s="1794"/>
      <c r="AH68" s="1801">
        <v>0</v>
      </c>
    </row>
    <row s="11913" customFormat="1" customHeight="1" ht="18.75" hidden="1">
      <c r="A69" s="1950"/>
      <c r="B69" s="1950"/>
      <c r="C69" s="539" t="s">
        <v>1169</v>
      </c>
      <c r="D69" s="2632"/>
      <c r="E69" s="2374"/>
      <c r="F69" s="2553"/>
      <c r="G69" s="2597"/>
      <c r="H69" s="1670"/>
      <c r="I69" s="821" t="s">
        <v>1170</v>
      </c>
      <c r="J69" s="741"/>
      <c r="K69" s="1670"/>
      <c r="L69" s="384"/>
      <c r="M69" s="2340"/>
      <c r="N69" s="504"/>
      <c r="O69" s="1794"/>
      <c r="P69" s="1794"/>
      <c r="AH69" s="1801">
        <v>0</v>
      </c>
    </row>
    <row s="11913" customFormat="1" customHeight="1" ht="0.75" hidden="1">
      <c r="A70" s="1950"/>
      <c r="B70" s="1950"/>
      <c r="C70" s="539" t="s">
        <v>1175</v>
      </c>
      <c r="D70" s="2632"/>
      <c r="E70" s="2374"/>
      <c r="F70" s="2553"/>
      <c r="G70" s="570"/>
      <c r="H70" s="1670"/>
      <c r="I70" s="821"/>
      <c r="J70" s="741"/>
      <c r="K70" s="1670"/>
      <c r="L70" s="384"/>
      <c r="M70" s="2340"/>
      <c r="N70" s="504"/>
      <c r="O70" s="1794"/>
      <c r="P70" s="1794"/>
      <c r="AH70" s="1801">
        <v>0</v>
      </c>
    </row>
    <row s="11913" customFormat="1" customHeight="1" ht="18.75" hidden="1">
      <c r="A71" s="1950" t="s">
        <v>267</v>
      </c>
      <c r="B71" s="1950" t="s">
        <v>268</v>
      </c>
      <c r="C71" s="539"/>
      <c r="D71" s="2632"/>
      <c r="E71" s="2374"/>
      <c r="F71" s="2553" t="str">
        <f>INDEX(PT_DIFFERENTIATION_VTAR,MATCH(A71,PT_DIFFERENTIATION_VTAR_ID,0))</f>
        <v>Тариф на транспортировку горячей воды</v>
      </c>
      <c r="G71" s="2597" t="str">
        <f>INDEX(PT_DIFFERENTIATION_NTAR,MATCH(B71,PT_DIFFERENTIATION_NTAR_ID,0))</f>
        <v/>
      </c>
      <c r="H71" s="2032"/>
      <c r="I71" s="1909"/>
      <c r="J71" s="1943"/>
      <c r="K71" s="2035"/>
      <c r="L71" s="2032" t="s">
        <v>318</v>
      </c>
      <c r="M71" s="2340"/>
      <c r="N71" s="504"/>
      <c r="O71" s="1794"/>
      <c r="P71" s="1794"/>
      <c r="AH71" s="1801">
        <v>0</v>
      </c>
    </row>
    <row s="11913" customFormat="1" customHeight="1" ht="18.75" hidden="1">
      <c r="A72" s="1950"/>
      <c r="B72" s="1950"/>
      <c r="C72" s="539" t="s">
        <v>1169</v>
      </c>
      <c r="D72" s="2632"/>
      <c r="E72" s="2374"/>
      <c r="F72" s="2553"/>
      <c r="G72" s="2597"/>
      <c r="H72" s="1670"/>
      <c r="I72" s="821" t="s">
        <v>1170</v>
      </c>
      <c r="J72" s="741"/>
      <c r="K72" s="1670"/>
      <c r="L72" s="384"/>
      <c r="M72" s="2340"/>
      <c r="N72" s="504"/>
      <c r="O72" s="1794"/>
      <c r="P72" s="1794"/>
      <c r="AH72" s="1801">
        <v>0</v>
      </c>
    </row>
    <row s="11913" customFormat="1" customHeight="1" ht="0.75" hidden="1">
      <c r="A73" s="1950"/>
      <c r="B73" s="1950"/>
      <c r="C73" s="539" t="s">
        <v>1175</v>
      </c>
      <c r="D73" s="2632"/>
      <c r="E73" s="2374"/>
      <c r="F73" s="2553"/>
      <c r="G73" s="570"/>
      <c r="H73" s="1670"/>
      <c r="I73" s="821"/>
      <c r="J73" s="741"/>
      <c r="K73" s="1670"/>
      <c r="L73" s="384"/>
      <c r="M73" s="2340"/>
      <c r="N73" s="504"/>
      <c r="O73" s="1794"/>
      <c r="P73" s="1794"/>
      <c r="AH73" s="1801">
        <v>0</v>
      </c>
    </row>
    <row s="11913" customFormat="1" customHeight="1" ht="18.75" hidden="1">
      <c r="A74" s="1950" t="s">
        <v>272</v>
      </c>
      <c r="B74" s="1950" t="s">
        <v>273</v>
      </c>
      <c r="C74" s="539"/>
      <c r="D74" s="2632"/>
      <c r="E74" s="2374"/>
      <c r="F74" s="2553" t="str">
        <f>INDEX(PT_DIFFERENTIATION_VTAR,MATCH(A74,PT_DIFFERENTIATION_VTAR_ID,0))</f>
        <v>Тариф на подключение (технологическое присоединение) к централизованной системе горячего водоснабжения</v>
      </c>
      <c r="G74" s="2597" t="str">
        <f>INDEX(PT_DIFFERENTIATION_NTAR,MATCH(B74,PT_DIFFERENTIATION_NTAR_ID,0))</f>
        <v/>
      </c>
      <c r="H74" s="2032"/>
      <c r="I74" s="1909"/>
      <c r="J74" s="1943"/>
      <c r="K74" s="2035"/>
      <c r="L74" s="2032" t="s">
        <v>318</v>
      </c>
      <c r="M74" s="2340"/>
      <c r="N74" s="504"/>
      <c r="O74" s="1794"/>
      <c r="P74" s="1794"/>
      <c r="AH74" s="1801">
        <v>0</v>
      </c>
    </row>
    <row s="11913" customFormat="1" customHeight="1" ht="18.75" hidden="1">
      <c r="A75" s="1950"/>
      <c r="B75" s="1950"/>
      <c r="C75" s="539" t="s">
        <v>1169</v>
      </c>
      <c r="D75" s="2632"/>
      <c r="E75" s="2374"/>
      <c r="F75" s="2553"/>
      <c r="G75" s="2597"/>
      <c r="H75" s="1670"/>
      <c r="I75" s="821" t="s">
        <v>1170</v>
      </c>
      <c r="J75" s="741"/>
      <c r="K75" s="1670"/>
      <c r="L75" s="384"/>
      <c r="M75" s="2340"/>
      <c r="N75" s="504"/>
      <c r="O75" s="1794"/>
      <c r="P75" s="1794"/>
      <c r="AH75" s="1801">
        <v>0</v>
      </c>
    </row>
    <row s="11913" customFormat="1" customHeight="1" ht="0.75" hidden="1">
      <c r="A76" s="1950"/>
      <c r="B76" s="1950"/>
      <c r="C76" s="539" t="s">
        <v>1175</v>
      </c>
      <c r="D76" s="2632"/>
      <c r="E76" s="2374"/>
      <c r="F76" s="2553"/>
      <c r="G76" s="570"/>
      <c r="H76" s="1670"/>
      <c r="I76" s="821"/>
      <c r="J76" s="741"/>
      <c r="K76" s="1670"/>
      <c r="L76" s="384"/>
      <c r="M76" s="2340"/>
      <c r="N76" s="504"/>
      <c r="O76" s="1794"/>
      <c r="P76" s="1794"/>
      <c r="AH76" s="1801">
        <v>0</v>
      </c>
    </row>
    <row s="11913" customFormat="1" customHeight="1" ht="18.75" hidden="1">
      <c r="A77" s="1950" t="s">
        <v>277</v>
      </c>
      <c r="B77" s="1950" t="s">
        <v>278</v>
      </c>
      <c r="C77" s="539"/>
      <c r="D77" s="2632"/>
      <c r="E77" s="2374"/>
      <c r="F77" s="2553" t="str">
        <f>INDEX(PT_DIFFERENTIATION_VTAR,MATCH(A77,PT_DIFFERENTIATION_VTAR_ID,0))</f>
        <v>Тариф на водоотведение</v>
      </c>
      <c r="G77" s="2597" t="str">
        <f>INDEX(PT_DIFFERENTIATION_NTAR,MATCH(B77,PT_DIFFERENTIATION_NTAR_ID,0))</f>
        <v/>
      </c>
      <c r="H77" s="2032"/>
      <c r="I77" s="1909"/>
      <c r="J77" s="1943"/>
      <c r="K77" s="2035"/>
      <c r="L77" s="2032" t="s">
        <v>318</v>
      </c>
      <c r="M77" s="2340"/>
      <c r="N77" s="504"/>
      <c r="O77" s="1794"/>
      <c r="P77" s="1794"/>
      <c r="AH77" s="1801">
        <v>0</v>
      </c>
    </row>
    <row s="11913" customFormat="1" customHeight="1" ht="18.75" hidden="1">
      <c r="A78" s="1950"/>
      <c r="B78" s="1950"/>
      <c r="C78" s="539" t="s">
        <v>1169</v>
      </c>
      <c r="D78" s="2632"/>
      <c r="E78" s="2374"/>
      <c r="F78" s="2553"/>
      <c r="G78" s="2597"/>
      <c r="H78" s="1670"/>
      <c r="I78" s="821" t="s">
        <v>1170</v>
      </c>
      <c r="J78" s="741"/>
      <c r="K78" s="1670"/>
      <c r="L78" s="384"/>
      <c r="M78" s="2340"/>
      <c r="N78" s="504"/>
      <c r="O78" s="1794"/>
      <c r="P78" s="1794"/>
      <c r="AH78" s="1801">
        <v>0</v>
      </c>
    </row>
    <row s="11913" customFormat="1" customHeight="1" ht="0.75" hidden="1">
      <c r="A79" s="1950"/>
      <c r="B79" s="1950"/>
      <c r="C79" s="539" t="s">
        <v>1175</v>
      </c>
      <c r="D79" s="2632"/>
      <c r="E79" s="2374"/>
      <c r="F79" s="2553"/>
      <c r="G79" s="570"/>
      <c r="H79" s="1670"/>
      <c r="I79" s="821"/>
      <c r="J79" s="741"/>
      <c r="K79" s="1670"/>
      <c r="L79" s="384"/>
      <c r="M79" s="2340"/>
      <c r="N79" s="504"/>
      <c r="O79" s="1794"/>
      <c r="P79" s="1794"/>
      <c r="AH79" s="1801">
        <v>0</v>
      </c>
    </row>
    <row s="11913" customFormat="1" customHeight="1" ht="18.75" hidden="1">
      <c r="A80" s="1950" t="s">
        <v>282</v>
      </c>
      <c r="B80" s="1950" t="s">
        <v>283</v>
      </c>
      <c r="C80" s="539"/>
      <c r="D80" s="2632"/>
      <c r="E80" s="2374"/>
      <c r="F80" s="2553" t="str">
        <f>INDEX(PT_DIFFERENTIATION_VTAR,MATCH(A80,PT_DIFFERENTIATION_VTAR_ID,0))</f>
        <v>Тариф на транспортировку сточных вод</v>
      </c>
      <c r="G80" s="2597" t="str">
        <f>INDEX(PT_DIFFERENTIATION_NTAR,MATCH(B80,PT_DIFFERENTIATION_NTAR_ID,0))</f>
        <v/>
      </c>
      <c r="H80" s="2032"/>
      <c r="I80" s="1909"/>
      <c r="J80" s="1943"/>
      <c r="K80" s="2035"/>
      <c r="L80" s="2032" t="s">
        <v>318</v>
      </c>
      <c r="M80" s="2340"/>
      <c r="N80" s="504"/>
      <c r="O80" s="1794"/>
      <c r="P80" s="1794"/>
      <c r="AH80" s="1801">
        <v>0</v>
      </c>
    </row>
    <row s="11913" customFormat="1" customHeight="1" ht="18.75" hidden="1">
      <c r="A81" s="1950"/>
      <c r="B81" s="1950"/>
      <c r="C81" s="539" t="s">
        <v>1169</v>
      </c>
      <c r="D81" s="2632"/>
      <c r="E81" s="2374"/>
      <c r="F81" s="2553"/>
      <c r="G81" s="2597"/>
      <c r="H81" s="1670"/>
      <c r="I81" s="821" t="s">
        <v>1170</v>
      </c>
      <c r="J81" s="741"/>
      <c r="K81" s="1670"/>
      <c r="L81" s="384"/>
      <c r="M81" s="2340"/>
      <c r="N81" s="504"/>
      <c r="O81" s="1794"/>
      <c r="P81" s="1794"/>
      <c r="AH81" s="1801">
        <v>0</v>
      </c>
    </row>
    <row s="11913" customFormat="1" customHeight="1" ht="0.75" hidden="1">
      <c r="A82" s="1950"/>
      <c r="B82" s="1950"/>
      <c r="C82" s="539" t="s">
        <v>1175</v>
      </c>
      <c r="D82" s="2632"/>
      <c r="E82" s="2374"/>
      <c r="F82" s="2553"/>
      <c r="G82" s="570"/>
      <c r="H82" s="1670"/>
      <c r="I82" s="821"/>
      <c r="J82" s="741"/>
      <c r="K82" s="1670"/>
      <c r="L82" s="384"/>
      <c r="M82" s="2340"/>
      <c r="N82" s="504"/>
      <c r="O82" s="1794"/>
      <c r="P82" s="1794"/>
      <c r="AH82" s="1801">
        <v>0</v>
      </c>
    </row>
    <row s="11913" customFormat="1" customHeight="1" ht="18.75" hidden="1">
      <c r="A83" s="1950" t="s">
        <v>287</v>
      </c>
      <c r="B83" s="1950" t="s">
        <v>288</v>
      </c>
      <c r="C83" s="539"/>
      <c r="D83" s="2632"/>
      <c r="E83" s="2374"/>
      <c r="F83" s="2553" t="str">
        <f>INDEX(PT_DIFFERENTIATION_VTAR,MATCH(A83,PT_DIFFERENTIATION_VTAR_ID,0))</f>
        <v>Тариф на подключение (технологическое присоединение) к централизованной системе водоотведения</v>
      </c>
      <c r="G83" s="2597" t="str">
        <f>INDEX(PT_DIFFERENTIATION_NTAR,MATCH(B83,PT_DIFFERENTIATION_NTAR_ID,0))</f>
        <v/>
      </c>
      <c r="H83" s="2032"/>
      <c r="I83" s="1909"/>
      <c r="J83" s="1943"/>
      <c r="K83" s="2035"/>
      <c r="L83" s="2032" t="s">
        <v>318</v>
      </c>
      <c r="M83" s="2340"/>
      <c r="N83" s="504"/>
      <c r="O83" s="1794"/>
      <c r="P83" s="1794"/>
      <c r="AH83" s="1801">
        <v>0</v>
      </c>
    </row>
    <row s="11913" customFormat="1" customHeight="1" ht="18.75" hidden="1">
      <c r="A84" s="1950"/>
      <c r="B84" s="1950"/>
      <c r="C84" s="539" t="s">
        <v>1169</v>
      </c>
      <c r="D84" s="2632"/>
      <c r="E84" s="2374"/>
      <c r="F84" s="2553"/>
      <c r="G84" s="2597"/>
      <c r="H84" s="1670"/>
      <c r="I84" s="821" t="s">
        <v>1170</v>
      </c>
      <c r="J84" s="741"/>
      <c r="K84" s="1670"/>
      <c r="L84" s="384"/>
      <c r="M84" s="2340"/>
      <c r="N84" s="504"/>
      <c r="O84" s="1794"/>
      <c r="P84" s="1794"/>
      <c r="AH84" s="1801">
        <v>0</v>
      </c>
    </row>
    <row s="11913" customFormat="1" customHeight="1" ht="1.05">
      <c r="A85" s="1950"/>
      <c r="B85" s="1950"/>
      <c r="C85" s="539" t="s">
        <v>1175</v>
      </c>
      <c r="D85" s="2632"/>
      <c r="E85" s="2374"/>
      <c r="F85" s="2553"/>
      <c r="G85" s="570"/>
      <c r="H85" s="1670"/>
      <c r="I85" s="821"/>
      <c r="J85" s="741"/>
      <c r="K85" s="1670"/>
      <c r="L85" s="384"/>
      <c r="M85" s="2340"/>
      <c r="N85" s="504"/>
      <c r="O85" s="1794"/>
      <c r="P85" s="1794"/>
      <c r="AH85" s="1801">
        <v>1</v>
      </c>
    </row>
    <row customHeight="1" ht="19.95">
      <c r="A86" s="1950"/>
      <c r="B86" s="1950"/>
      <c r="D86" s="546"/>
      <c r="E86" s="317" t="s">
        <v>113</v>
      </c>
      <c r="F86" s="263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6" s="2630"/>
      <c r="H86" s="2630"/>
      <c r="I86" s="2630"/>
      <c r="J86" s="2630"/>
      <c r="K86" s="2630"/>
      <c r="L86" s="2630"/>
      <c r="M86" s="467"/>
      <c r="N86" s="504"/>
      <c r="AH86" s="544">
        <v>19</v>
      </c>
    </row>
    <row customHeight="1" ht="35.699999999999996">
      <c r="A87" s="1950"/>
      <c r="B87" s="1950"/>
      <c r="D87" s="546"/>
      <c r="E87" s="569"/>
      <c r="F87" s="368" t="s">
        <v>318</v>
      </c>
      <c r="G87" s="368" t="s">
        <v>318</v>
      </c>
      <c r="H87" s="2388" t="s">
        <v>318</v>
      </c>
      <c r="I87" s="2390"/>
      <c r="J87" s="368" t="s">
        <v>318</v>
      </c>
      <c r="K87" s="368" t="s">
        <v>318</v>
      </c>
      <c r="L87" s="571"/>
      <c r="M87" s="515" t="s">
        <v>1177</v>
      </c>
      <c r="N87" s="504"/>
      <c r="AH87" s="544">
        <v>34</v>
      </c>
    </row>
    <row customHeight="1" ht="19.95">
      <c r="A88" s="1950"/>
      <c r="B88" s="1950"/>
      <c r="D88" s="546"/>
      <c r="E88" s="317" t="s">
        <v>93</v>
      </c>
      <c r="F88" s="2630" t="s">
        <v>1178</v>
      </c>
      <c r="G88" s="2630"/>
      <c r="H88" s="2630"/>
      <c r="I88" s="2630"/>
      <c r="J88" s="2630"/>
      <c r="K88" s="2630"/>
      <c r="L88" s="2630"/>
      <c r="M88" s="467"/>
      <c r="N88" s="504"/>
      <c r="AH88" s="544">
        <v>19</v>
      </c>
    </row>
    <row s="11913" customFormat="1" customHeight="1" ht="60.75" hidden="1">
      <c r="A89" s="1950" t="s">
        <v>160</v>
      </c>
      <c r="B89" s="1950" t="s">
        <v>161</v>
      </c>
      <c r="C89" s="539"/>
      <c r="D89" s="2632"/>
      <c r="E89" s="2374"/>
      <c r="F89" s="2553" t="str">
        <f>INDEX(PT_DIFFERENTIATION_VTAR,MATCH(A89,PT_DIFFERENTIATION_VTAR_ID,0))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9" s="2597" t="str">
        <f>INDEX(PT_DIFFERENTIATION_NTAR,MATCH(B89,PT_DIFFERENTIATION_NTAR_ID,0))</f>
        <v>Тариф на тепловую энергию (мощность) на коллекторах источника тепловой энергии</v>
      </c>
      <c r="H89" s="2032"/>
      <c r="I89" s="1909"/>
      <c r="J89" s="1943"/>
      <c r="K89" s="1948"/>
      <c r="L89" s="2032" t="s">
        <v>318</v>
      </c>
      <c r="M89" s="233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9" s="504"/>
      <c r="O89" s="1794"/>
      <c r="P89" s="1794"/>
      <c r="AH89" s="1801">
        <v>0</v>
      </c>
    </row>
    <row s="11913" customFormat="1" customHeight="1" ht="18.75" hidden="1">
      <c r="A90" s="1950"/>
      <c r="B90" s="1950"/>
      <c r="C90" s="539" t="s">
        <v>1171</v>
      </c>
      <c r="D90" s="2632"/>
      <c r="E90" s="2374"/>
      <c r="F90" s="2553"/>
      <c r="G90" s="2597"/>
      <c r="H90" s="1670"/>
      <c r="I90" s="821" t="s">
        <v>1170</v>
      </c>
      <c r="J90" s="741"/>
      <c r="K90" s="1670"/>
      <c r="L90" s="384"/>
      <c r="M90" s="2340"/>
      <c r="N90" s="504"/>
      <c r="O90" s="1794"/>
      <c r="P90" s="1794"/>
      <c r="AH90" s="1801">
        <v>0</v>
      </c>
    </row>
    <row s="11913" customFormat="1" customHeight="1" ht="0.75" hidden="1">
      <c r="A91" s="1950"/>
      <c r="B91" s="1950"/>
      <c r="C91" s="539" t="s">
        <v>1179</v>
      </c>
      <c r="D91" s="2632"/>
      <c r="E91" s="2374"/>
      <c r="F91" s="2553"/>
      <c r="G91" s="570"/>
      <c r="H91" s="1670"/>
      <c r="I91" s="821"/>
      <c r="J91" s="741"/>
      <c r="K91" s="1670"/>
      <c r="L91" s="384"/>
      <c r="M91" s="2340"/>
      <c r="N91" s="504"/>
      <c r="O91" s="1794"/>
      <c r="P91" s="1794"/>
      <c r="AH91" s="1801">
        <v>0</v>
      </c>
    </row>
    <row s="11913" customFormat="1" customHeight="1" ht="45" hidden="1">
      <c r="A92" s="1950" t="s">
        <v>172</v>
      </c>
      <c r="B92" s="1950" t="s">
        <v>173</v>
      </c>
      <c r="C92" s="539"/>
      <c r="D92" s="2632"/>
      <c r="E92" s="2374"/>
      <c r="F92" s="2553" t="str">
        <f>INDEX(PT_DIFFERENTIATION_VTAR,MATCH(A92,PT_DIFFERENTIATION_VTAR_ID,0))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2" s="2597" t="str">
        <f>INDEX(PT_DIFFERENTIATION_NTAR,MATCH(B92,PT_DIFFERENTIATION_NTAR_ID,0))</f>
        <v>Тариф на тепловую энергию (мощность) поставляемую потребителям</v>
      </c>
      <c r="H92" s="2032"/>
      <c r="I92" s="1909"/>
      <c r="J92" s="1943"/>
      <c r="K92" s="1948"/>
      <c r="L92" s="2032" t="s">
        <v>318</v>
      </c>
      <c r="M92" s="2341"/>
      <c r="N92" s="504"/>
      <c r="O92" s="1794"/>
      <c r="P92" s="1794"/>
      <c r="AH92" s="1801">
        <v>0</v>
      </c>
    </row>
    <row s="11913" customFormat="1" customHeight="1" ht="18.75" hidden="1">
      <c r="A93" s="1950"/>
      <c r="B93" s="1950"/>
      <c r="C93" s="539" t="s">
        <v>1171</v>
      </c>
      <c r="D93" s="2632"/>
      <c r="E93" s="2374"/>
      <c r="F93" s="2553"/>
      <c r="G93" s="2597"/>
      <c r="H93" s="1670"/>
      <c r="I93" s="821" t="s">
        <v>1170</v>
      </c>
      <c r="J93" s="741"/>
      <c r="K93" s="1670"/>
      <c r="L93" s="384"/>
      <c r="M93" s="2031"/>
      <c r="N93" s="504"/>
      <c r="O93" s="1794"/>
      <c r="P93" s="1794"/>
      <c r="AH93" s="1801">
        <v>0</v>
      </c>
    </row>
    <row s="11913" customFormat="1" customHeight="1" ht="0.75" hidden="1">
      <c r="A94" s="1950"/>
      <c r="B94" s="1950"/>
      <c r="C94" s="539" t="s">
        <v>1179</v>
      </c>
      <c r="D94" s="2632"/>
      <c r="E94" s="2374"/>
      <c r="F94" s="2553"/>
      <c r="G94" s="570"/>
      <c r="H94" s="1670"/>
      <c r="I94" s="821"/>
      <c r="J94" s="741"/>
      <c r="K94" s="1670"/>
      <c r="L94" s="384"/>
      <c r="M94" s="511"/>
      <c r="N94" s="504"/>
      <c r="O94" s="1794"/>
      <c r="P94" s="1794"/>
      <c r="AH94" s="1801">
        <v>0</v>
      </c>
    </row>
    <row s="11913" customFormat="1" customHeight="1" ht="45" hidden="1">
      <c r="A95" s="1950" t="s">
        <v>181</v>
      </c>
      <c r="B95" s="1950" t="s">
        <v>182</v>
      </c>
      <c r="C95" s="539"/>
      <c r="D95" s="2632"/>
      <c r="E95" s="2374"/>
      <c r="F95" s="2553" t="str">
        <f>INDEX(PT_DIFFERENTIATION_VTAR,MATCH(A95,PT_DIFFERENTIATION_VTAR_ID,0))</f>
        <v>Тарифы на теплоноситель, поставляемый теплоснабжающими организациями потребителям, другим теплоснабжающим организациям</v>
      </c>
      <c r="G95" s="2597" t="str">
        <f>INDEX(PT_DIFFERENTIATION_NTAR,MATCH(B95,PT_DIFFERENTIATION_NTAR_ID,0))</f>
        <v>Тариф на теплоноситель, поставляемый потребителям</v>
      </c>
      <c r="H95" s="2032"/>
      <c r="I95" s="1909"/>
      <c r="J95" s="1943"/>
      <c r="K95" s="1948"/>
      <c r="L95" s="2032" t="s">
        <v>318</v>
      </c>
      <c r="M95" s="511"/>
      <c r="N95" s="504"/>
      <c r="O95" s="1794"/>
      <c r="P95" s="1794"/>
      <c r="AH95" s="1801">
        <v>0</v>
      </c>
    </row>
    <row s="11913" customFormat="1" customHeight="1" ht="18.75" hidden="1">
      <c r="A96" s="1950"/>
      <c r="B96" s="1950"/>
      <c r="C96" s="539" t="s">
        <v>1171</v>
      </c>
      <c r="D96" s="2632"/>
      <c r="E96" s="2374"/>
      <c r="F96" s="2553"/>
      <c r="G96" s="2597"/>
      <c r="H96" s="1670"/>
      <c r="I96" s="821" t="s">
        <v>1170</v>
      </c>
      <c r="J96" s="741"/>
      <c r="K96" s="1670"/>
      <c r="L96" s="384"/>
      <c r="M96" s="511"/>
      <c r="N96" s="504"/>
      <c r="O96" s="1794"/>
      <c r="P96" s="1794"/>
      <c r="AH96" s="1801">
        <v>0</v>
      </c>
    </row>
    <row s="11913" customFormat="1" customHeight="1" ht="0.75" hidden="1">
      <c r="A97" s="1950"/>
      <c r="B97" s="1950"/>
      <c r="C97" s="539" t="s">
        <v>1179</v>
      </c>
      <c r="D97" s="2632"/>
      <c r="E97" s="2374"/>
      <c r="F97" s="2553"/>
      <c r="G97" s="570"/>
      <c r="H97" s="1670"/>
      <c r="I97" s="821"/>
      <c r="J97" s="741"/>
      <c r="K97" s="1670"/>
      <c r="L97" s="384"/>
      <c r="M97" s="511"/>
      <c r="N97" s="504"/>
      <c r="O97" s="1794"/>
      <c r="P97" s="1794"/>
      <c r="AH97" s="1801">
        <v>0</v>
      </c>
    </row>
    <row s="11913" customFormat="1" customHeight="1" ht="45" hidden="1">
      <c r="A98" s="1950" t="s">
        <v>187</v>
      </c>
      <c r="B98" s="1950" t="s">
        <v>188</v>
      </c>
      <c r="C98" s="539"/>
      <c r="D98" s="2632"/>
      <c r="E98" s="2374"/>
      <c r="F98" s="2553" t="str">
        <f>INDEX(PT_DIFFERENTIATION_VTAR,MATCH(A98,PT_DIFFERENTIATION_VTAR_ID,0))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8" s="2597" t="str">
        <f>INDEX(PT_DIFFERENTIATION_NTAR,MATCH(B98,PT_DIFFERENTIATION_NTAR_ID,0))</f>
        <v/>
      </c>
      <c r="H98" s="2032"/>
      <c r="I98" s="1909"/>
      <c r="J98" s="1943"/>
      <c r="K98" s="1948"/>
      <c r="L98" s="2032" t="s">
        <v>318</v>
      </c>
      <c r="M98" s="511"/>
      <c r="N98" s="504"/>
      <c r="O98" s="1794"/>
      <c r="P98" s="1794"/>
      <c r="AH98" s="1801">
        <v>0</v>
      </c>
    </row>
    <row s="11913" customFormat="1" customHeight="1" ht="18.75" hidden="1">
      <c r="A99" s="1950"/>
      <c r="B99" s="1950"/>
      <c r="C99" s="539" t="s">
        <v>1171</v>
      </c>
      <c r="D99" s="2632"/>
      <c r="E99" s="2374"/>
      <c r="F99" s="2553"/>
      <c r="G99" s="2597"/>
      <c r="H99" s="1670"/>
      <c r="I99" s="821" t="s">
        <v>1170</v>
      </c>
      <c r="J99" s="741"/>
      <c r="K99" s="1670"/>
      <c r="L99" s="384"/>
      <c r="M99" s="511"/>
      <c r="N99" s="504"/>
      <c r="O99" s="1794"/>
      <c r="P99" s="1794"/>
      <c r="AH99" s="1801">
        <v>0</v>
      </c>
    </row>
    <row s="11913" customFormat="1" customHeight="1" ht="0.75" hidden="1">
      <c r="A100" s="1950"/>
      <c r="B100" s="1950"/>
      <c r="C100" s="539" t="s">
        <v>1179</v>
      </c>
      <c r="D100" s="2632"/>
      <c r="E100" s="2374"/>
      <c r="F100" s="2553"/>
      <c r="G100" s="570"/>
      <c r="H100" s="1670"/>
      <c r="I100" s="821"/>
      <c r="J100" s="741"/>
      <c r="K100" s="1670"/>
      <c r="L100" s="384"/>
      <c r="M100" s="511"/>
      <c r="N100" s="504"/>
      <c r="O100" s="1794"/>
      <c r="P100" s="1794"/>
      <c r="AH100" s="1801">
        <v>0</v>
      </c>
    </row>
    <row s="11913" customFormat="1" customHeight="1" ht="18.75" hidden="1">
      <c r="A101" s="1950" t="s">
        <v>193</v>
      </c>
      <c r="B101" s="1950" t="s">
        <v>194</v>
      </c>
      <c r="C101" s="539"/>
      <c r="D101" s="2632"/>
      <c r="E101" s="2374"/>
      <c r="F101" s="2553" t="str">
        <f>INDEX(PT_DIFFERENTIATION_VTAR,MATCH(A101,PT_DIFFERENTIATION_VTAR_ID,0))</f>
        <v>Тарифы на услуги по передаче тепловой энергии</v>
      </c>
      <c r="G101" s="2597" t="str">
        <f>INDEX(PT_DIFFERENTIATION_NTAR,MATCH(B101,PT_DIFFERENTIATION_NTAR_ID,0))</f>
        <v/>
      </c>
      <c r="H101" s="2032"/>
      <c r="I101" s="1909"/>
      <c r="J101" s="1943"/>
      <c r="K101" s="1948"/>
      <c r="L101" s="2032" t="s">
        <v>318</v>
      </c>
      <c r="M101" s="511"/>
      <c r="N101" s="504"/>
      <c r="O101" s="1794"/>
      <c r="P101" s="1794"/>
      <c r="AH101" s="1801">
        <v>0</v>
      </c>
    </row>
    <row s="11913" customFormat="1" customHeight="1" ht="18.75" hidden="1">
      <c r="A102" s="1950"/>
      <c r="B102" s="1950"/>
      <c r="C102" s="539" t="s">
        <v>1171</v>
      </c>
      <c r="D102" s="2632"/>
      <c r="E102" s="2374"/>
      <c r="F102" s="2553"/>
      <c r="G102" s="2597"/>
      <c r="H102" s="1670"/>
      <c r="I102" s="821" t="s">
        <v>1170</v>
      </c>
      <c r="J102" s="741"/>
      <c r="K102" s="1670"/>
      <c r="L102" s="384"/>
      <c r="M102" s="511"/>
      <c r="N102" s="504"/>
      <c r="O102" s="1794"/>
      <c r="P102" s="1794"/>
      <c r="AH102" s="1801">
        <v>0</v>
      </c>
    </row>
    <row s="11913" customFormat="1" customHeight="1" ht="0.75" hidden="1">
      <c r="A103" s="1950"/>
      <c r="B103" s="1950"/>
      <c r="C103" s="539" t="s">
        <v>1179</v>
      </c>
      <c r="D103" s="2632"/>
      <c r="E103" s="2374"/>
      <c r="F103" s="2553"/>
      <c r="G103" s="570"/>
      <c r="H103" s="1670"/>
      <c r="I103" s="821"/>
      <c r="J103" s="741"/>
      <c r="K103" s="1670"/>
      <c r="L103" s="384"/>
      <c r="M103" s="511"/>
      <c r="N103" s="504"/>
      <c r="O103" s="1794"/>
      <c r="P103" s="1794"/>
      <c r="AH103" s="1801">
        <v>0</v>
      </c>
    </row>
    <row s="11913" customFormat="1" customHeight="1" ht="18.75" hidden="1">
      <c r="A104" s="1950" t="s">
        <v>199</v>
      </c>
      <c r="B104" s="1950" t="s">
        <v>200</v>
      </c>
      <c r="C104" s="539"/>
      <c r="D104" s="2632"/>
      <c r="E104" s="2374"/>
      <c r="F104" s="2553" t="str">
        <f>INDEX(PT_DIFFERENTIATION_VTAR,MATCH(A104,PT_DIFFERENTIATION_VTAR_ID,0))</f>
        <v>Тарифы на услуги по передаче теплоносителя</v>
      </c>
      <c r="G104" s="2597" t="str">
        <f>INDEX(PT_DIFFERENTIATION_NTAR,MATCH(B104,PT_DIFFERENTIATION_NTAR_ID,0))</f>
        <v/>
      </c>
      <c r="H104" s="2032"/>
      <c r="I104" s="1909"/>
      <c r="J104" s="1943"/>
      <c r="K104" s="1948"/>
      <c r="L104" s="2032" t="s">
        <v>318</v>
      </c>
      <c r="M104" s="511"/>
      <c r="N104" s="504"/>
      <c r="O104" s="1794"/>
      <c r="P104" s="1794"/>
      <c r="AH104" s="1801">
        <v>0</v>
      </c>
    </row>
    <row s="11913" customFormat="1" customHeight="1" ht="18.75" hidden="1">
      <c r="A105" s="1950"/>
      <c r="B105" s="1950"/>
      <c r="C105" s="539" t="s">
        <v>1171</v>
      </c>
      <c r="D105" s="2632"/>
      <c r="E105" s="2374"/>
      <c r="F105" s="2553"/>
      <c r="G105" s="2597"/>
      <c r="H105" s="1670"/>
      <c r="I105" s="821" t="s">
        <v>1170</v>
      </c>
      <c r="J105" s="741"/>
      <c r="K105" s="1670"/>
      <c r="L105" s="384"/>
      <c r="M105" s="511"/>
      <c r="N105" s="504"/>
      <c r="O105" s="1794"/>
      <c r="P105" s="1794"/>
      <c r="AH105" s="1801">
        <v>0</v>
      </c>
    </row>
    <row s="11913" customFormat="1" customHeight="1" ht="0.75" hidden="1">
      <c r="A106" s="1950"/>
      <c r="B106" s="1950"/>
      <c r="C106" s="539" t="s">
        <v>1179</v>
      </c>
      <c r="D106" s="2632"/>
      <c r="E106" s="2374"/>
      <c r="F106" s="2553"/>
      <c r="G106" s="570"/>
      <c r="H106" s="1670"/>
      <c r="I106" s="821"/>
      <c r="J106" s="741"/>
      <c r="K106" s="1670"/>
      <c r="L106" s="384"/>
      <c r="M106" s="511"/>
      <c r="N106" s="504"/>
      <c r="O106" s="1794"/>
      <c r="P106" s="1794"/>
      <c r="AH106" s="1801">
        <v>0</v>
      </c>
    </row>
    <row s="11913" customFormat="1" customHeight="1" ht="18.75" hidden="1">
      <c r="A107" s="1950" t="s">
        <v>205</v>
      </c>
      <c r="B107" s="1950" t="s">
        <v>206</v>
      </c>
      <c r="C107" s="539"/>
      <c r="D107" s="2632"/>
      <c r="E107" s="2374"/>
      <c r="F107" s="2553" t="str">
        <f>INDEX(PT_DIFFERENTIATION_VTAR,MATCH(A107,PT_DIFFERENTIATION_VTAR_ID,0))</f>
        <v>Плата за услуги по поддержанию резервной тепловой мощности при отсутствии потребления тепловой энергии</v>
      </c>
      <c r="G107" s="2597" t="str">
        <f>INDEX(PT_DIFFERENTIATION_NTAR,MATCH(B107,PT_DIFFERENTIATION_NTAR_ID,0))</f>
        <v/>
      </c>
      <c r="H107" s="2032"/>
      <c r="I107" s="1909"/>
      <c r="J107" s="1943"/>
      <c r="K107" s="1948"/>
      <c r="L107" s="2032" t="s">
        <v>318</v>
      </c>
      <c r="M107" s="511"/>
      <c r="N107" s="504"/>
      <c r="O107" s="1794"/>
      <c r="P107" s="1794"/>
      <c r="AH107" s="1801">
        <v>0</v>
      </c>
    </row>
    <row s="11913" customFormat="1" customHeight="1" ht="18.75" hidden="1">
      <c r="A108" s="1950"/>
      <c r="B108" s="1950"/>
      <c r="C108" s="539" t="s">
        <v>1171</v>
      </c>
      <c r="D108" s="2632"/>
      <c r="E108" s="2374"/>
      <c r="F108" s="2553"/>
      <c r="G108" s="2597"/>
      <c r="H108" s="1670"/>
      <c r="I108" s="821" t="s">
        <v>1170</v>
      </c>
      <c r="J108" s="741"/>
      <c r="K108" s="1670"/>
      <c r="L108" s="384"/>
      <c r="M108" s="511"/>
      <c r="N108" s="504"/>
      <c r="O108" s="1794"/>
      <c r="P108" s="1794"/>
      <c r="AH108" s="1801">
        <v>0</v>
      </c>
    </row>
    <row s="11913" customFormat="1" customHeight="1" ht="0.75" hidden="1">
      <c r="A109" s="1950"/>
      <c r="B109" s="1950"/>
      <c r="C109" s="539" t="s">
        <v>1179</v>
      </c>
      <c r="D109" s="2632"/>
      <c r="E109" s="2374"/>
      <c r="F109" s="2553"/>
      <c r="G109" s="570"/>
      <c r="H109" s="1670"/>
      <c r="I109" s="821"/>
      <c r="J109" s="741"/>
      <c r="K109" s="1670"/>
      <c r="L109" s="384"/>
      <c r="M109" s="511"/>
      <c r="N109" s="504"/>
      <c r="O109" s="1794"/>
      <c r="P109" s="1794"/>
      <c r="AH109" s="1801">
        <v>0</v>
      </c>
    </row>
    <row s="11913" customFormat="1" customHeight="1" ht="18.75" hidden="1">
      <c r="A110" s="1950" t="s">
        <v>211</v>
      </c>
      <c r="B110" s="1950" t="s">
        <v>212</v>
      </c>
      <c r="C110" s="539"/>
      <c r="D110" s="2632"/>
      <c r="E110" s="2374"/>
      <c r="F110" s="2553" t="str">
        <f>INDEX(PT_DIFFERENTIATION_VTAR,MATCH(A110,PT_DIFFERENTIATION_VTAR_ID,0))</f>
        <v>Плата за подключение (технологическое присоединение) к системе теплоснабжения</v>
      </c>
      <c r="G110" s="2597" t="str">
        <f>INDEX(PT_DIFFERENTIATION_NTAR,MATCH(B110,PT_DIFFERENTIATION_NTAR_ID,0))</f>
        <v/>
      </c>
      <c r="H110" s="2032"/>
      <c r="I110" s="1909"/>
      <c r="J110" s="1943"/>
      <c r="K110" s="1948"/>
      <c r="L110" s="2032" t="s">
        <v>318</v>
      </c>
      <c r="M110" s="511"/>
      <c r="N110" s="504"/>
      <c r="O110" s="1794"/>
      <c r="P110" s="1794"/>
      <c r="AH110" s="1801">
        <v>0</v>
      </c>
    </row>
    <row s="11913" customFormat="1" customHeight="1" ht="18.75" hidden="1">
      <c r="A111" s="1950"/>
      <c r="B111" s="1950"/>
      <c r="C111" s="539" t="s">
        <v>1171</v>
      </c>
      <c r="D111" s="2632"/>
      <c r="E111" s="2374"/>
      <c r="F111" s="2553"/>
      <c r="G111" s="2597"/>
      <c r="H111" s="1670"/>
      <c r="I111" s="821" t="s">
        <v>1170</v>
      </c>
      <c r="J111" s="741"/>
      <c r="K111" s="1670"/>
      <c r="L111" s="384"/>
      <c r="M111" s="511"/>
      <c r="N111" s="504"/>
      <c r="O111" s="1794"/>
      <c r="P111" s="1794"/>
      <c r="AH111" s="1801">
        <v>0</v>
      </c>
    </row>
    <row s="15092" customFormat="1" customHeight="1" ht="18.75">
      <c r="A112" s="7075" t="s">
        <v>211</v>
      </c>
      <c r="B112" s="7075" t="s">
        <v>1176</v>
      </c>
      <c r="C112" s="7076"/>
      <c r="D112" s="7077"/>
      <c r="E112" s="7078"/>
      <c r="F112" s="7078"/>
      <c r="G112" s="7079">
        <f>INDEX(PT_DIFFERENTIATION_NTAR,MATCH(B112,PT_DIFFERENTIATION_NTAR_ID,0))</f>
      </c>
      <c r="H112" s="7080"/>
      <c r="I112" s="7081"/>
      <c r="J112" s="7082"/>
      <c r="K112" s="7094"/>
      <c r="L112" s="7080" t="s">
        <v>318</v>
      </c>
      <c r="M112" s="7084"/>
      <c r="N112" s="7085"/>
      <c r="O112" s="3984"/>
      <c r="P112" s="3984"/>
      <c r="Q112" s="3985"/>
      <c r="R112" s="3985"/>
      <c r="S112" s="3985"/>
      <c r="T112" s="3985"/>
      <c r="U112" s="3985"/>
      <c r="V112" s="3985"/>
      <c r="W112" s="3985"/>
      <c r="X112" s="3985"/>
      <c r="Y112" s="3985"/>
      <c r="Z112" s="3985"/>
      <c r="AA112" s="3985"/>
      <c r="AB112" s="3985"/>
      <c r="AC112" s="3985"/>
      <c r="AD112" s="3985"/>
      <c r="AE112" s="3985"/>
      <c r="AF112" s="3985"/>
      <c r="AG112" s="3985"/>
      <c r="AH112" s="3985">
        <v>0</v>
      </c>
    </row>
    <row s="15092" customFormat="1" customHeight="1" ht="18.75">
      <c r="A113" s="7075"/>
      <c r="B113" s="7075"/>
      <c r="C113" s="7076" t="s">
        <v>1171</v>
      </c>
      <c r="D113" s="7077"/>
      <c r="E113" s="7078"/>
      <c r="F113" s="7078"/>
      <c r="G113" s="7079"/>
      <c r="H113" s="7095"/>
      <c r="I113" s="7096" t="s">
        <v>1170</v>
      </c>
      <c r="J113" s="7097"/>
      <c r="K113" s="7098"/>
      <c r="L113" s="7099"/>
      <c r="M113" s="7084"/>
      <c r="N113" s="7085"/>
      <c r="O113" s="3984"/>
      <c r="P113" s="3984"/>
      <c r="Q113" s="3985"/>
      <c r="R113" s="3985"/>
      <c r="S113" s="3985"/>
      <c r="T113" s="3985"/>
      <c r="U113" s="3985"/>
      <c r="V113" s="3985"/>
      <c r="W113" s="3985"/>
      <c r="X113" s="3985"/>
      <c r="Y113" s="3985"/>
      <c r="Z113" s="3985"/>
      <c r="AA113" s="3985"/>
      <c r="AB113" s="3985"/>
      <c r="AC113" s="3985"/>
      <c r="AD113" s="3985"/>
      <c r="AE113" s="3985"/>
      <c r="AF113" s="3985"/>
      <c r="AG113" s="3985"/>
      <c r="AH113" s="3985">
        <v>0</v>
      </c>
    </row>
    <row s="11913" customFormat="1" customHeight="1" ht="0.75" hidden="1">
      <c r="A114" s="1950"/>
      <c r="B114" s="1950"/>
      <c r="C114" s="539" t="s">
        <v>1179</v>
      </c>
      <c r="D114" s="2632"/>
      <c r="E114" s="2374"/>
      <c r="F114" s="2553"/>
      <c r="G114" s="570"/>
      <c r="H114" s="1670"/>
      <c r="I114" s="821"/>
      <c r="J114" s="741"/>
      <c r="K114" s="1670"/>
      <c r="L114" s="384"/>
      <c r="M114" s="511"/>
      <c r="N114" s="504"/>
      <c r="O114" s="1794"/>
      <c r="P114" s="1794"/>
      <c r="AH114" s="1801">
        <v>0</v>
      </c>
    </row>
    <row s="11913" customFormat="1" customHeight="1" ht="18.75" hidden="1">
      <c r="A115" s="1950" t="s">
        <v>217</v>
      </c>
      <c r="B115" s="1950" t="s">
        <v>218</v>
      </c>
      <c r="C115" s="539"/>
      <c r="D115" s="2632"/>
      <c r="E115" s="2374"/>
      <c r="F115" s="2553" t="str">
        <f>INDEX(PT_DIFFERENTIATION_VTAR,MATCH(A115,PT_DIFFERENTIATION_VTAR_ID,0))</f>
        <v>Плата за подключение (технологическое присоединение) к системе теплоснабжения (индивидуальная)</v>
      </c>
      <c r="G115" s="2597" t="str">
        <f>INDEX(PT_DIFFERENTIATION_NTAR,MATCH(B115,PT_DIFFERENTIATION_NTAR_ID,0))</f>
        <v/>
      </c>
      <c r="H115" s="2159"/>
      <c r="I115" s="1909"/>
      <c r="J115" s="1943"/>
      <c r="K115" s="1948"/>
      <c r="L115" s="2159" t="s">
        <v>318</v>
      </c>
      <c r="M115" s="511"/>
      <c r="N115" s="504"/>
      <c r="O115" s="1794"/>
      <c r="P115" s="1794"/>
      <c r="AH115" s="1801">
        <v>0</v>
      </c>
    </row>
    <row s="11913" customFormat="1" customHeight="1" ht="18.75" hidden="1">
      <c r="A116" s="1950"/>
      <c r="B116" s="1950"/>
      <c r="C116" s="539" t="s">
        <v>1171</v>
      </c>
      <c r="D116" s="2632"/>
      <c r="E116" s="2374"/>
      <c r="F116" s="2553"/>
      <c r="G116" s="2597"/>
      <c r="H116" s="1670"/>
      <c r="I116" s="821" t="s">
        <v>1170</v>
      </c>
      <c r="J116" s="741"/>
      <c r="K116" s="1670"/>
      <c r="L116" s="384"/>
      <c r="M116" s="511"/>
      <c r="N116" s="504"/>
      <c r="O116" s="1794"/>
      <c r="P116" s="1794"/>
      <c r="AH116" s="1801">
        <v>0</v>
      </c>
    </row>
    <row s="11913" customFormat="1" customHeight="1" ht="0.75" hidden="1">
      <c r="A117" s="1950"/>
      <c r="B117" s="1950"/>
      <c r="C117" s="539" t="s">
        <v>1179</v>
      </c>
      <c r="D117" s="2632"/>
      <c r="E117" s="2374"/>
      <c r="F117" s="2553"/>
      <c r="G117" s="570"/>
      <c r="H117" s="1670"/>
      <c r="I117" s="821"/>
      <c r="J117" s="741"/>
      <c r="K117" s="1670"/>
      <c r="L117" s="384"/>
      <c r="M117" s="511"/>
      <c r="N117" s="504"/>
      <c r="O117" s="1794"/>
      <c r="P117" s="1794"/>
      <c r="AH117" s="1801">
        <v>0</v>
      </c>
    </row>
    <row s="11913" customFormat="1" customHeight="1" ht="18.75" hidden="1">
      <c r="A118" s="1950" t="s">
        <v>237</v>
      </c>
      <c r="B118" s="1950" t="s">
        <v>238</v>
      </c>
      <c r="C118" s="539"/>
      <c r="D118" s="2632"/>
      <c r="E118" s="2374"/>
      <c r="F118" s="2553" t="str">
        <f>INDEX(PT_DIFFERENTIATION_VTAR,MATCH(A118,PT_DIFFERENTIATION_VTAR_ID,0))</f>
        <v>Тариф на питьевую воду (питьевое водоснабжение)</v>
      </c>
      <c r="G118" s="2597" t="str">
        <f>INDEX(PT_DIFFERENTIATION_NTAR,MATCH(B118,PT_DIFFERENTIATION_NTAR_ID,0))</f>
        <v/>
      </c>
      <c r="H118" s="2032"/>
      <c r="I118" s="1909"/>
      <c r="J118" s="1943"/>
      <c r="K118" s="1948"/>
      <c r="L118" s="2032" t="s">
        <v>318</v>
      </c>
      <c r="M118" s="511"/>
      <c r="N118" s="504"/>
      <c r="O118" s="1794"/>
      <c r="P118" s="1794"/>
      <c r="AH118" s="1801">
        <v>0</v>
      </c>
    </row>
    <row s="11913" customFormat="1" customHeight="1" ht="18.75" hidden="1">
      <c r="A119" s="1950"/>
      <c r="B119" s="1950"/>
      <c r="C119" s="539" t="s">
        <v>1171</v>
      </c>
      <c r="D119" s="2632"/>
      <c r="E119" s="2374"/>
      <c r="F119" s="2553"/>
      <c r="G119" s="2597"/>
      <c r="H119" s="1670"/>
      <c r="I119" s="821" t="s">
        <v>1170</v>
      </c>
      <c r="J119" s="741"/>
      <c r="K119" s="1670"/>
      <c r="L119" s="384"/>
      <c r="M119" s="511"/>
      <c r="N119" s="504"/>
      <c r="O119" s="1794"/>
      <c r="P119" s="1794"/>
      <c r="AH119" s="1801">
        <v>0</v>
      </c>
    </row>
    <row s="11913" customFormat="1" customHeight="1" ht="0.75" hidden="1">
      <c r="A120" s="1950"/>
      <c r="B120" s="1950"/>
      <c r="C120" s="539" t="s">
        <v>1179</v>
      </c>
      <c r="D120" s="2632"/>
      <c r="E120" s="2374"/>
      <c r="F120" s="2553"/>
      <c r="G120" s="570"/>
      <c r="H120" s="1670"/>
      <c r="I120" s="821"/>
      <c r="J120" s="741"/>
      <c r="K120" s="1670"/>
      <c r="L120" s="384"/>
      <c r="M120" s="511"/>
      <c r="N120" s="504"/>
      <c r="O120" s="1794"/>
      <c r="P120" s="1794"/>
      <c r="AH120" s="1801">
        <v>0</v>
      </c>
    </row>
    <row s="11913" customFormat="1" customHeight="1" ht="18.75" hidden="1">
      <c r="A121" s="1950" t="s">
        <v>242</v>
      </c>
      <c r="B121" s="1950" t="s">
        <v>243</v>
      </c>
      <c r="C121" s="539"/>
      <c r="D121" s="2632"/>
      <c r="E121" s="2374"/>
      <c r="F121" s="2553" t="str">
        <f>INDEX(PT_DIFFERENTIATION_VTAR,MATCH(A121,PT_DIFFERENTIATION_VTAR_ID,0))</f>
        <v>Тариф на техническую воду</v>
      </c>
      <c r="G121" s="2597" t="str">
        <f>INDEX(PT_DIFFERENTIATION_NTAR,MATCH(B121,PT_DIFFERENTIATION_NTAR_ID,0))</f>
        <v/>
      </c>
      <c r="H121" s="2032"/>
      <c r="I121" s="1909"/>
      <c r="J121" s="1943"/>
      <c r="K121" s="1948"/>
      <c r="L121" s="2032" t="s">
        <v>318</v>
      </c>
      <c r="M121" s="511"/>
      <c r="N121" s="504"/>
      <c r="O121" s="1794"/>
      <c r="P121" s="1794"/>
      <c r="AH121" s="1801">
        <v>0</v>
      </c>
    </row>
    <row s="11913" customFormat="1" customHeight="1" ht="18.75" hidden="1">
      <c r="A122" s="1950"/>
      <c r="B122" s="1950"/>
      <c r="C122" s="539" t="s">
        <v>1171</v>
      </c>
      <c r="D122" s="2632"/>
      <c r="E122" s="2374"/>
      <c r="F122" s="2553"/>
      <c r="G122" s="2597"/>
      <c r="H122" s="1670"/>
      <c r="I122" s="821" t="s">
        <v>1170</v>
      </c>
      <c r="J122" s="741"/>
      <c r="K122" s="1670"/>
      <c r="L122" s="384"/>
      <c r="M122" s="511"/>
      <c r="N122" s="504"/>
      <c r="O122" s="1794"/>
      <c r="P122" s="1794"/>
      <c r="AH122" s="1801">
        <v>0</v>
      </c>
    </row>
    <row s="11913" customFormat="1" customHeight="1" ht="0.75" hidden="1">
      <c r="A123" s="1950"/>
      <c r="B123" s="1950"/>
      <c r="C123" s="539" t="s">
        <v>1179</v>
      </c>
      <c r="D123" s="2632"/>
      <c r="E123" s="2374"/>
      <c r="F123" s="2553"/>
      <c r="G123" s="570"/>
      <c r="H123" s="1670"/>
      <c r="I123" s="821"/>
      <c r="J123" s="741"/>
      <c r="K123" s="1670"/>
      <c r="L123" s="384"/>
      <c r="M123" s="511"/>
      <c r="N123" s="504"/>
      <c r="O123" s="1794"/>
      <c r="P123" s="1794"/>
      <c r="AH123" s="1801">
        <v>0</v>
      </c>
    </row>
    <row s="11913" customFormat="1" customHeight="1" ht="18.75" hidden="1">
      <c r="A124" s="1950" t="s">
        <v>247</v>
      </c>
      <c r="B124" s="1950" t="s">
        <v>248</v>
      </c>
      <c r="C124" s="539"/>
      <c r="D124" s="2632"/>
      <c r="E124" s="2374"/>
      <c r="F124" s="2553" t="str">
        <f>INDEX(PT_DIFFERENTIATION_VTAR,MATCH(A124,PT_DIFFERENTIATION_VTAR_ID,0))</f>
        <v>Тариф на транспортировку воды</v>
      </c>
      <c r="G124" s="2597" t="str">
        <f>INDEX(PT_DIFFERENTIATION_NTAR,MATCH(B124,PT_DIFFERENTIATION_NTAR_ID,0))</f>
        <v/>
      </c>
      <c r="H124" s="2032"/>
      <c r="I124" s="1909"/>
      <c r="J124" s="1943"/>
      <c r="K124" s="1948"/>
      <c r="L124" s="2032" t="s">
        <v>318</v>
      </c>
      <c r="M124" s="511"/>
      <c r="N124" s="504"/>
      <c r="O124" s="1794"/>
      <c r="P124" s="1794"/>
      <c r="AH124" s="1801">
        <v>0</v>
      </c>
    </row>
    <row s="11913" customFormat="1" customHeight="1" ht="18.75" hidden="1">
      <c r="A125" s="1950"/>
      <c r="B125" s="1950"/>
      <c r="C125" s="539" t="s">
        <v>1171</v>
      </c>
      <c r="D125" s="2632"/>
      <c r="E125" s="2374"/>
      <c r="F125" s="2553"/>
      <c r="G125" s="2597"/>
      <c r="H125" s="1670"/>
      <c r="I125" s="821" t="s">
        <v>1170</v>
      </c>
      <c r="J125" s="741"/>
      <c r="K125" s="1670"/>
      <c r="L125" s="384"/>
      <c r="M125" s="511"/>
      <c r="N125" s="504"/>
      <c r="O125" s="1794"/>
      <c r="P125" s="1794"/>
      <c r="AH125" s="1801">
        <v>0</v>
      </c>
    </row>
    <row s="11913" customFormat="1" customHeight="1" ht="0.75" hidden="1">
      <c r="A126" s="1950"/>
      <c r="B126" s="1950"/>
      <c r="C126" s="539" t="s">
        <v>1179</v>
      </c>
      <c r="D126" s="2632"/>
      <c r="E126" s="2374"/>
      <c r="F126" s="2553"/>
      <c r="G126" s="570"/>
      <c r="H126" s="1670"/>
      <c r="I126" s="821"/>
      <c r="J126" s="741"/>
      <c r="K126" s="1670"/>
      <c r="L126" s="384"/>
      <c r="M126" s="511"/>
      <c r="N126" s="504"/>
      <c r="O126" s="1794"/>
      <c r="P126" s="1794"/>
      <c r="AH126" s="1801">
        <v>0</v>
      </c>
    </row>
    <row s="11913" customFormat="1" customHeight="1" ht="18.75" hidden="1">
      <c r="A127" s="1950" t="s">
        <v>252</v>
      </c>
      <c r="B127" s="1950" t="s">
        <v>253</v>
      </c>
      <c r="C127" s="539"/>
      <c r="D127" s="2632"/>
      <c r="E127" s="2374"/>
      <c r="F127" s="2553" t="str">
        <f>INDEX(PT_DIFFERENTIATION_VTAR,MATCH(A127,PT_DIFFERENTIATION_VTAR_ID,0))</f>
        <v>Тариф на подвоз воды</v>
      </c>
      <c r="G127" s="2597" t="str">
        <f>INDEX(PT_DIFFERENTIATION_NTAR,MATCH(B127,PT_DIFFERENTIATION_NTAR_ID,0))</f>
        <v/>
      </c>
      <c r="H127" s="2032"/>
      <c r="I127" s="1909"/>
      <c r="J127" s="1943"/>
      <c r="K127" s="1948"/>
      <c r="L127" s="2032" t="s">
        <v>318</v>
      </c>
      <c r="M127" s="511"/>
      <c r="N127" s="504"/>
      <c r="O127" s="1794"/>
      <c r="P127" s="1794"/>
      <c r="AH127" s="1801">
        <v>0</v>
      </c>
    </row>
    <row s="11913" customFormat="1" customHeight="1" ht="18.75" hidden="1">
      <c r="A128" s="1950"/>
      <c r="B128" s="1950"/>
      <c r="C128" s="539" t="s">
        <v>1171</v>
      </c>
      <c r="D128" s="2632"/>
      <c r="E128" s="2374"/>
      <c r="F128" s="2553"/>
      <c r="G128" s="2597"/>
      <c r="H128" s="1670"/>
      <c r="I128" s="821" t="s">
        <v>1170</v>
      </c>
      <c r="J128" s="741"/>
      <c r="K128" s="1670"/>
      <c r="L128" s="384"/>
      <c r="M128" s="511"/>
      <c r="N128" s="504"/>
      <c r="O128" s="1794"/>
      <c r="P128" s="1794"/>
      <c r="AH128" s="1801">
        <v>0</v>
      </c>
    </row>
    <row s="11913" customFormat="1" customHeight="1" ht="0.75" hidden="1">
      <c r="A129" s="1950"/>
      <c r="B129" s="1950"/>
      <c r="C129" s="539" t="s">
        <v>1179</v>
      </c>
      <c r="D129" s="2632"/>
      <c r="E129" s="2374"/>
      <c r="F129" s="2553"/>
      <c r="G129" s="570"/>
      <c r="H129" s="1670"/>
      <c r="I129" s="821"/>
      <c r="J129" s="741"/>
      <c r="K129" s="1670"/>
      <c r="L129" s="384"/>
      <c r="M129" s="511"/>
      <c r="N129" s="504"/>
      <c r="O129" s="1794"/>
      <c r="P129" s="1794"/>
      <c r="AH129" s="1801">
        <v>0</v>
      </c>
    </row>
    <row s="11913" customFormat="1" customHeight="1" ht="18.75" hidden="1">
      <c r="A130" s="1950" t="s">
        <v>257</v>
      </c>
      <c r="B130" s="1950" t="s">
        <v>258</v>
      </c>
      <c r="C130" s="539"/>
      <c r="D130" s="2632"/>
      <c r="E130" s="2374"/>
      <c r="F130" s="2553" t="str">
        <f>INDEX(PT_DIFFERENTIATION_VTAR,MATCH(A130,PT_DIFFERENTIATION_VTAR_ID,0))</f>
        <v>Тариф на подключение (технологическое присоединение) к централизованной системе холодного водоснабжения</v>
      </c>
      <c r="G130" s="2597" t="str">
        <f>INDEX(PT_DIFFERENTIATION_NTAR,MATCH(B130,PT_DIFFERENTIATION_NTAR_ID,0))</f>
        <v/>
      </c>
      <c r="H130" s="2032"/>
      <c r="I130" s="1909"/>
      <c r="J130" s="1943"/>
      <c r="K130" s="1948"/>
      <c r="L130" s="2032" t="s">
        <v>318</v>
      </c>
      <c r="M130" s="511"/>
      <c r="N130" s="504"/>
      <c r="O130" s="1794"/>
      <c r="P130" s="1794"/>
      <c r="AH130" s="1801">
        <v>0</v>
      </c>
    </row>
    <row s="11913" customFormat="1" customHeight="1" ht="18.75" hidden="1">
      <c r="A131" s="1950"/>
      <c r="B131" s="1950"/>
      <c r="C131" s="539" t="s">
        <v>1171</v>
      </c>
      <c r="D131" s="2632"/>
      <c r="E131" s="2374"/>
      <c r="F131" s="2553"/>
      <c r="G131" s="2597"/>
      <c r="H131" s="1670"/>
      <c r="I131" s="821" t="s">
        <v>1170</v>
      </c>
      <c r="J131" s="741"/>
      <c r="K131" s="1670"/>
      <c r="L131" s="384"/>
      <c r="M131" s="511"/>
      <c r="N131" s="504"/>
      <c r="O131" s="1794"/>
      <c r="P131" s="1794"/>
      <c r="AH131" s="1801">
        <v>0</v>
      </c>
    </row>
    <row s="11913" customFormat="1" customHeight="1" ht="0.75" hidden="1">
      <c r="A132" s="1950"/>
      <c r="B132" s="1950"/>
      <c r="C132" s="539" t="s">
        <v>1179</v>
      </c>
      <c r="D132" s="2632"/>
      <c r="E132" s="2374"/>
      <c r="F132" s="2553"/>
      <c r="G132" s="570"/>
      <c r="H132" s="1670"/>
      <c r="I132" s="821"/>
      <c r="J132" s="741"/>
      <c r="K132" s="1670"/>
      <c r="L132" s="384"/>
      <c r="M132" s="511"/>
      <c r="N132" s="504"/>
      <c r="O132" s="1794"/>
      <c r="P132" s="1794"/>
      <c r="AH132" s="1801">
        <v>0</v>
      </c>
    </row>
    <row s="11913" customFormat="1" customHeight="1" ht="18.75" hidden="1">
      <c r="A133" s="1950" t="s">
        <v>262</v>
      </c>
      <c r="B133" s="1950" t="s">
        <v>263</v>
      </c>
      <c r="C133" s="539"/>
      <c r="D133" s="2632"/>
      <c r="E133" s="2374"/>
      <c r="F133" s="2553" t="str">
        <f>INDEX(PT_DIFFERENTIATION_VTAR,MATCH(A133,PT_DIFFERENTIATION_VTAR_ID,0))</f>
        <v>Тариф на горячую воду (горячее водоснабжение)</v>
      </c>
      <c r="G133" s="2597" t="str">
        <f>INDEX(PT_DIFFERENTIATION_NTAR,MATCH(B133,PT_DIFFERENTIATION_NTAR_ID,0))</f>
        <v/>
      </c>
      <c r="H133" s="2032"/>
      <c r="I133" s="1909"/>
      <c r="J133" s="1943"/>
      <c r="K133" s="1948"/>
      <c r="L133" s="2032" t="s">
        <v>318</v>
      </c>
      <c r="M133" s="511"/>
      <c r="N133" s="504"/>
      <c r="O133" s="1794"/>
      <c r="P133" s="1794"/>
      <c r="AH133" s="1801">
        <v>0</v>
      </c>
    </row>
    <row s="11913" customFormat="1" customHeight="1" ht="18.75" hidden="1">
      <c r="A134" s="1950"/>
      <c r="B134" s="1950"/>
      <c r="C134" s="539" t="s">
        <v>1171</v>
      </c>
      <c r="D134" s="2632"/>
      <c r="E134" s="2374"/>
      <c r="F134" s="2553"/>
      <c r="G134" s="2597"/>
      <c r="H134" s="1670"/>
      <c r="I134" s="821" t="s">
        <v>1170</v>
      </c>
      <c r="J134" s="741"/>
      <c r="K134" s="1670"/>
      <c r="L134" s="384"/>
      <c r="M134" s="511"/>
      <c r="N134" s="504"/>
      <c r="O134" s="1794"/>
      <c r="P134" s="1794"/>
      <c r="AH134" s="1801">
        <v>0</v>
      </c>
    </row>
    <row s="11913" customFormat="1" customHeight="1" ht="0.75" hidden="1">
      <c r="A135" s="1950"/>
      <c r="B135" s="1950"/>
      <c r="C135" s="539" t="s">
        <v>1179</v>
      </c>
      <c r="D135" s="2632"/>
      <c r="E135" s="2374"/>
      <c r="F135" s="2553"/>
      <c r="G135" s="570"/>
      <c r="H135" s="1670"/>
      <c r="I135" s="821"/>
      <c r="J135" s="741"/>
      <c r="K135" s="1670"/>
      <c r="L135" s="384"/>
      <c r="M135" s="511"/>
      <c r="N135" s="504"/>
      <c r="O135" s="1794"/>
      <c r="P135" s="1794"/>
      <c r="AH135" s="1801">
        <v>0</v>
      </c>
    </row>
    <row s="11913" customFormat="1" customHeight="1" ht="18.75" hidden="1">
      <c r="A136" s="1950" t="s">
        <v>267</v>
      </c>
      <c r="B136" s="1950" t="s">
        <v>268</v>
      </c>
      <c r="C136" s="539"/>
      <c r="D136" s="2632"/>
      <c r="E136" s="2374"/>
      <c r="F136" s="2553" t="str">
        <f>INDEX(PT_DIFFERENTIATION_VTAR,MATCH(A136,PT_DIFFERENTIATION_VTAR_ID,0))</f>
        <v>Тариф на транспортировку горячей воды</v>
      </c>
      <c r="G136" s="2597" t="str">
        <f>INDEX(PT_DIFFERENTIATION_NTAR,MATCH(B136,PT_DIFFERENTIATION_NTAR_ID,0))</f>
        <v/>
      </c>
      <c r="H136" s="2032"/>
      <c r="I136" s="1909"/>
      <c r="J136" s="1943"/>
      <c r="K136" s="1948"/>
      <c r="L136" s="2032" t="s">
        <v>318</v>
      </c>
      <c r="M136" s="511"/>
      <c r="N136" s="504"/>
      <c r="O136" s="1794"/>
      <c r="P136" s="1794"/>
      <c r="AH136" s="1801">
        <v>0</v>
      </c>
    </row>
    <row s="11913" customFormat="1" customHeight="1" ht="18.75" hidden="1">
      <c r="A137" s="1950"/>
      <c r="B137" s="1950"/>
      <c r="C137" s="539" t="s">
        <v>1171</v>
      </c>
      <c r="D137" s="2632"/>
      <c r="E137" s="2374"/>
      <c r="F137" s="2553"/>
      <c r="G137" s="2597"/>
      <c r="H137" s="1670"/>
      <c r="I137" s="821" t="s">
        <v>1170</v>
      </c>
      <c r="J137" s="741"/>
      <c r="K137" s="1670"/>
      <c r="L137" s="384"/>
      <c r="M137" s="511"/>
      <c r="N137" s="504"/>
      <c r="O137" s="1794"/>
      <c r="P137" s="1794"/>
      <c r="AH137" s="1801">
        <v>0</v>
      </c>
    </row>
    <row s="11913" customFormat="1" customHeight="1" ht="0.75" hidden="1">
      <c r="A138" s="1950"/>
      <c r="B138" s="1950"/>
      <c r="C138" s="539" t="s">
        <v>1179</v>
      </c>
      <c r="D138" s="2632"/>
      <c r="E138" s="2374"/>
      <c r="F138" s="2553"/>
      <c r="G138" s="570"/>
      <c r="H138" s="1670"/>
      <c r="I138" s="821"/>
      <c r="J138" s="741"/>
      <c r="K138" s="1670"/>
      <c r="L138" s="384"/>
      <c r="M138" s="511"/>
      <c r="N138" s="504"/>
      <c r="O138" s="1794"/>
      <c r="P138" s="1794"/>
      <c r="AH138" s="1801">
        <v>0</v>
      </c>
    </row>
    <row s="11913" customFormat="1" customHeight="1" ht="18.75" hidden="1">
      <c r="A139" s="1950" t="s">
        <v>272</v>
      </c>
      <c r="B139" s="1950" t="s">
        <v>273</v>
      </c>
      <c r="C139" s="539"/>
      <c r="D139" s="2632"/>
      <c r="E139" s="2374"/>
      <c r="F139" s="2553" t="str">
        <f>INDEX(PT_DIFFERENTIATION_VTAR,MATCH(A139,PT_DIFFERENTIATION_VTAR_ID,0))</f>
        <v>Тариф на подключение (технологическое присоединение) к централизованной системе горячего водоснабжения</v>
      </c>
      <c r="G139" s="2597" t="str">
        <f>INDEX(PT_DIFFERENTIATION_NTAR,MATCH(B139,PT_DIFFERENTIATION_NTAR_ID,0))</f>
        <v/>
      </c>
      <c r="H139" s="2032"/>
      <c r="I139" s="1909"/>
      <c r="J139" s="1943"/>
      <c r="K139" s="1948"/>
      <c r="L139" s="2032" t="s">
        <v>318</v>
      </c>
      <c r="M139" s="511"/>
      <c r="N139" s="504"/>
      <c r="O139" s="1794"/>
      <c r="P139" s="1794"/>
      <c r="AH139" s="1801">
        <v>0</v>
      </c>
    </row>
    <row s="11913" customFormat="1" customHeight="1" ht="18.75" hidden="1">
      <c r="A140" s="1950"/>
      <c r="B140" s="1950"/>
      <c r="C140" s="539" t="s">
        <v>1171</v>
      </c>
      <c r="D140" s="2632"/>
      <c r="E140" s="2374"/>
      <c r="F140" s="2553"/>
      <c r="G140" s="2597"/>
      <c r="H140" s="1670"/>
      <c r="I140" s="821" t="s">
        <v>1170</v>
      </c>
      <c r="J140" s="741"/>
      <c r="K140" s="1670"/>
      <c r="L140" s="384"/>
      <c r="M140" s="511"/>
      <c r="N140" s="504"/>
      <c r="O140" s="1794"/>
      <c r="P140" s="1794"/>
      <c r="AH140" s="1801">
        <v>0</v>
      </c>
    </row>
    <row s="11913" customFormat="1" customHeight="1" ht="0.75" hidden="1">
      <c r="A141" s="1950"/>
      <c r="B141" s="1950"/>
      <c r="C141" s="539" t="s">
        <v>1179</v>
      </c>
      <c r="D141" s="2632"/>
      <c r="E141" s="2374"/>
      <c r="F141" s="2553"/>
      <c r="G141" s="570"/>
      <c r="H141" s="1670"/>
      <c r="I141" s="821"/>
      <c r="J141" s="741"/>
      <c r="K141" s="1670"/>
      <c r="L141" s="384"/>
      <c r="M141" s="511"/>
      <c r="N141" s="504"/>
      <c r="O141" s="1794"/>
      <c r="P141" s="1794"/>
      <c r="AH141" s="1801">
        <v>0</v>
      </c>
    </row>
    <row s="11913" customFormat="1" customHeight="1" ht="18.75" hidden="1">
      <c r="A142" s="1950" t="s">
        <v>277</v>
      </c>
      <c r="B142" s="1950" t="s">
        <v>278</v>
      </c>
      <c r="C142" s="539"/>
      <c r="D142" s="2632"/>
      <c r="E142" s="2374"/>
      <c r="F142" s="2553" t="str">
        <f>INDEX(PT_DIFFERENTIATION_VTAR,MATCH(A142,PT_DIFFERENTIATION_VTAR_ID,0))</f>
        <v>Тариф на водоотведение</v>
      </c>
      <c r="G142" s="2597" t="str">
        <f>INDEX(PT_DIFFERENTIATION_NTAR,MATCH(B142,PT_DIFFERENTIATION_NTAR_ID,0))</f>
        <v/>
      </c>
      <c r="H142" s="2032"/>
      <c r="I142" s="1909"/>
      <c r="J142" s="1943"/>
      <c r="K142" s="1948"/>
      <c r="L142" s="2032" t="s">
        <v>318</v>
      </c>
      <c r="M142" s="511"/>
      <c r="N142" s="504"/>
      <c r="O142" s="1794"/>
      <c r="P142" s="1794"/>
      <c r="AH142" s="1801">
        <v>0</v>
      </c>
    </row>
    <row s="11913" customFormat="1" customHeight="1" ht="18.75" hidden="1">
      <c r="A143" s="1950"/>
      <c r="B143" s="1950"/>
      <c r="C143" s="539" t="s">
        <v>1171</v>
      </c>
      <c r="D143" s="2632"/>
      <c r="E143" s="2374"/>
      <c r="F143" s="2553"/>
      <c r="G143" s="2597"/>
      <c r="H143" s="1670"/>
      <c r="I143" s="821" t="s">
        <v>1170</v>
      </c>
      <c r="J143" s="741"/>
      <c r="K143" s="1670"/>
      <c r="L143" s="384"/>
      <c r="M143" s="511"/>
      <c r="N143" s="504"/>
      <c r="O143" s="1794"/>
      <c r="P143" s="1794"/>
      <c r="AH143" s="1801">
        <v>0</v>
      </c>
    </row>
    <row s="11913" customFormat="1" customHeight="1" ht="0.75" hidden="1">
      <c r="A144" s="1950"/>
      <c r="B144" s="1950"/>
      <c r="C144" s="539" t="s">
        <v>1179</v>
      </c>
      <c r="D144" s="2632"/>
      <c r="E144" s="2374"/>
      <c r="F144" s="2553"/>
      <c r="G144" s="570"/>
      <c r="H144" s="1670"/>
      <c r="I144" s="821"/>
      <c r="J144" s="741"/>
      <c r="K144" s="1670"/>
      <c r="L144" s="384"/>
      <c r="M144" s="511"/>
      <c r="N144" s="504"/>
      <c r="O144" s="1794"/>
      <c r="P144" s="1794"/>
      <c r="AH144" s="1801">
        <v>0</v>
      </c>
    </row>
    <row s="11913" customFormat="1" customHeight="1" ht="18.75" hidden="1">
      <c r="A145" s="1950" t="s">
        <v>282</v>
      </c>
      <c r="B145" s="1950" t="s">
        <v>283</v>
      </c>
      <c r="C145" s="539"/>
      <c r="D145" s="2632"/>
      <c r="E145" s="2374"/>
      <c r="F145" s="2553" t="str">
        <f>INDEX(PT_DIFFERENTIATION_VTAR,MATCH(A145,PT_DIFFERENTIATION_VTAR_ID,0))</f>
        <v>Тариф на транспортировку сточных вод</v>
      </c>
      <c r="G145" s="2597" t="str">
        <f>INDEX(PT_DIFFERENTIATION_NTAR,MATCH(B145,PT_DIFFERENTIATION_NTAR_ID,0))</f>
        <v/>
      </c>
      <c r="H145" s="2032"/>
      <c r="I145" s="1909"/>
      <c r="J145" s="1943"/>
      <c r="K145" s="1948"/>
      <c r="L145" s="2032" t="s">
        <v>318</v>
      </c>
      <c r="M145" s="511"/>
      <c r="N145" s="504"/>
      <c r="O145" s="1794"/>
      <c r="P145" s="1794"/>
      <c r="AH145" s="1801">
        <v>0</v>
      </c>
    </row>
    <row s="11913" customFormat="1" customHeight="1" ht="18.75" hidden="1">
      <c r="A146" s="1950"/>
      <c r="B146" s="1950"/>
      <c r="C146" s="539" t="s">
        <v>1171</v>
      </c>
      <c r="D146" s="2632"/>
      <c r="E146" s="2374"/>
      <c r="F146" s="2553"/>
      <c r="G146" s="2597"/>
      <c r="H146" s="1670"/>
      <c r="I146" s="821" t="s">
        <v>1170</v>
      </c>
      <c r="J146" s="741"/>
      <c r="K146" s="1670"/>
      <c r="L146" s="384"/>
      <c r="M146" s="511"/>
      <c r="N146" s="504"/>
      <c r="O146" s="1794"/>
      <c r="P146" s="1794"/>
      <c r="AH146" s="1801">
        <v>0</v>
      </c>
    </row>
    <row s="11913" customFormat="1" customHeight="1" ht="0.75" hidden="1">
      <c r="A147" s="1950"/>
      <c r="B147" s="1950"/>
      <c r="C147" s="539" t="s">
        <v>1179</v>
      </c>
      <c r="D147" s="2632"/>
      <c r="E147" s="2374"/>
      <c r="F147" s="2553"/>
      <c r="G147" s="570"/>
      <c r="H147" s="1670"/>
      <c r="I147" s="821"/>
      <c r="J147" s="741"/>
      <c r="K147" s="1670"/>
      <c r="L147" s="384"/>
      <c r="M147" s="511"/>
      <c r="N147" s="504"/>
      <c r="O147" s="1794"/>
      <c r="P147" s="1794"/>
      <c r="AH147" s="1801">
        <v>0</v>
      </c>
    </row>
    <row s="11913" customFormat="1" customHeight="1" ht="18.75" hidden="1">
      <c r="A148" s="1950" t="s">
        <v>287</v>
      </c>
      <c r="B148" s="1950" t="s">
        <v>288</v>
      </c>
      <c r="C148" s="539"/>
      <c r="D148" s="2632"/>
      <c r="E148" s="2374"/>
      <c r="F148" s="2553" t="str">
        <f>INDEX(PT_DIFFERENTIATION_VTAR,MATCH(A148,PT_DIFFERENTIATION_VTAR_ID,0))</f>
        <v>Тариф на подключение (технологическое присоединение) к централизованной системе водоотведения</v>
      </c>
      <c r="G148" s="2597" t="str">
        <f>INDEX(PT_DIFFERENTIATION_NTAR,MATCH(B148,PT_DIFFERENTIATION_NTAR_ID,0))</f>
        <v/>
      </c>
      <c r="H148" s="2032"/>
      <c r="I148" s="1909"/>
      <c r="J148" s="1943"/>
      <c r="K148" s="1948"/>
      <c r="L148" s="2032" t="s">
        <v>318</v>
      </c>
      <c r="M148" s="511"/>
      <c r="N148" s="504"/>
      <c r="O148" s="1794"/>
      <c r="P148" s="1794"/>
      <c r="AH148" s="1801">
        <v>0</v>
      </c>
    </row>
    <row s="11913" customFormat="1" customHeight="1" ht="18.75" hidden="1">
      <c r="A149" s="1950"/>
      <c r="B149" s="1950"/>
      <c r="C149" s="539" t="s">
        <v>1171</v>
      </c>
      <c r="D149" s="2632"/>
      <c r="E149" s="2374"/>
      <c r="F149" s="2553"/>
      <c r="G149" s="2597"/>
      <c r="H149" s="1670"/>
      <c r="I149" s="821" t="s">
        <v>1170</v>
      </c>
      <c r="J149" s="741"/>
      <c r="K149" s="1670"/>
      <c r="L149" s="384"/>
      <c r="M149" s="511"/>
      <c r="N149" s="504"/>
      <c r="O149" s="1794"/>
      <c r="P149" s="1794"/>
      <c r="AH149" s="1801">
        <v>0</v>
      </c>
    </row>
    <row s="11913" customFormat="1" customHeight="1" ht="1.05">
      <c r="A150" s="1950"/>
      <c r="B150" s="1950"/>
      <c r="C150" s="539" t="s">
        <v>1179</v>
      </c>
      <c r="D150" s="2632"/>
      <c r="E150" s="2374"/>
      <c r="F150" s="2553"/>
      <c r="G150" s="570"/>
      <c r="H150" s="1670"/>
      <c r="I150" s="821"/>
      <c r="J150" s="741"/>
      <c r="K150" s="1670"/>
      <c r="L150" s="384"/>
      <c r="M150" s="511"/>
      <c r="N150" s="504"/>
      <c r="O150" s="1794"/>
      <c r="P150" s="1794"/>
      <c r="AH150" s="1801">
        <v>1</v>
      </c>
    </row>
    <row customHeight="1" ht="19.95">
      <c r="A151" s="1950"/>
      <c r="B151" s="1950"/>
      <c r="D151" s="546"/>
      <c r="E151" s="317" t="s">
        <v>94</v>
      </c>
      <c r="F151" s="263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1" s="2630"/>
      <c r="H151" s="2630"/>
      <c r="I151" s="2630"/>
      <c r="J151" s="2630"/>
      <c r="K151" s="2630"/>
      <c r="L151" s="2630"/>
      <c r="M151" s="467"/>
      <c r="N151" s="504"/>
      <c r="AH151" s="544">
        <v>19</v>
      </c>
    </row>
    <row s="11913" customFormat="1" customHeight="1" ht="60.75" hidden="1">
      <c r="A152" s="1950" t="s">
        <v>160</v>
      </c>
      <c r="B152" s="1950" t="s">
        <v>161</v>
      </c>
      <c r="C152" s="539"/>
      <c r="D152" s="2632"/>
      <c r="E152" s="2374"/>
      <c r="F152" s="2553" t="str">
        <f>INDEX(PT_DIFFERENTIATION_VTAR,MATCH(A152,PT_DIFFERENTIATION_VTAR_ID,0))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2" s="2597" t="str">
        <f>INDEX(PT_DIFFERENTIATION_NTAR,MATCH(B152,PT_DIFFERENTIATION_NTAR_ID,0))</f>
        <v>Тариф на тепловую энергию (мощность) на коллекторах источника тепловой энергии</v>
      </c>
      <c r="H152" s="2032"/>
      <c r="I152" s="1909"/>
      <c r="J152" s="1943"/>
      <c r="K152" s="1948"/>
      <c r="L152" s="2032" t="s">
        <v>318</v>
      </c>
      <c r="M152" s="233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2" s="504"/>
      <c r="O152" s="1794"/>
      <c r="P152" s="1794"/>
      <c r="AH152" s="1801">
        <v>0</v>
      </c>
    </row>
    <row s="11913" customFormat="1" customHeight="1" ht="18.75" hidden="1">
      <c r="A153" s="1950"/>
      <c r="B153" s="1950"/>
      <c r="C153" s="539" t="s">
        <v>1171</v>
      </c>
      <c r="D153" s="2632"/>
      <c r="E153" s="2374"/>
      <c r="F153" s="2553"/>
      <c r="G153" s="2597"/>
      <c r="H153" s="1670"/>
      <c r="I153" s="821" t="s">
        <v>1170</v>
      </c>
      <c r="J153" s="741"/>
      <c r="K153" s="1670"/>
      <c r="L153" s="384"/>
      <c r="M153" s="2340"/>
      <c r="N153" s="504"/>
      <c r="O153" s="1794"/>
      <c r="P153" s="1794"/>
      <c r="AH153" s="1801">
        <v>0</v>
      </c>
    </row>
    <row s="11913" customFormat="1" customHeight="1" ht="0.75" hidden="1">
      <c r="A154" s="1950"/>
      <c r="B154" s="1950"/>
      <c r="C154" s="539" t="s">
        <v>1179</v>
      </c>
      <c r="D154" s="2632"/>
      <c r="E154" s="2374"/>
      <c r="F154" s="2553"/>
      <c r="G154" s="570"/>
      <c r="H154" s="1670"/>
      <c r="I154" s="821"/>
      <c r="J154" s="741"/>
      <c r="K154" s="1670"/>
      <c r="L154" s="384"/>
      <c r="M154" s="2340"/>
      <c r="N154" s="504"/>
      <c r="O154" s="1794"/>
      <c r="P154" s="1794"/>
      <c r="AH154" s="1801">
        <v>0</v>
      </c>
    </row>
    <row s="11913" customFormat="1" customHeight="1" ht="45" hidden="1">
      <c r="A155" s="1950" t="s">
        <v>172</v>
      </c>
      <c r="B155" s="1950" t="s">
        <v>173</v>
      </c>
      <c r="C155" s="539"/>
      <c r="D155" s="2632"/>
      <c r="E155" s="2374"/>
      <c r="F155" s="2553" t="str">
        <f>INDEX(PT_DIFFERENTIATION_VTAR,MATCH(A155,PT_DIFFERENTIATION_VTAR_ID,0))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5" s="2597" t="str">
        <f>INDEX(PT_DIFFERENTIATION_NTAR,MATCH(B155,PT_DIFFERENTIATION_NTAR_ID,0))</f>
        <v>Тариф на тепловую энергию (мощность) поставляемую потребителям</v>
      </c>
      <c r="H155" s="2032"/>
      <c r="I155" s="1909"/>
      <c r="J155" s="1943"/>
      <c r="K155" s="1948"/>
      <c r="L155" s="2032" t="s">
        <v>318</v>
      </c>
      <c r="M155" s="2341"/>
      <c r="N155" s="504"/>
      <c r="O155" s="1794"/>
      <c r="P155" s="1794"/>
      <c r="AH155" s="1801">
        <v>0</v>
      </c>
    </row>
    <row s="11913" customFormat="1" customHeight="1" ht="18.75" hidden="1">
      <c r="A156" s="1950"/>
      <c r="B156" s="1950"/>
      <c r="C156" s="539" t="s">
        <v>1171</v>
      </c>
      <c r="D156" s="2632"/>
      <c r="E156" s="2374"/>
      <c r="F156" s="2553"/>
      <c r="G156" s="2597"/>
      <c r="H156" s="1670"/>
      <c r="I156" s="821" t="s">
        <v>1170</v>
      </c>
      <c r="J156" s="741"/>
      <c r="K156" s="1670"/>
      <c r="L156" s="384"/>
      <c r="M156" s="2031"/>
      <c r="N156" s="504"/>
      <c r="O156" s="1794"/>
      <c r="P156" s="1794"/>
      <c r="AH156" s="1801">
        <v>0</v>
      </c>
    </row>
    <row s="11913" customFormat="1" customHeight="1" ht="0.75" hidden="1">
      <c r="A157" s="1950"/>
      <c r="B157" s="1950"/>
      <c r="C157" s="539" t="s">
        <v>1179</v>
      </c>
      <c r="D157" s="2632"/>
      <c r="E157" s="2374"/>
      <c r="F157" s="2553"/>
      <c r="G157" s="570"/>
      <c r="H157" s="1670"/>
      <c r="I157" s="821"/>
      <c r="J157" s="741"/>
      <c r="K157" s="1670"/>
      <c r="L157" s="384"/>
      <c r="M157" s="511"/>
      <c r="N157" s="504"/>
      <c r="O157" s="1794"/>
      <c r="P157" s="1794"/>
      <c r="AH157" s="1801">
        <v>0</v>
      </c>
    </row>
    <row s="11913" customFormat="1" customHeight="1" ht="45" hidden="1">
      <c r="A158" s="1950" t="s">
        <v>181</v>
      </c>
      <c r="B158" s="1950" t="s">
        <v>182</v>
      </c>
      <c r="C158" s="539"/>
      <c r="D158" s="2632"/>
      <c r="E158" s="2374"/>
      <c r="F158" s="2553" t="str">
        <f>INDEX(PT_DIFFERENTIATION_VTAR,MATCH(A158,PT_DIFFERENTIATION_VTAR_ID,0))</f>
        <v>Тарифы на теплоноситель, поставляемый теплоснабжающими организациями потребителям, другим теплоснабжающим организациям</v>
      </c>
      <c r="G158" s="2597" t="str">
        <f>INDEX(PT_DIFFERENTIATION_NTAR,MATCH(B158,PT_DIFFERENTIATION_NTAR_ID,0))</f>
        <v>Тариф на теплоноситель, поставляемый потребителям</v>
      </c>
      <c r="H158" s="2032"/>
      <c r="I158" s="1909"/>
      <c r="J158" s="1943"/>
      <c r="K158" s="1948"/>
      <c r="L158" s="2032" t="s">
        <v>318</v>
      </c>
      <c r="M158" s="511"/>
      <c r="N158" s="504"/>
      <c r="O158" s="1794"/>
      <c r="P158" s="1794"/>
      <c r="AH158" s="1801">
        <v>0</v>
      </c>
    </row>
    <row s="11913" customFormat="1" customHeight="1" ht="18.75" hidden="1">
      <c r="A159" s="1950"/>
      <c r="B159" s="1950"/>
      <c r="C159" s="539" t="s">
        <v>1171</v>
      </c>
      <c r="D159" s="2632"/>
      <c r="E159" s="2374"/>
      <c r="F159" s="2553"/>
      <c r="G159" s="2597"/>
      <c r="H159" s="1670"/>
      <c r="I159" s="821" t="s">
        <v>1170</v>
      </c>
      <c r="J159" s="741"/>
      <c r="K159" s="1670"/>
      <c r="L159" s="384"/>
      <c r="M159" s="511"/>
      <c r="N159" s="504"/>
      <c r="O159" s="1794"/>
      <c r="P159" s="1794"/>
      <c r="AH159" s="1801">
        <v>0</v>
      </c>
    </row>
    <row s="11913" customFormat="1" customHeight="1" ht="0.75" hidden="1">
      <c r="A160" s="1950"/>
      <c r="B160" s="1950"/>
      <c r="C160" s="539" t="s">
        <v>1179</v>
      </c>
      <c r="D160" s="2632"/>
      <c r="E160" s="2374"/>
      <c r="F160" s="2553"/>
      <c r="G160" s="570"/>
      <c r="H160" s="1670"/>
      <c r="I160" s="821"/>
      <c r="J160" s="741"/>
      <c r="K160" s="1670"/>
      <c r="L160" s="384"/>
      <c r="M160" s="511"/>
      <c r="N160" s="504"/>
      <c r="O160" s="1794"/>
      <c r="P160" s="1794"/>
      <c r="AH160" s="1801">
        <v>0</v>
      </c>
    </row>
    <row s="11913" customFormat="1" customHeight="1" ht="45" hidden="1">
      <c r="A161" s="1950" t="s">
        <v>187</v>
      </c>
      <c r="B161" s="1950" t="s">
        <v>188</v>
      </c>
      <c r="C161" s="539"/>
      <c r="D161" s="2632"/>
      <c r="E161" s="2374"/>
      <c r="F161" s="2553" t="str">
        <f>INDEX(PT_DIFFERENTIATION_VTAR,MATCH(A161,PT_DIFFERENTIATION_VTAR_ID,0))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1" s="2597" t="str">
        <f>INDEX(PT_DIFFERENTIATION_NTAR,MATCH(B161,PT_DIFFERENTIATION_NTAR_ID,0))</f>
        <v/>
      </c>
      <c r="H161" s="2032"/>
      <c r="I161" s="1909"/>
      <c r="J161" s="1943"/>
      <c r="K161" s="1948"/>
      <c r="L161" s="2032" t="s">
        <v>318</v>
      </c>
      <c r="M161" s="511"/>
      <c r="N161" s="504"/>
      <c r="O161" s="1794"/>
      <c r="P161" s="1794"/>
      <c r="AH161" s="1801">
        <v>0</v>
      </c>
    </row>
    <row s="11913" customFormat="1" customHeight="1" ht="18.75" hidden="1">
      <c r="A162" s="1950"/>
      <c r="B162" s="1950"/>
      <c r="C162" s="539" t="s">
        <v>1171</v>
      </c>
      <c r="D162" s="2632"/>
      <c r="E162" s="2374"/>
      <c r="F162" s="2553"/>
      <c r="G162" s="2597"/>
      <c r="H162" s="1670"/>
      <c r="I162" s="821" t="s">
        <v>1170</v>
      </c>
      <c r="J162" s="741"/>
      <c r="K162" s="1670"/>
      <c r="L162" s="384"/>
      <c r="M162" s="511"/>
      <c r="N162" s="504"/>
      <c r="O162" s="1794"/>
      <c r="P162" s="1794"/>
      <c r="AH162" s="1801">
        <v>0</v>
      </c>
    </row>
    <row s="11913" customFormat="1" customHeight="1" ht="0.75" hidden="1">
      <c r="A163" s="1950"/>
      <c r="B163" s="1950"/>
      <c r="C163" s="539" t="s">
        <v>1179</v>
      </c>
      <c r="D163" s="2632"/>
      <c r="E163" s="2374"/>
      <c r="F163" s="2553"/>
      <c r="G163" s="570"/>
      <c r="H163" s="1670"/>
      <c r="I163" s="821"/>
      <c r="J163" s="741"/>
      <c r="K163" s="1670"/>
      <c r="L163" s="384"/>
      <c r="M163" s="511"/>
      <c r="N163" s="504"/>
      <c r="O163" s="1794"/>
      <c r="P163" s="1794"/>
      <c r="AH163" s="1801">
        <v>0</v>
      </c>
    </row>
    <row s="11913" customFormat="1" customHeight="1" ht="18.75" hidden="1">
      <c r="A164" s="1950" t="s">
        <v>193</v>
      </c>
      <c r="B164" s="1950" t="s">
        <v>194</v>
      </c>
      <c r="C164" s="539"/>
      <c r="D164" s="2632"/>
      <c r="E164" s="2374"/>
      <c r="F164" s="2553" t="str">
        <f>INDEX(PT_DIFFERENTIATION_VTAR,MATCH(A164,PT_DIFFERENTIATION_VTAR_ID,0))</f>
        <v>Тарифы на услуги по передаче тепловой энергии</v>
      </c>
      <c r="G164" s="2597" t="str">
        <f>INDEX(PT_DIFFERENTIATION_NTAR,MATCH(B164,PT_DIFFERENTIATION_NTAR_ID,0))</f>
        <v/>
      </c>
      <c r="H164" s="2032"/>
      <c r="I164" s="1909"/>
      <c r="J164" s="1943"/>
      <c r="K164" s="1948"/>
      <c r="L164" s="2032" t="s">
        <v>318</v>
      </c>
      <c r="M164" s="511"/>
      <c r="N164" s="504"/>
      <c r="O164" s="1794"/>
      <c r="P164" s="1794"/>
      <c r="AH164" s="1801">
        <v>0</v>
      </c>
    </row>
    <row s="11913" customFormat="1" customHeight="1" ht="18.75" hidden="1">
      <c r="A165" s="1950"/>
      <c r="B165" s="1950"/>
      <c r="C165" s="539" t="s">
        <v>1171</v>
      </c>
      <c r="D165" s="2632"/>
      <c r="E165" s="2374"/>
      <c r="F165" s="2553"/>
      <c r="G165" s="2597"/>
      <c r="H165" s="1670"/>
      <c r="I165" s="821" t="s">
        <v>1170</v>
      </c>
      <c r="J165" s="741"/>
      <c r="K165" s="1670"/>
      <c r="L165" s="384"/>
      <c r="M165" s="511"/>
      <c r="N165" s="504"/>
      <c r="O165" s="1794"/>
      <c r="P165" s="1794"/>
      <c r="AH165" s="1801">
        <v>0</v>
      </c>
    </row>
    <row s="11913" customFormat="1" customHeight="1" ht="0.75" hidden="1">
      <c r="A166" s="1950"/>
      <c r="B166" s="1950"/>
      <c r="C166" s="539" t="s">
        <v>1179</v>
      </c>
      <c r="D166" s="2632"/>
      <c r="E166" s="2374"/>
      <c r="F166" s="2553"/>
      <c r="G166" s="570"/>
      <c r="H166" s="1670"/>
      <c r="I166" s="821"/>
      <c r="J166" s="741"/>
      <c r="K166" s="1670"/>
      <c r="L166" s="384"/>
      <c r="M166" s="511"/>
      <c r="N166" s="504"/>
      <c r="O166" s="1794"/>
      <c r="P166" s="1794"/>
      <c r="AH166" s="1801">
        <v>0</v>
      </c>
    </row>
    <row s="11913" customFormat="1" customHeight="1" ht="18.75" hidden="1">
      <c r="A167" s="1950" t="s">
        <v>199</v>
      </c>
      <c r="B167" s="1950" t="s">
        <v>200</v>
      </c>
      <c r="C167" s="539"/>
      <c r="D167" s="2632"/>
      <c r="E167" s="2374"/>
      <c r="F167" s="2553" t="str">
        <f>INDEX(PT_DIFFERENTIATION_VTAR,MATCH(A167,PT_DIFFERENTIATION_VTAR_ID,0))</f>
        <v>Тарифы на услуги по передаче теплоносителя</v>
      </c>
      <c r="G167" s="2597" t="str">
        <f>INDEX(PT_DIFFERENTIATION_NTAR,MATCH(B167,PT_DIFFERENTIATION_NTAR_ID,0))</f>
        <v/>
      </c>
      <c r="H167" s="2032"/>
      <c r="I167" s="1909"/>
      <c r="J167" s="1943"/>
      <c r="K167" s="1948"/>
      <c r="L167" s="2032" t="s">
        <v>318</v>
      </c>
      <c r="M167" s="511"/>
      <c r="N167" s="504"/>
      <c r="O167" s="1794"/>
      <c r="P167" s="1794"/>
      <c r="AH167" s="1801">
        <v>0</v>
      </c>
    </row>
    <row s="11913" customFormat="1" customHeight="1" ht="18.75" hidden="1">
      <c r="A168" s="1950"/>
      <c r="B168" s="1950"/>
      <c r="C168" s="539" t="s">
        <v>1171</v>
      </c>
      <c r="D168" s="2632"/>
      <c r="E168" s="2374"/>
      <c r="F168" s="2553"/>
      <c r="G168" s="2597"/>
      <c r="H168" s="1670"/>
      <c r="I168" s="821" t="s">
        <v>1170</v>
      </c>
      <c r="J168" s="741"/>
      <c r="K168" s="1670"/>
      <c r="L168" s="384"/>
      <c r="M168" s="511"/>
      <c r="N168" s="504"/>
      <c r="O168" s="1794"/>
      <c r="P168" s="1794"/>
      <c r="AH168" s="1801">
        <v>0</v>
      </c>
    </row>
    <row s="11913" customFormat="1" customHeight="1" ht="0.75" hidden="1">
      <c r="A169" s="1950"/>
      <c r="B169" s="1950"/>
      <c r="C169" s="539" t="s">
        <v>1179</v>
      </c>
      <c r="D169" s="2632"/>
      <c r="E169" s="2374"/>
      <c r="F169" s="2553"/>
      <c r="G169" s="570"/>
      <c r="H169" s="1670"/>
      <c r="I169" s="821"/>
      <c r="J169" s="741"/>
      <c r="K169" s="1670"/>
      <c r="L169" s="384"/>
      <c r="M169" s="511"/>
      <c r="N169" s="504"/>
      <c r="O169" s="1794"/>
      <c r="P169" s="1794"/>
      <c r="AH169" s="1801">
        <v>0</v>
      </c>
    </row>
    <row s="11913" customFormat="1" customHeight="1" ht="18.75" hidden="1">
      <c r="A170" s="1950" t="s">
        <v>205</v>
      </c>
      <c r="B170" s="1950" t="s">
        <v>206</v>
      </c>
      <c r="C170" s="539"/>
      <c r="D170" s="2632"/>
      <c r="E170" s="2374"/>
      <c r="F170" s="2553" t="str">
        <f>INDEX(PT_DIFFERENTIATION_VTAR,MATCH(A170,PT_DIFFERENTIATION_VTAR_ID,0))</f>
        <v>Плата за услуги по поддержанию резервной тепловой мощности при отсутствии потребления тепловой энергии</v>
      </c>
      <c r="G170" s="2597" t="str">
        <f>INDEX(PT_DIFFERENTIATION_NTAR,MATCH(B170,PT_DIFFERENTIATION_NTAR_ID,0))</f>
        <v/>
      </c>
      <c r="H170" s="2032"/>
      <c r="I170" s="1909"/>
      <c r="J170" s="1943"/>
      <c r="K170" s="1948"/>
      <c r="L170" s="2032" t="s">
        <v>318</v>
      </c>
      <c r="M170" s="511"/>
      <c r="N170" s="504"/>
      <c r="O170" s="1794"/>
      <c r="P170" s="1794"/>
      <c r="AH170" s="1801">
        <v>0</v>
      </c>
    </row>
    <row s="11913" customFormat="1" customHeight="1" ht="18.75" hidden="1">
      <c r="A171" s="1950"/>
      <c r="B171" s="1950"/>
      <c r="C171" s="539" t="s">
        <v>1171</v>
      </c>
      <c r="D171" s="2632"/>
      <c r="E171" s="2374"/>
      <c r="F171" s="2553"/>
      <c r="G171" s="2597"/>
      <c r="H171" s="1670"/>
      <c r="I171" s="821" t="s">
        <v>1170</v>
      </c>
      <c r="J171" s="741"/>
      <c r="K171" s="1670"/>
      <c r="L171" s="384"/>
      <c r="M171" s="511"/>
      <c r="N171" s="504"/>
      <c r="O171" s="1794"/>
      <c r="P171" s="1794"/>
      <c r="AH171" s="1801">
        <v>0</v>
      </c>
    </row>
    <row s="11913" customFormat="1" customHeight="1" ht="0.75" hidden="1">
      <c r="A172" s="1950"/>
      <c r="B172" s="1950"/>
      <c r="C172" s="539" t="s">
        <v>1179</v>
      </c>
      <c r="D172" s="2632"/>
      <c r="E172" s="2374"/>
      <c r="F172" s="2553"/>
      <c r="G172" s="570"/>
      <c r="H172" s="1670"/>
      <c r="I172" s="821"/>
      <c r="J172" s="741"/>
      <c r="K172" s="1670"/>
      <c r="L172" s="384"/>
      <c r="M172" s="511"/>
      <c r="N172" s="504"/>
      <c r="O172" s="1794"/>
      <c r="P172" s="1794"/>
      <c r="AH172" s="1801">
        <v>0</v>
      </c>
    </row>
    <row s="11913" customFormat="1" customHeight="1" ht="18.75" hidden="1">
      <c r="A173" s="1950" t="s">
        <v>211</v>
      </c>
      <c r="B173" s="1950" t="s">
        <v>212</v>
      </c>
      <c r="C173" s="539"/>
      <c r="D173" s="2632"/>
      <c r="E173" s="2374"/>
      <c r="F173" s="2553" t="str">
        <f>INDEX(PT_DIFFERENTIATION_VTAR,MATCH(A173,PT_DIFFERENTIATION_VTAR_ID,0))</f>
        <v>Плата за подключение (технологическое присоединение) к системе теплоснабжения</v>
      </c>
      <c r="G173" s="2597" t="str">
        <f>INDEX(PT_DIFFERENTIATION_NTAR,MATCH(B173,PT_DIFFERENTIATION_NTAR_ID,0))</f>
        <v/>
      </c>
      <c r="H173" s="2032"/>
      <c r="I173" s="1909"/>
      <c r="J173" s="1943"/>
      <c r="K173" s="1948"/>
      <c r="L173" s="2032" t="s">
        <v>318</v>
      </c>
      <c r="M173" s="511"/>
      <c r="N173" s="504"/>
      <c r="O173" s="1794"/>
      <c r="P173" s="1794"/>
      <c r="AH173" s="1801">
        <v>0</v>
      </c>
    </row>
    <row s="11913" customFormat="1" customHeight="1" ht="18.75" hidden="1">
      <c r="A174" s="1950"/>
      <c r="B174" s="1950"/>
      <c r="C174" s="539" t="s">
        <v>1171</v>
      </c>
      <c r="D174" s="2632"/>
      <c r="E174" s="2374"/>
      <c r="F174" s="2553"/>
      <c r="G174" s="2597"/>
      <c r="H174" s="1670"/>
      <c r="I174" s="821" t="s">
        <v>1170</v>
      </c>
      <c r="J174" s="741"/>
      <c r="K174" s="1670"/>
      <c r="L174" s="384"/>
      <c r="M174" s="511"/>
      <c r="N174" s="504"/>
      <c r="O174" s="1794"/>
      <c r="P174" s="1794"/>
      <c r="AH174" s="1801">
        <v>0</v>
      </c>
    </row>
    <row s="15092" customFormat="1" customHeight="1" ht="18.75">
      <c r="A175" s="7075" t="s">
        <v>211</v>
      </c>
      <c r="B175" s="7075" t="s">
        <v>1176</v>
      </c>
      <c r="C175" s="7076"/>
      <c r="D175" s="7077"/>
      <c r="E175" s="7078"/>
      <c r="F175" s="7078"/>
      <c r="G175" s="7079">
        <f>INDEX(PT_DIFFERENTIATION_NTAR,MATCH(B175,PT_DIFFERENTIATION_NTAR_ID,0))</f>
      </c>
      <c r="H175" s="7080"/>
      <c r="I175" s="7081"/>
      <c r="J175" s="7082"/>
      <c r="K175" s="7094"/>
      <c r="L175" s="7080" t="s">
        <v>318</v>
      </c>
      <c r="M175" s="7084"/>
      <c r="N175" s="7085"/>
      <c r="O175" s="3984"/>
      <c r="P175" s="3984"/>
      <c r="Q175" s="3985"/>
      <c r="R175" s="3985"/>
      <c r="S175" s="3985"/>
      <c r="T175" s="3985"/>
      <c r="U175" s="3985"/>
      <c r="V175" s="3985"/>
      <c r="W175" s="3985"/>
      <c r="X175" s="3985"/>
      <c r="Y175" s="3985"/>
      <c r="Z175" s="3985"/>
      <c r="AA175" s="3985"/>
      <c r="AB175" s="3985"/>
      <c r="AC175" s="3985"/>
      <c r="AD175" s="3985"/>
      <c r="AE175" s="3985"/>
      <c r="AF175" s="3985"/>
      <c r="AG175" s="3985"/>
      <c r="AH175" s="3985">
        <v>0</v>
      </c>
    </row>
    <row s="15092" customFormat="1" customHeight="1" ht="18.75">
      <c r="A176" s="7075"/>
      <c r="B176" s="7075"/>
      <c r="C176" s="7076" t="s">
        <v>1171</v>
      </c>
      <c r="D176" s="7077"/>
      <c r="E176" s="7078"/>
      <c r="F176" s="7078"/>
      <c r="G176" s="7079"/>
      <c r="H176" s="7100"/>
      <c r="I176" s="7101" t="s">
        <v>1170</v>
      </c>
      <c r="J176" s="7102"/>
      <c r="K176" s="7103"/>
      <c r="L176" s="7104"/>
      <c r="M176" s="7084"/>
      <c r="N176" s="7085"/>
      <c r="O176" s="3984"/>
      <c r="P176" s="3984"/>
      <c r="Q176" s="3985"/>
      <c r="R176" s="3985"/>
      <c r="S176" s="3985"/>
      <c r="T176" s="3985"/>
      <c r="U176" s="3985"/>
      <c r="V176" s="3985"/>
      <c r="W176" s="3985"/>
      <c r="X176" s="3985"/>
      <c r="Y176" s="3985"/>
      <c r="Z176" s="3985"/>
      <c r="AA176" s="3985"/>
      <c r="AB176" s="3985"/>
      <c r="AC176" s="3985"/>
      <c r="AD176" s="3985"/>
      <c r="AE176" s="3985"/>
      <c r="AF176" s="3985"/>
      <c r="AG176" s="3985"/>
      <c r="AH176" s="3985">
        <v>0</v>
      </c>
    </row>
    <row s="11913" customFormat="1" customHeight="1" ht="0.75" hidden="1">
      <c r="A177" s="1950"/>
      <c r="B177" s="1950"/>
      <c r="C177" s="539" t="s">
        <v>1179</v>
      </c>
      <c r="D177" s="2632"/>
      <c r="E177" s="2374"/>
      <c r="F177" s="2553"/>
      <c r="G177" s="570"/>
      <c r="H177" s="1670"/>
      <c r="I177" s="821"/>
      <c r="J177" s="741"/>
      <c r="K177" s="1670"/>
      <c r="L177" s="384"/>
      <c r="M177" s="511"/>
      <c r="N177" s="504"/>
      <c r="O177" s="1794"/>
      <c r="P177" s="1794"/>
      <c r="AH177" s="1801">
        <v>0</v>
      </c>
    </row>
    <row s="11913" customFormat="1" customHeight="1" ht="18.75" hidden="1">
      <c r="A178" s="1950" t="s">
        <v>217</v>
      </c>
      <c r="B178" s="1950" t="s">
        <v>218</v>
      </c>
      <c r="C178" s="539"/>
      <c r="D178" s="2632"/>
      <c r="E178" s="2374"/>
      <c r="F178" s="2553" t="str">
        <f>INDEX(PT_DIFFERENTIATION_VTAR,MATCH(A178,PT_DIFFERENTIATION_VTAR_ID,0))</f>
        <v>Плата за подключение (технологическое присоединение) к системе теплоснабжения (индивидуальная)</v>
      </c>
      <c r="G178" s="2597" t="str">
        <f>INDEX(PT_DIFFERENTIATION_NTAR,MATCH(B178,PT_DIFFERENTIATION_NTAR_ID,0))</f>
        <v/>
      </c>
      <c r="H178" s="2159"/>
      <c r="I178" s="1909"/>
      <c r="J178" s="1943"/>
      <c r="K178" s="1948"/>
      <c r="L178" s="2159" t="s">
        <v>318</v>
      </c>
      <c r="M178" s="511"/>
      <c r="N178" s="504"/>
      <c r="O178" s="1794"/>
      <c r="P178" s="1794"/>
      <c r="AH178" s="1801">
        <v>0</v>
      </c>
    </row>
    <row s="11913" customFormat="1" customHeight="1" ht="18.75" hidden="1">
      <c r="A179" s="1950"/>
      <c r="B179" s="1950"/>
      <c r="C179" s="539" t="s">
        <v>1171</v>
      </c>
      <c r="D179" s="2632"/>
      <c r="E179" s="2374"/>
      <c r="F179" s="2553"/>
      <c r="G179" s="2597"/>
      <c r="H179" s="1670"/>
      <c r="I179" s="821" t="s">
        <v>1170</v>
      </c>
      <c r="J179" s="741"/>
      <c r="K179" s="1670"/>
      <c r="L179" s="384"/>
      <c r="M179" s="511"/>
      <c r="N179" s="504"/>
      <c r="O179" s="1794"/>
      <c r="P179" s="1794"/>
      <c r="AH179" s="1801">
        <v>0</v>
      </c>
    </row>
    <row s="11913" customFormat="1" customHeight="1" ht="0.75" hidden="1">
      <c r="A180" s="1950"/>
      <c r="B180" s="1950"/>
      <c r="C180" s="539" t="s">
        <v>1179</v>
      </c>
      <c r="D180" s="2632"/>
      <c r="E180" s="2374"/>
      <c r="F180" s="2553"/>
      <c r="G180" s="570"/>
      <c r="H180" s="1670"/>
      <c r="I180" s="821"/>
      <c r="J180" s="741"/>
      <c r="K180" s="1670"/>
      <c r="L180" s="384"/>
      <c r="M180" s="511"/>
      <c r="N180" s="504"/>
      <c r="O180" s="1794"/>
      <c r="P180" s="1794"/>
      <c r="AH180" s="1801">
        <v>0</v>
      </c>
    </row>
    <row s="11913" customFormat="1" customHeight="1" ht="18.75" hidden="1">
      <c r="A181" s="1950" t="s">
        <v>237</v>
      </c>
      <c r="B181" s="1950" t="s">
        <v>238</v>
      </c>
      <c r="C181" s="539"/>
      <c r="D181" s="2632"/>
      <c r="E181" s="2374"/>
      <c r="F181" s="2553" t="str">
        <f>INDEX(PT_DIFFERENTIATION_VTAR,MATCH(A181,PT_DIFFERENTIATION_VTAR_ID,0))</f>
        <v>Тариф на питьевую воду (питьевое водоснабжение)</v>
      </c>
      <c r="G181" s="2597" t="str">
        <f>INDEX(PT_DIFFERENTIATION_NTAR,MATCH(B181,PT_DIFFERENTIATION_NTAR_ID,0))</f>
        <v/>
      </c>
      <c r="H181" s="2032"/>
      <c r="I181" s="1909"/>
      <c r="J181" s="1943"/>
      <c r="K181" s="1948"/>
      <c r="L181" s="2032" t="s">
        <v>318</v>
      </c>
      <c r="M181" s="511"/>
      <c r="N181" s="504"/>
      <c r="O181" s="1794"/>
      <c r="P181" s="1794"/>
      <c r="AH181" s="1801">
        <v>0</v>
      </c>
    </row>
    <row s="11913" customFormat="1" customHeight="1" ht="18.75" hidden="1">
      <c r="A182" s="1950"/>
      <c r="B182" s="1950"/>
      <c r="C182" s="539" t="s">
        <v>1171</v>
      </c>
      <c r="D182" s="2632"/>
      <c r="E182" s="2374"/>
      <c r="F182" s="2553"/>
      <c r="G182" s="2597"/>
      <c r="H182" s="1670"/>
      <c r="I182" s="821" t="s">
        <v>1170</v>
      </c>
      <c r="J182" s="741"/>
      <c r="K182" s="1670"/>
      <c r="L182" s="384"/>
      <c r="M182" s="511"/>
      <c r="N182" s="504"/>
      <c r="O182" s="1794"/>
      <c r="P182" s="1794"/>
      <c r="AH182" s="1801">
        <v>0</v>
      </c>
    </row>
    <row s="11913" customFormat="1" customHeight="1" ht="0.75" hidden="1">
      <c r="A183" s="1950"/>
      <c r="B183" s="1950"/>
      <c r="C183" s="539" t="s">
        <v>1179</v>
      </c>
      <c r="D183" s="2632"/>
      <c r="E183" s="2374"/>
      <c r="F183" s="2553"/>
      <c r="G183" s="570"/>
      <c r="H183" s="1670"/>
      <c r="I183" s="821"/>
      <c r="J183" s="741"/>
      <c r="K183" s="1670"/>
      <c r="L183" s="384"/>
      <c r="M183" s="511"/>
      <c r="N183" s="504"/>
      <c r="O183" s="1794"/>
      <c r="P183" s="1794"/>
      <c r="AH183" s="1801">
        <v>0</v>
      </c>
    </row>
    <row s="11913" customFormat="1" customHeight="1" ht="18.75" hidden="1">
      <c r="A184" s="1950" t="s">
        <v>242</v>
      </c>
      <c r="B184" s="1950" t="s">
        <v>243</v>
      </c>
      <c r="C184" s="539"/>
      <c r="D184" s="2632"/>
      <c r="E184" s="2374"/>
      <c r="F184" s="2553" t="str">
        <f>INDEX(PT_DIFFERENTIATION_VTAR,MATCH(A184,PT_DIFFERENTIATION_VTAR_ID,0))</f>
        <v>Тариф на техническую воду</v>
      </c>
      <c r="G184" s="2597" t="str">
        <f>INDEX(PT_DIFFERENTIATION_NTAR,MATCH(B184,PT_DIFFERENTIATION_NTAR_ID,0))</f>
        <v/>
      </c>
      <c r="H184" s="2032"/>
      <c r="I184" s="1909"/>
      <c r="J184" s="1943"/>
      <c r="K184" s="1948"/>
      <c r="L184" s="2032" t="s">
        <v>318</v>
      </c>
      <c r="M184" s="511"/>
      <c r="N184" s="504"/>
      <c r="O184" s="1794"/>
      <c r="P184" s="1794"/>
      <c r="AH184" s="1801">
        <v>0</v>
      </c>
    </row>
    <row s="11913" customFormat="1" customHeight="1" ht="18.75" hidden="1">
      <c r="A185" s="1950"/>
      <c r="B185" s="1950"/>
      <c r="C185" s="539" t="s">
        <v>1171</v>
      </c>
      <c r="D185" s="2632"/>
      <c r="E185" s="2374"/>
      <c r="F185" s="2553"/>
      <c r="G185" s="2597"/>
      <c r="H185" s="1670"/>
      <c r="I185" s="821" t="s">
        <v>1170</v>
      </c>
      <c r="J185" s="741"/>
      <c r="K185" s="1670"/>
      <c r="L185" s="384"/>
      <c r="M185" s="511"/>
      <c r="N185" s="504"/>
      <c r="O185" s="1794"/>
      <c r="P185" s="1794"/>
      <c r="AH185" s="1801">
        <v>0</v>
      </c>
    </row>
    <row s="11913" customFormat="1" customHeight="1" ht="0.75" hidden="1">
      <c r="A186" s="1950"/>
      <c r="B186" s="1950"/>
      <c r="C186" s="539" t="s">
        <v>1179</v>
      </c>
      <c r="D186" s="2632"/>
      <c r="E186" s="2374"/>
      <c r="F186" s="2553"/>
      <c r="G186" s="570"/>
      <c r="H186" s="1670"/>
      <c r="I186" s="821"/>
      <c r="J186" s="741"/>
      <c r="K186" s="1670"/>
      <c r="L186" s="384"/>
      <c r="M186" s="511"/>
      <c r="N186" s="504"/>
      <c r="O186" s="1794"/>
      <c r="P186" s="1794"/>
      <c r="AH186" s="1801">
        <v>0</v>
      </c>
    </row>
    <row s="11913" customFormat="1" customHeight="1" ht="18.75" hidden="1">
      <c r="A187" s="1950" t="s">
        <v>247</v>
      </c>
      <c r="B187" s="1950" t="s">
        <v>248</v>
      </c>
      <c r="C187" s="539"/>
      <c r="D187" s="2632"/>
      <c r="E187" s="2374"/>
      <c r="F187" s="2553" t="str">
        <f>INDEX(PT_DIFFERENTIATION_VTAR,MATCH(A187,PT_DIFFERENTIATION_VTAR_ID,0))</f>
        <v>Тариф на транспортировку воды</v>
      </c>
      <c r="G187" s="2597" t="str">
        <f>INDEX(PT_DIFFERENTIATION_NTAR,MATCH(B187,PT_DIFFERENTIATION_NTAR_ID,0))</f>
        <v/>
      </c>
      <c r="H187" s="2032"/>
      <c r="I187" s="1909"/>
      <c r="J187" s="1943"/>
      <c r="K187" s="1948"/>
      <c r="L187" s="2032" t="s">
        <v>318</v>
      </c>
      <c r="M187" s="511"/>
      <c r="N187" s="504"/>
      <c r="O187" s="1794"/>
      <c r="P187" s="1794"/>
      <c r="AH187" s="1801">
        <v>0</v>
      </c>
    </row>
    <row s="11913" customFormat="1" customHeight="1" ht="18.75" hidden="1">
      <c r="A188" s="1950"/>
      <c r="B188" s="1950"/>
      <c r="C188" s="539" t="s">
        <v>1171</v>
      </c>
      <c r="D188" s="2632"/>
      <c r="E188" s="2374"/>
      <c r="F188" s="2553"/>
      <c r="G188" s="2597"/>
      <c r="H188" s="1670"/>
      <c r="I188" s="821" t="s">
        <v>1170</v>
      </c>
      <c r="J188" s="741"/>
      <c r="K188" s="1670"/>
      <c r="L188" s="384"/>
      <c r="M188" s="511"/>
      <c r="N188" s="504"/>
      <c r="O188" s="1794"/>
      <c r="P188" s="1794"/>
      <c r="AH188" s="1801">
        <v>0</v>
      </c>
    </row>
    <row s="11913" customFormat="1" customHeight="1" ht="0.75" hidden="1">
      <c r="A189" s="1950"/>
      <c r="B189" s="1950"/>
      <c r="C189" s="539" t="s">
        <v>1179</v>
      </c>
      <c r="D189" s="2632"/>
      <c r="E189" s="2374"/>
      <c r="F189" s="2553"/>
      <c r="G189" s="570"/>
      <c r="H189" s="1670"/>
      <c r="I189" s="821"/>
      <c r="J189" s="741"/>
      <c r="K189" s="1670"/>
      <c r="L189" s="384"/>
      <c r="M189" s="511"/>
      <c r="N189" s="504"/>
      <c r="O189" s="1794"/>
      <c r="P189" s="1794"/>
      <c r="AH189" s="1801">
        <v>0</v>
      </c>
    </row>
    <row s="11913" customFormat="1" customHeight="1" ht="18.75" hidden="1">
      <c r="A190" s="1950" t="s">
        <v>252</v>
      </c>
      <c r="B190" s="1950" t="s">
        <v>253</v>
      </c>
      <c r="C190" s="539"/>
      <c r="D190" s="2632"/>
      <c r="E190" s="2374"/>
      <c r="F190" s="2553" t="str">
        <f>INDEX(PT_DIFFERENTIATION_VTAR,MATCH(A190,PT_DIFFERENTIATION_VTAR_ID,0))</f>
        <v>Тариф на подвоз воды</v>
      </c>
      <c r="G190" s="2597" t="str">
        <f>INDEX(PT_DIFFERENTIATION_NTAR,MATCH(B190,PT_DIFFERENTIATION_NTAR_ID,0))</f>
        <v/>
      </c>
      <c r="H190" s="2032"/>
      <c r="I190" s="1909"/>
      <c r="J190" s="1943"/>
      <c r="K190" s="1948"/>
      <c r="L190" s="2032" t="s">
        <v>318</v>
      </c>
      <c r="M190" s="511"/>
      <c r="N190" s="504"/>
      <c r="O190" s="1794"/>
      <c r="P190" s="1794"/>
      <c r="AH190" s="1801">
        <v>0</v>
      </c>
    </row>
    <row s="11913" customFormat="1" customHeight="1" ht="18.75" hidden="1">
      <c r="A191" s="1950"/>
      <c r="B191" s="1950"/>
      <c r="C191" s="539" t="s">
        <v>1171</v>
      </c>
      <c r="D191" s="2632"/>
      <c r="E191" s="2374"/>
      <c r="F191" s="2553"/>
      <c r="G191" s="2597"/>
      <c r="H191" s="1670"/>
      <c r="I191" s="821" t="s">
        <v>1170</v>
      </c>
      <c r="J191" s="741"/>
      <c r="K191" s="1670"/>
      <c r="L191" s="384"/>
      <c r="M191" s="511"/>
      <c r="N191" s="504"/>
      <c r="O191" s="1794"/>
      <c r="P191" s="1794"/>
      <c r="AH191" s="1801">
        <v>0</v>
      </c>
    </row>
    <row s="11913" customFormat="1" customHeight="1" ht="0.75" hidden="1">
      <c r="A192" s="1950"/>
      <c r="B192" s="1950"/>
      <c r="C192" s="539" t="s">
        <v>1179</v>
      </c>
      <c r="D192" s="2632"/>
      <c r="E192" s="2374"/>
      <c r="F192" s="2553"/>
      <c r="G192" s="570"/>
      <c r="H192" s="1670"/>
      <c r="I192" s="821"/>
      <c r="J192" s="741"/>
      <c r="K192" s="1670"/>
      <c r="L192" s="384"/>
      <c r="M192" s="511"/>
      <c r="N192" s="504"/>
      <c r="O192" s="1794"/>
      <c r="P192" s="1794"/>
      <c r="AH192" s="1801">
        <v>0</v>
      </c>
    </row>
    <row s="11913" customFormat="1" customHeight="1" ht="18.75" hidden="1">
      <c r="A193" s="1950" t="s">
        <v>257</v>
      </c>
      <c r="B193" s="1950" t="s">
        <v>258</v>
      </c>
      <c r="C193" s="539"/>
      <c r="D193" s="2632"/>
      <c r="E193" s="2374"/>
      <c r="F193" s="2553" t="str">
        <f>INDEX(PT_DIFFERENTIATION_VTAR,MATCH(A193,PT_DIFFERENTIATION_VTAR_ID,0))</f>
        <v>Тариф на подключение (технологическое присоединение) к централизованной системе холодного водоснабжения</v>
      </c>
      <c r="G193" s="2597" t="str">
        <f>INDEX(PT_DIFFERENTIATION_NTAR,MATCH(B193,PT_DIFFERENTIATION_NTAR_ID,0))</f>
        <v/>
      </c>
      <c r="H193" s="2032"/>
      <c r="I193" s="1909"/>
      <c r="J193" s="1943"/>
      <c r="K193" s="1948"/>
      <c r="L193" s="2032" t="s">
        <v>318</v>
      </c>
      <c r="M193" s="511"/>
      <c r="N193" s="504"/>
      <c r="O193" s="1794"/>
      <c r="P193" s="1794"/>
      <c r="AH193" s="1801">
        <v>0</v>
      </c>
    </row>
    <row s="11913" customFormat="1" customHeight="1" ht="18.75" hidden="1">
      <c r="A194" s="1950"/>
      <c r="B194" s="1950"/>
      <c r="C194" s="539" t="s">
        <v>1171</v>
      </c>
      <c r="D194" s="2632"/>
      <c r="E194" s="2374"/>
      <c r="F194" s="2553"/>
      <c r="G194" s="2597"/>
      <c r="H194" s="1670"/>
      <c r="I194" s="821" t="s">
        <v>1170</v>
      </c>
      <c r="J194" s="741"/>
      <c r="K194" s="1670"/>
      <c r="L194" s="384"/>
      <c r="M194" s="511"/>
      <c r="N194" s="504"/>
      <c r="O194" s="1794"/>
      <c r="P194" s="1794"/>
      <c r="AH194" s="1801">
        <v>0</v>
      </c>
    </row>
    <row s="11913" customFormat="1" customHeight="1" ht="0.75" hidden="1">
      <c r="A195" s="1950"/>
      <c r="B195" s="1950"/>
      <c r="C195" s="539" t="s">
        <v>1179</v>
      </c>
      <c r="D195" s="2632"/>
      <c r="E195" s="2374"/>
      <c r="F195" s="2553"/>
      <c r="G195" s="570"/>
      <c r="H195" s="1670"/>
      <c r="I195" s="821"/>
      <c r="J195" s="741"/>
      <c r="K195" s="1670"/>
      <c r="L195" s="384"/>
      <c r="M195" s="511"/>
      <c r="N195" s="504"/>
      <c r="O195" s="1794"/>
      <c r="P195" s="1794"/>
      <c r="AH195" s="1801">
        <v>0</v>
      </c>
    </row>
    <row s="11913" customFormat="1" customHeight="1" ht="18.75" hidden="1">
      <c r="A196" s="1950" t="s">
        <v>262</v>
      </c>
      <c r="B196" s="1950" t="s">
        <v>263</v>
      </c>
      <c r="C196" s="539"/>
      <c r="D196" s="2632"/>
      <c r="E196" s="2374"/>
      <c r="F196" s="2553" t="str">
        <f>INDEX(PT_DIFFERENTIATION_VTAR,MATCH(A196,PT_DIFFERENTIATION_VTAR_ID,0))</f>
        <v>Тариф на горячую воду (горячее водоснабжение)</v>
      </c>
      <c r="G196" s="2597" t="str">
        <f>INDEX(PT_DIFFERENTIATION_NTAR,MATCH(B196,PT_DIFFERENTIATION_NTAR_ID,0))</f>
        <v/>
      </c>
      <c r="H196" s="2032"/>
      <c r="I196" s="1909"/>
      <c r="J196" s="1943"/>
      <c r="K196" s="1948"/>
      <c r="L196" s="2032" t="s">
        <v>318</v>
      </c>
      <c r="M196" s="511"/>
      <c r="N196" s="504"/>
      <c r="O196" s="1794"/>
      <c r="P196" s="1794"/>
      <c r="AH196" s="1801">
        <v>0</v>
      </c>
    </row>
    <row s="11913" customFormat="1" customHeight="1" ht="18.75" hidden="1">
      <c r="A197" s="1950"/>
      <c r="B197" s="1950"/>
      <c r="C197" s="539" t="s">
        <v>1171</v>
      </c>
      <c r="D197" s="2632"/>
      <c r="E197" s="2374"/>
      <c r="F197" s="2553"/>
      <c r="G197" s="2597"/>
      <c r="H197" s="1670"/>
      <c r="I197" s="821" t="s">
        <v>1170</v>
      </c>
      <c r="J197" s="741"/>
      <c r="K197" s="1670"/>
      <c r="L197" s="384"/>
      <c r="M197" s="511"/>
      <c r="N197" s="504"/>
      <c r="O197" s="1794"/>
      <c r="P197" s="1794"/>
      <c r="AH197" s="1801">
        <v>0</v>
      </c>
    </row>
    <row s="11913" customFormat="1" customHeight="1" ht="0.75" hidden="1">
      <c r="A198" s="1950"/>
      <c r="B198" s="1950"/>
      <c r="C198" s="539" t="s">
        <v>1179</v>
      </c>
      <c r="D198" s="2632"/>
      <c r="E198" s="2374"/>
      <c r="F198" s="2553"/>
      <c r="G198" s="570"/>
      <c r="H198" s="1670"/>
      <c r="I198" s="821"/>
      <c r="J198" s="741"/>
      <c r="K198" s="1670"/>
      <c r="L198" s="384"/>
      <c r="M198" s="511"/>
      <c r="N198" s="504"/>
      <c r="O198" s="1794"/>
      <c r="P198" s="1794"/>
      <c r="AH198" s="1801">
        <v>0</v>
      </c>
    </row>
    <row s="11913" customFormat="1" customHeight="1" ht="18.75" hidden="1">
      <c r="A199" s="1950" t="s">
        <v>267</v>
      </c>
      <c r="B199" s="1950" t="s">
        <v>268</v>
      </c>
      <c r="C199" s="539"/>
      <c r="D199" s="2632"/>
      <c r="E199" s="2374"/>
      <c r="F199" s="2553" t="str">
        <f>INDEX(PT_DIFFERENTIATION_VTAR,MATCH(A199,PT_DIFFERENTIATION_VTAR_ID,0))</f>
        <v>Тариф на транспортировку горячей воды</v>
      </c>
      <c r="G199" s="2597" t="str">
        <f>INDEX(PT_DIFFERENTIATION_NTAR,MATCH(B199,PT_DIFFERENTIATION_NTAR_ID,0))</f>
        <v/>
      </c>
      <c r="H199" s="2032"/>
      <c r="I199" s="1909"/>
      <c r="J199" s="1943"/>
      <c r="K199" s="1948"/>
      <c r="L199" s="2032" t="s">
        <v>318</v>
      </c>
      <c r="M199" s="511"/>
      <c r="N199" s="504"/>
      <c r="O199" s="1794"/>
      <c r="P199" s="1794"/>
      <c r="AH199" s="1801">
        <v>0</v>
      </c>
    </row>
    <row s="11913" customFormat="1" customHeight="1" ht="18.75" hidden="1">
      <c r="A200" s="1950"/>
      <c r="B200" s="1950"/>
      <c r="C200" s="539" t="s">
        <v>1171</v>
      </c>
      <c r="D200" s="2632"/>
      <c r="E200" s="2374"/>
      <c r="F200" s="2553"/>
      <c r="G200" s="2597"/>
      <c r="H200" s="1670"/>
      <c r="I200" s="821" t="s">
        <v>1170</v>
      </c>
      <c r="J200" s="741"/>
      <c r="K200" s="1670"/>
      <c r="L200" s="384"/>
      <c r="M200" s="511"/>
      <c r="N200" s="504"/>
      <c r="O200" s="1794"/>
      <c r="P200" s="1794"/>
      <c r="AH200" s="1801">
        <v>0</v>
      </c>
    </row>
    <row s="11913" customFormat="1" customHeight="1" ht="0.75" hidden="1">
      <c r="A201" s="1950"/>
      <c r="B201" s="1950"/>
      <c r="C201" s="539" t="s">
        <v>1179</v>
      </c>
      <c r="D201" s="2632"/>
      <c r="E201" s="2374"/>
      <c r="F201" s="2553"/>
      <c r="G201" s="570"/>
      <c r="H201" s="1670"/>
      <c r="I201" s="821"/>
      <c r="J201" s="741"/>
      <c r="K201" s="1670"/>
      <c r="L201" s="384"/>
      <c r="M201" s="511"/>
      <c r="N201" s="504"/>
      <c r="O201" s="1794"/>
      <c r="P201" s="1794"/>
      <c r="AH201" s="1801">
        <v>0</v>
      </c>
    </row>
    <row s="11913" customFormat="1" customHeight="1" ht="18.75" hidden="1">
      <c r="A202" s="1950" t="s">
        <v>272</v>
      </c>
      <c r="B202" s="1950" t="s">
        <v>273</v>
      </c>
      <c r="C202" s="539"/>
      <c r="D202" s="2632"/>
      <c r="E202" s="2374"/>
      <c r="F202" s="2553" t="str">
        <f>INDEX(PT_DIFFERENTIATION_VTAR,MATCH(A202,PT_DIFFERENTIATION_VTAR_ID,0))</f>
        <v>Тариф на подключение (технологическое присоединение) к централизованной системе горячего водоснабжения</v>
      </c>
      <c r="G202" s="2597" t="str">
        <f>INDEX(PT_DIFFERENTIATION_NTAR,MATCH(B202,PT_DIFFERENTIATION_NTAR_ID,0))</f>
        <v/>
      </c>
      <c r="H202" s="2032"/>
      <c r="I202" s="1909"/>
      <c r="J202" s="1943"/>
      <c r="K202" s="1948"/>
      <c r="L202" s="2032" t="s">
        <v>318</v>
      </c>
      <c r="M202" s="511"/>
      <c r="N202" s="504"/>
      <c r="O202" s="1794"/>
      <c r="P202" s="1794"/>
      <c r="AH202" s="1801">
        <v>0</v>
      </c>
    </row>
    <row s="11913" customFormat="1" customHeight="1" ht="18.75" hidden="1">
      <c r="A203" s="1950"/>
      <c r="B203" s="1950"/>
      <c r="C203" s="539" t="s">
        <v>1171</v>
      </c>
      <c r="D203" s="2632"/>
      <c r="E203" s="2374"/>
      <c r="F203" s="2553"/>
      <c r="G203" s="2597"/>
      <c r="H203" s="1670"/>
      <c r="I203" s="821" t="s">
        <v>1170</v>
      </c>
      <c r="J203" s="741"/>
      <c r="K203" s="1670"/>
      <c r="L203" s="384"/>
      <c r="M203" s="511"/>
      <c r="N203" s="504"/>
      <c r="O203" s="1794"/>
      <c r="P203" s="1794"/>
      <c r="AH203" s="1801">
        <v>0</v>
      </c>
    </row>
    <row s="11913" customFormat="1" customHeight="1" ht="0.75" hidden="1">
      <c r="A204" s="1950"/>
      <c r="B204" s="1950"/>
      <c r="C204" s="539" t="s">
        <v>1179</v>
      </c>
      <c r="D204" s="2632"/>
      <c r="E204" s="2374"/>
      <c r="F204" s="2553"/>
      <c r="G204" s="570"/>
      <c r="H204" s="1670"/>
      <c r="I204" s="821"/>
      <c r="J204" s="741"/>
      <c r="K204" s="1670"/>
      <c r="L204" s="384"/>
      <c r="M204" s="511"/>
      <c r="N204" s="504"/>
      <c r="O204" s="1794"/>
      <c r="P204" s="1794"/>
      <c r="AH204" s="1801">
        <v>0</v>
      </c>
    </row>
    <row s="11913" customFormat="1" customHeight="1" ht="18.75" hidden="1">
      <c r="A205" s="1950" t="s">
        <v>277</v>
      </c>
      <c r="B205" s="1950" t="s">
        <v>278</v>
      </c>
      <c r="C205" s="539"/>
      <c r="D205" s="2632"/>
      <c r="E205" s="2374"/>
      <c r="F205" s="2553" t="str">
        <f>INDEX(PT_DIFFERENTIATION_VTAR,MATCH(A205,PT_DIFFERENTIATION_VTAR_ID,0))</f>
        <v>Тариф на водоотведение</v>
      </c>
      <c r="G205" s="2597" t="str">
        <f>INDEX(PT_DIFFERENTIATION_NTAR,MATCH(B205,PT_DIFFERENTIATION_NTAR_ID,0))</f>
        <v/>
      </c>
      <c r="H205" s="2032"/>
      <c r="I205" s="1909"/>
      <c r="J205" s="1943"/>
      <c r="K205" s="1948"/>
      <c r="L205" s="2032" t="s">
        <v>318</v>
      </c>
      <c r="M205" s="511"/>
      <c r="N205" s="504"/>
      <c r="O205" s="1794"/>
      <c r="P205" s="1794"/>
      <c r="AH205" s="1801">
        <v>0</v>
      </c>
    </row>
    <row s="11913" customFormat="1" customHeight="1" ht="18.75" hidden="1">
      <c r="A206" s="1950"/>
      <c r="B206" s="1950"/>
      <c r="C206" s="539" t="s">
        <v>1171</v>
      </c>
      <c r="D206" s="2632"/>
      <c r="E206" s="2374"/>
      <c r="F206" s="2553"/>
      <c r="G206" s="2597"/>
      <c r="H206" s="1670"/>
      <c r="I206" s="821" t="s">
        <v>1170</v>
      </c>
      <c r="J206" s="741"/>
      <c r="K206" s="1670"/>
      <c r="L206" s="384"/>
      <c r="M206" s="511"/>
      <c r="N206" s="504"/>
      <c r="O206" s="1794"/>
      <c r="P206" s="1794"/>
      <c r="AH206" s="1801">
        <v>0</v>
      </c>
    </row>
    <row s="11913" customFormat="1" customHeight="1" ht="0.75" hidden="1">
      <c r="A207" s="1950"/>
      <c r="B207" s="1950"/>
      <c r="C207" s="539" t="s">
        <v>1179</v>
      </c>
      <c r="D207" s="2632"/>
      <c r="E207" s="2374"/>
      <c r="F207" s="2553"/>
      <c r="G207" s="570"/>
      <c r="H207" s="1670"/>
      <c r="I207" s="821"/>
      <c r="J207" s="741"/>
      <c r="K207" s="1670"/>
      <c r="L207" s="384"/>
      <c r="M207" s="511"/>
      <c r="N207" s="504"/>
      <c r="O207" s="1794"/>
      <c r="P207" s="1794"/>
      <c r="AH207" s="1801">
        <v>0</v>
      </c>
    </row>
    <row s="11913" customFormat="1" customHeight="1" ht="18.75" hidden="1">
      <c r="A208" s="1950" t="s">
        <v>282</v>
      </c>
      <c r="B208" s="1950" t="s">
        <v>283</v>
      </c>
      <c r="C208" s="539"/>
      <c r="D208" s="2632"/>
      <c r="E208" s="2374"/>
      <c r="F208" s="2553" t="str">
        <f>INDEX(PT_DIFFERENTIATION_VTAR,MATCH(A208,PT_DIFFERENTIATION_VTAR_ID,0))</f>
        <v>Тариф на транспортировку сточных вод</v>
      </c>
      <c r="G208" s="2597" t="str">
        <f>INDEX(PT_DIFFERENTIATION_NTAR,MATCH(B208,PT_DIFFERENTIATION_NTAR_ID,0))</f>
        <v/>
      </c>
      <c r="H208" s="2032"/>
      <c r="I208" s="1909"/>
      <c r="J208" s="1943"/>
      <c r="K208" s="1948"/>
      <c r="L208" s="2032" t="s">
        <v>318</v>
      </c>
      <c r="M208" s="511"/>
      <c r="N208" s="504"/>
      <c r="O208" s="1794"/>
      <c r="P208" s="1794"/>
      <c r="AH208" s="1801">
        <v>0</v>
      </c>
    </row>
    <row s="11913" customFormat="1" customHeight="1" ht="18.75" hidden="1">
      <c r="A209" s="1950"/>
      <c r="B209" s="1950"/>
      <c r="C209" s="539" t="s">
        <v>1171</v>
      </c>
      <c r="D209" s="2632"/>
      <c r="E209" s="2374"/>
      <c r="F209" s="2553"/>
      <c r="G209" s="2597"/>
      <c r="H209" s="1670"/>
      <c r="I209" s="821" t="s">
        <v>1170</v>
      </c>
      <c r="J209" s="741"/>
      <c r="K209" s="1670"/>
      <c r="L209" s="384"/>
      <c r="M209" s="511"/>
      <c r="N209" s="504"/>
      <c r="O209" s="1794"/>
      <c r="P209" s="1794"/>
      <c r="AH209" s="1801">
        <v>0</v>
      </c>
    </row>
    <row s="11913" customFormat="1" customHeight="1" ht="0.75" hidden="1">
      <c r="A210" s="1950"/>
      <c r="B210" s="1950"/>
      <c r="C210" s="539" t="s">
        <v>1179</v>
      </c>
      <c r="D210" s="2632"/>
      <c r="E210" s="2374"/>
      <c r="F210" s="2553"/>
      <c r="G210" s="570"/>
      <c r="H210" s="1670"/>
      <c r="I210" s="821"/>
      <c r="J210" s="741"/>
      <c r="K210" s="1670"/>
      <c r="L210" s="384"/>
      <c r="M210" s="511"/>
      <c r="N210" s="504"/>
      <c r="O210" s="1794"/>
      <c r="P210" s="1794"/>
      <c r="AH210" s="1801">
        <v>0</v>
      </c>
    </row>
    <row s="11913" customFormat="1" customHeight="1" ht="18.75" hidden="1">
      <c r="A211" s="1950" t="s">
        <v>287</v>
      </c>
      <c r="B211" s="1950" t="s">
        <v>288</v>
      </c>
      <c r="C211" s="539"/>
      <c r="D211" s="2632"/>
      <c r="E211" s="2374"/>
      <c r="F211" s="2553" t="str">
        <f>INDEX(PT_DIFFERENTIATION_VTAR,MATCH(A211,PT_DIFFERENTIATION_VTAR_ID,0))</f>
        <v>Тариф на подключение (технологическое присоединение) к централизованной системе водоотведения</v>
      </c>
      <c r="G211" s="2597" t="str">
        <f>INDEX(PT_DIFFERENTIATION_NTAR,MATCH(B211,PT_DIFFERENTIATION_NTAR_ID,0))</f>
        <v/>
      </c>
      <c r="H211" s="2032"/>
      <c r="I211" s="1909"/>
      <c r="J211" s="1943"/>
      <c r="K211" s="1948"/>
      <c r="L211" s="2032" t="s">
        <v>318</v>
      </c>
      <c r="M211" s="511"/>
      <c r="N211" s="504"/>
      <c r="O211" s="1794"/>
      <c r="P211" s="1794"/>
      <c r="AH211" s="1801">
        <v>0</v>
      </c>
    </row>
    <row s="11913" customFormat="1" customHeight="1" ht="18.75" hidden="1">
      <c r="A212" s="1950"/>
      <c r="B212" s="1950"/>
      <c r="C212" s="539" t="s">
        <v>1171</v>
      </c>
      <c r="D212" s="2632"/>
      <c r="E212" s="2374"/>
      <c r="F212" s="2553"/>
      <c r="G212" s="2597"/>
      <c r="H212" s="1670"/>
      <c r="I212" s="821" t="s">
        <v>1170</v>
      </c>
      <c r="J212" s="741"/>
      <c r="K212" s="1670"/>
      <c r="L212" s="384"/>
      <c r="M212" s="511"/>
      <c r="N212" s="504"/>
      <c r="O212" s="1794"/>
      <c r="P212" s="1794"/>
      <c r="AH212" s="1801">
        <v>0</v>
      </c>
    </row>
    <row s="11913" customFormat="1" customHeight="1" ht="1.05">
      <c r="A213" s="1950"/>
      <c r="B213" s="1950"/>
      <c r="C213" s="539" t="s">
        <v>1179</v>
      </c>
      <c r="D213" s="2632"/>
      <c r="E213" s="2374"/>
      <c r="F213" s="2553"/>
      <c r="G213" s="570"/>
      <c r="H213" s="1670"/>
      <c r="I213" s="821"/>
      <c r="J213" s="741"/>
      <c r="K213" s="1670"/>
      <c r="L213" s="384"/>
      <c r="M213" s="511"/>
      <c r="N213" s="504"/>
      <c r="O213" s="1794"/>
      <c r="P213" s="1794"/>
      <c r="AH213" s="1801">
        <v>1</v>
      </c>
    </row>
    <row customHeight="1" ht="27.299999999999997">
      <c r="A214" s="1950"/>
      <c r="B214" s="1950"/>
      <c r="D214" s="546"/>
      <c r="E214" s="317" t="s">
        <v>114</v>
      </c>
      <c r="F214" s="263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4" s="2630"/>
      <c r="H214" s="2630"/>
      <c r="I214" s="2630"/>
      <c r="J214" s="2630"/>
      <c r="K214" s="2630"/>
      <c r="L214" s="2630"/>
      <c r="M214" s="467"/>
      <c r="N214" s="504"/>
      <c r="AH214" s="544">
        <v>26</v>
      </c>
    </row>
    <row s="11913" customFormat="1" customHeight="1" ht="60.75" hidden="1">
      <c r="A215" s="1950" t="s">
        <v>160</v>
      </c>
      <c r="B215" s="1950" t="s">
        <v>161</v>
      </c>
      <c r="C215" s="539"/>
      <c r="D215" s="2632"/>
      <c r="E215" s="2374"/>
      <c r="F215" s="2553" t="str">
        <f>INDEX(PT_DIFFERENTIATION_VTAR,MATCH(A215,PT_DIFFERENTIATION_VTAR_ID,0))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5" s="2597" t="str">
        <f>INDEX(PT_DIFFERENTIATION_NTAR,MATCH(B215,PT_DIFFERENTIATION_NTAR_ID,0))</f>
        <v>Тариф на тепловую энергию (мощность) на коллекторах источника тепловой энергии</v>
      </c>
      <c r="H215" s="2032"/>
      <c r="I215" s="1909"/>
      <c r="J215" s="1943"/>
      <c r="K215" s="1948"/>
      <c r="L215" s="2032" t="s">
        <v>318</v>
      </c>
      <c r="M215" s="233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5" s="504"/>
      <c r="O215" s="1794"/>
      <c r="P215" s="1794"/>
      <c r="AH215" s="1801">
        <v>0</v>
      </c>
    </row>
    <row s="11913" customFormat="1" customHeight="1" ht="18.75" hidden="1">
      <c r="A216" s="1950"/>
      <c r="B216" s="1950"/>
      <c r="C216" s="539" t="s">
        <v>1171</v>
      </c>
      <c r="D216" s="2632"/>
      <c r="E216" s="2374"/>
      <c r="F216" s="2553"/>
      <c r="G216" s="2597"/>
      <c r="H216" s="1670"/>
      <c r="I216" s="821" t="s">
        <v>1170</v>
      </c>
      <c r="J216" s="741"/>
      <c r="K216" s="1670"/>
      <c r="L216" s="384"/>
      <c r="M216" s="2340"/>
      <c r="N216" s="504"/>
      <c r="O216" s="1794"/>
      <c r="P216" s="1794"/>
      <c r="AH216" s="1801">
        <v>0</v>
      </c>
    </row>
    <row s="11913" customFormat="1" customHeight="1" ht="0.75" hidden="1">
      <c r="A217" s="1950"/>
      <c r="B217" s="1950"/>
      <c r="C217" s="539" t="s">
        <v>1179</v>
      </c>
      <c r="D217" s="2632"/>
      <c r="E217" s="2374"/>
      <c r="F217" s="2553"/>
      <c r="G217" s="570"/>
      <c r="H217" s="1670"/>
      <c r="I217" s="821"/>
      <c r="J217" s="741"/>
      <c r="K217" s="1670"/>
      <c r="L217" s="384"/>
      <c r="M217" s="2340"/>
      <c r="N217" s="504"/>
      <c r="O217" s="1794"/>
      <c r="P217" s="1794"/>
      <c r="AH217" s="1801">
        <v>0</v>
      </c>
    </row>
    <row s="11913" customFormat="1" customHeight="1" ht="45" hidden="1">
      <c r="A218" s="1950" t="s">
        <v>172</v>
      </c>
      <c r="B218" s="1950" t="s">
        <v>173</v>
      </c>
      <c r="C218" s="539"/>
      <c r="D218" s="2632"/>
      <c r="E218" s="2374"/>
      <c r="F218" s="2553" t="str">
        <f>INDEX(PT_DIFFERENTIATION_VTAR,MATCH(A218,PT_DIFFERENTIATION_VTAR_ID,0))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8" s="2597" t="str">
        <f>INDEX(PT_DIFFERENTIATION_NTAR,MATCH(B218,PT_DIFFERENTIATION_NTAR_ID,0))</f>
        <v>Тариф на тепловую энергию (мощность) поставляемую потребителям</v>
      </c>
      <c r="H218" s="2032"/>
      <c r="I218" s="1909"/>
      <c r="J218" s="1943"/>
      <c r="K218" s="1948"/>
      <c r="L218" s="2032" t="s">
        <v>318</v>
      </c>
      <c r="M218" s="2341"/>
      <c r="N218" s="504"/>
      <c r="O218" s="1794"/>
      <c r="P218" s="1794"/>
      <c r="AH218" s="1801">
        <v>0</v>
      </c>
    </row>
    <row s="11913" customFormat="1" customHeight="1" ht="18.75" hidden="1">
      <c r="A219" s="1950"/>
      <c r="B219" s="1950"/>
      <c r="C219" s="539" t="s">
        <v>1171</v>
      </c>
      <c r="D219" s="2632"/>
      <c r="E219" s="2374"/>
      <c r="F219" s="2553"/>
      <c r="G219" s="2597"/>
      <c r="H219" s="1670"/>
      <c r="I219" s="821" t="s">
        <v>1170</v>
      </c>
      <c r="J219" s="741"/>
      <c r="K219" s="1670"/>
      <c r="L219" s="384"/>
      <c r="M219" s="2031"/>
      <c r="N219" s="504"/>
      <c r="O219" s="1794"/>
      <c r="P219" s="1794"/>
      <c r="AH219" s="1801">
        <v>0</v>
      </c>
    </row>
    <row s="11913" customFormat="1" customHeight="1" ht="0.75" hidden="1">
      <c r="A220" s="1950"/>
      <c r="B220" s="1950"/>
      <c r="C220" s="539" t="s">
        <v>1179</v>
      </c>
      <c r="D220" s="2632"/>
      <c r="E220" s="2374"/>
      <c r="F220" s="2553"/>
      <c r="G220" s="570"/>
      <c r="H220" s="1670"/>
      <c r="I220" s="821"/>
      <c r="J220" s="741"/>
      <c r="K220" s="1670"/>
      <c r="L220" s="384"/>
      <c r="M220" s="511"/>
      <c r="N220" s="504"/>
      <c r="O220" s="1794"/>
      <c r="P220" s="1794"/>
      <c r="AH220" s="1801">
        <v>0</v>
      </c>
    </row>
    <row s="11913" customFormat="1" customHeight="1" ht="45" hidden="1">
      <c r="A221" s="1950" t="s">
        <v>181</v>
      </c>
      <c r="B221" s="1950" t="s">
        <v>182</v>
      </c>
      <c r="C221" s="539"/>
      <c r="D221" s="2632"/>
      <c r="E221" s="2374"/>
      <c r="F221" s="2553" t="str">
        <f>INDEX(PT_DIFFERENTIATION_VTAR,MATCH(A221,PT_DIFFERENTIATION_VTAR_ID,0))</f>
        <v>Тарифы на теплоноситель, поставляемый теплоснабжающими организациями потребителям, другим теплоснабжающим организациям</v>
      </c>
      <c r="G221" s="2597" t="str">
        <f>INDEX(PT_DIFFERENTIATION_NTAR,MATCH(B221,PT_DIFFERENTIATION_NTAR_ID,0))</f>
        <v>Тариф на теплоноситель, поставляемый потребителям</v>
      </c>
      <c r="H221" s="2032"/>
      <c r="I221" s="1909"/>
      <c r="J221" s="1943"/>
      <c r="K221" s="1948"/>
      <c r="L221" s="2032" t="s">
        <v>318</v>
      </c>
      <c r="M221" s="511"/>
      <c r="N221" s="504"/>
      <c r="O221" s="1794"/>
      <c r="P221" s="1794"/>
      <c r="AH221" s="1801">
        <v>0</v>
      </c>
    </row>
    <row s="11913" customFormat="1" customHeight="1" ht="18.75" hidden="1">
      <c r="A222" s="1950"/>
      <c r="B222" s="1950"/>
      <c r="C222" s="539" t="s">
        <v>1171</v>
      </c>
      <c r="D222" s="2632"/>
      <c r="E222" s="2374"/>
      <c r="F222" s="2553"/>
      <c r="G222" s="2597"/>
      <c r="H222" s="1670"/>
      <c r="I222" s="821" t="s">
        <v>1170</v>
      </c>
      <c r="J222" s="741"/>
      <c r="K222" s="1670"/>
      <c r="L222" s="384"/>
      <c r="M222" s="511"/>
      <c r="N222" s="504"/>
      <c r="O222" s="1794"/>
      <c r="P222" s="1794"/>
      <c r="AH222" s="1801">
        <v>0</v>
      </c>
    </row>
    <row s="11913" customFormat="1" customHeight="1" ht="0.75" hidden="1">
      <c r="A223" s="1950"/>
      <c r="B223" s="1950"/>
      <c r="C223" s="539" t="s">
        <v>1179</v>
      </c>
      <c r="D223" s="2632"/>
      <c r="E223" s="2374"/>
      <c r="F223" s="2553"/>
      <c r="G223" s="570"/>
      <c r="H223" s="1670"/>
      <c r="I223" s="821"/>
      <c r="J223" s="741"/>
      <c r="K223" s="1670"/>
      <c r="L223" s="384"/>
      <c r="M223" s="511"/>
      <c r="N223" s="504"/>
      <c r="O223" s="1794"/>
      <c r="P223" s="1794"/>
      <c r="AH223" s="1801">
        <v>0</v>
      </c>
    </row>
    <row s="11913" customFormat="1" customHeight="1" ht="45" hidden="1">
      <c r="A224" s="1950" t="s">
        <v>187</v>
      </c>
      <c r="B224" s="1950" t="s">
        <v>188</v>
      </c>
      <c r="C224" s="539"/>
      <c r="D224" s="2632"/>
      <c r="E224" s="2374"/>
      <c r="F224" s="2553" t="str">
        <f>INDEX(PT_DIFFERENTIATION_VTAR,MATCH(A224,PT_DIFFERENTIATION_VTAR_ID,0))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4" s="2597" t="str">
        <f>INDEX(PT_DIFFERENTIATION_NTAR,MATCH(B224,PT_DIFFERENTIATION_NTAR_ID,0))</f>
        <v/>
      </c>
      <c r="H224" s="2032"/>
      <c r="I224" s="1909"/>
      <c r="J224" s="1943"/>
      <c r="K224" s="1948"/>
      <c r="L224" s="2032" t="s">
        <v>318</v>
      </c>
      <c r="M224" s="511"/>
      <c r="N224" s="504"/>
      <c r="O224" s="1794"/>
      <c r="P224" s="1794"/>
      <c r="AH224" s="1801">
        <v>0</v>
      </c>
    </row>
    <row s="11913" customFormat="1" customHeight="1" ht="18.75" hidden="1">
      <c r="A225" s="1950"/>
      <c r="B225" s="1950"/>
      <c r="C225" s="539" t="s">
        <v>1171</v>
      </c>
      <c r="D225" s="2632"/>
      <c r="E225" s="2374"/>
      <c r="F225" s="2553"/>
      <c r="G225" s="2597"/>
      <c r="H225" s="1670"/>
      <c r="I225" s="821" t="s">
        <v>1170</v>
      </c>
      <c r="J225" s="741"/>
      <c r="K225" s="1670"/>
      <c r="L225" s="384"/>
      <c r="M225" s="511"/>
      <c r="N225" s="504"/>
      <c r="O225" s="1794"/>
      <c r="P225" s="1794"/>
      <c r="AH225" s="1801">
        <v>0</v>
      </c>
    </row>
    <row s="11913" customFormat="1" customHeight="1" ht="0.75" hidden="1">
      <c r="A226" s="1950"/>
      <c r="B226" s="1950"/>
      <c r="C226" s="539" t="s">
        <v>1179</v>
      </c>
      <c r="D226" s="2632"/>
      <c r="E226" s="2374"/>
      <c r="F226" s="2553"/>
      <c r="G226" s="570"/>
      <c r="H226" s="1670"/>
      <c r="I226" s="821"/>
      <c r="J226" s="741"/>
      <c r="K226" s="1670"/>
      <c r="L226" s="384"/>
      <c r="M226" s="511"/>
      <c r="N226" s="504"/>
      <c r="O226" s="1794"/>
      <c r="P226" s="1794"/>
      <c r="AH226" s="1801">
        <v>0</v>
      </c>
    </row>
    <row s="11913" customFormat="1" customHeight="1" ht="18.75" hidden="1">
      <c r="A227" s="1950" t="s">
        <v>193</v>
      </c>
      <c r="B227" s="1950" t="s">
        <v>194</v>
      </c>
      <c r="C227" s="539"/>
      <c r="D227" s="2632"/>
      <c r="E227" s="2374"/>
      <c r="F227" s="2553" t="str">
        <f>INDEX(PT_DIFFERENTIATION_VTAR,MATCH(A227,PT_DIFFERENTIATION_VTAR_ID,0))</f>
        <v>Тарифы на услуги по передаче тепловой энергии</v>
      </c>
      <c r="G227" s="2597" t="str">
        <f>INDEX(PT_DIFFERENTIATION_NTAR,MATCH(B227,PT_DIFFERENTIATION_NTAR_ID,0))</f>
        <v/>
      </c>
      <c r="H227" s="2032"/>
      <c r="I227" s="1909"/>
      <c r="J227" s="1943"/>
      <c r="K227" s="1948"/>
      <c r="L227" s="2032" t="s">
        <v>318</v>
      </c>
      <c r="M227" s="511"/>
      <c r="N227" s="504"/>
      <c r="O227" s="1794"/>
      <c r="P227" s="1794"/>
      <c r="AH227" s="1801">
        <v>0</v>
      </c>
    </row>
    <row s="11913" customFormat="1" customHeight="1" ht="18.75" hidden="1">
      <c r="A228" s="1950"/>
      <c r="B228" s="1950"/>
      <c r="C228" s="539" t="s">
        <v>1171</v>
      </c>
      <c r="D228" s="2632"/>
      <c r="E228" s="2374"/>
      <c r="F228" s="2553"/>
      <c r="G228" s="2597"/>
      <c r="H228" s="1670"/>
      <c r="I228" s="821" t="s">
        <v>1170</v>
      </c>
      <c r="J228" s="741"/>
      <c r="K228" s="1670"/>
      <c r="L228" s="384"/>
      <c r="M228" s="511"/>
      <c r="N228" s="504"/>
      <c r="O228" s="1794"/>
      <c r="P228" s="1794"/>
      <c r="AH228" s="1801">
        <v>0</v>
      </c>
    </row>
    <row s="11913" customFormat="1" customHeight="1" ht="0.75" hidden="1">
      <c r="A229" s="1950"/>
      <c r="B229" s="1950"/>
      <c r="C229" s="539" t="s">
        <v>1179</v>
      </c>
      <c r="D229" s="2632"/>
      <c r="E229" s="2374"/>
      <c r="F229" s="2553"/>
      <c r="G229" s="570"/>
      <c r="H229" s="1670"/>
      <c r="I229" s="821"/>
      <c r="J229" s="741"/>
      <c r="K229" s="1670"/>
      <c r="L229" s="384"/>
      <c r="M229" s="511"/>
      <c r="N229" s="504"/>
      <c r="O229" s="1794"/>
      <c r="P229" s="1794"/>
      <c r="AH229" s="1801">
        <v>0</v>
      </c>
    </row>
    <row s="11913" customFormat="1" customHeight="1" ht="18.75" hidden="1">
      <c r="A230" s="1950" t="s">
        <v>199</v>
      </c>
      <c r="B230" s="1950" t="s">
        <v>200</v>
      </c>
      <c r="C230" s="539"/>
      <c r="D230" s="2632"/>
      <c r="E230" s="2374"/>
      <c r="F230" s="2553" t="str">
        <f>INDEX(PT_DIFFERENTIATION_VTAR,MATCH(A230,PT_DIFFERENTIATION_VTAR_ID,0))</f>
        <v>Тарифы на услуги по передаче теплоносителя</v>
      </c>
      <c r="G230" s="2597" t="str">
        <f>INDEX(PT_DIFFERENTIATION_NTAR,MATCH(B230,PT_DIFFERENTIATION_NTAR_ID,0))</f>
        <v/>
      </c>
      <c r="H230" s="2032"/>
      <c r="I230" s="1909"/>
      <c r="J230" s="1943"/>
      <c r="K230" s="1948"/>
      <c r="L230" s="2032" t="s">
        <v>318</v>
      </c>
      <c r="M230" s="511"/>
      <c r="N230" s="504"/>
      <c r="O230" s="1794"/>
      <c r="P230" s="1794"/>
      <c r="AH230" s="1801">
        <v>0</v>
      </c>
    </row>
    <row s="11913" customFormat="1" customHeight="1" ht="18.75" hidden="1">
      <c r="A231" s="1950"/>
      <c r="B231" s="1950"/>
      <c r="C231" s="539" t="s">
        <v>1171</v>
      </c>
      <c r="D231" s="2632"/>
      <c r="E231" s="2374"/>
      <c r="F231" s="2553"/>
      <c r="G231" s="2597"/>
      <c r="H231" s="1670"/>
      <c r="I231" s="821" t="s">
        <v>1170</v>
      </c>
      <c r="J231" s="741"/>
      <c r="K231" s="1670"/>
      <c r="L231" s="384"/>
      <c r="M231" s="511"/>
      <c r="N231" s="504"/>
      <c r="O231" s="1794"/>
      <c r="P231" s="1794"/>
      <c r="AH231" s="1801">
        <v>0</v>
      </c>
    </row>
    <row s="11913" customFormat="1" customHeight="1" ht="0.75" hidden="1">
      <c r="A232" s="1950"/>
      <c r="B232" s="1950"/>
      <c r="C232" s="539" t="s">
        <v>1179</v>
      </c>
      <c r="D232" s="2632"/>
      <c r="E232" s="2374"/>
      <c r="F232" s="2553"/>
      <c r="G232" s="570"/>
      <c r="H232" s="1670"/>
      <c r="I232" s="821"/>
      <c r="J232" s="741"/>
      <c r="K232" s="1670"/>
      <c r="L232" s="384"/>
      <c r="M232" s="511"/>
      <c r="N232" s="504"/>
      <c r="O232" s="1794"/>
      <c r="P232" s="1794"/>
      <c r="AH232" s="1801">
        <v>0</v>
      </c>
    </row>
    <row s="11913" customFormat="1" customHeight="1" ht="18.75" hidden="1">
      <c r="A233" s="1950" t="s">
        <v>205</v>
      </c>
      <c r="B233" s="1950" t="s">
        <v>206</v>
      </c>
      <c r="C233" s="539"/>
      <c r="D233" s="2632"/>
      <c r="E233" s="2374"/>
      <c r="F233" s="2553" t="str">
        <f>INDEX(PT_DIFFERENTIATION_VTAR,MATCH(A233,PT_DIFFERENTIATION_VTAR_ID,0))</f>
        <v>Плата за услуги по поддержанию резервной тепловой мощности при отсутствии потребления тепловой энергии</v>
      </c>
      <c r="G233" s="2597" t="str">
        <f>INDEX(PT_DIFFERENTIATION_NTAR,MATCH(B233,PT_DIFFERENTIATION_NTAR_ID,0))</f>
        <v/>
      </c>
      <c r="H233" s="2032"/>
      <c r="I233" s="1909"/>
      <c r="J233" s="1943"/>
      <c r="K233" s="1948"/>
      <c r="L233" s="2032" t="s">
        <v>318</v>
      </c>
      <c r="M233" s="511"/>
      <c r="N233" s="504"/>
      <c r="O233" s="1794"/>
      <c r="P233" s="1794"/>
      <c r="AH233" s="1801">
        <v>0</v>
      </c>
    </row>
    <row s="11913" customFormat="1" customHeight="1" ht="18.75" hidden="1">
      <c r="A234" s="1950"/>
      <c r="B234" s="1950"/>
      <c r="C234" s="539" t="s">
        <v>1171</v>
      </c>
      <c r="D234" s="2632"/>
      <c r="E234" s="2374"/>
      <c r="F234" s="2553"/>
      <c r="G234" s="2597"/>
      <c r="H234" s="1670"/>
      <c r="I234" s="821" t="s">
        <v>1170</v>
      </c>
      <c r="J234" s="741"/>
      <c r="K234" s="1670"/>
      <c r="L234" s="384"/>
      <c r="M234" s="511"/>
      <c r="N234" s="504"/>
      <c r="O234" s="1794"/>
      <c r="P234" s="1794"/>
      <c r="AH234" s="1801">
        <v>0</v>
      </c>
    </row>
    <row s="11913" customFormat="1" customHeight="1" ht="0.75" hidden="1">
      <c r="A235" s="1950"/>
      <c r="B235" s="1950"/>
      <c r="C235" s="539" t="s">
        <v>1179</v>
      </c>
      <c r="D235" s="2632"/>
      <c r="E235" s="2374"/>
      <c r="F235" s="2553"/>
      <c r="G235" s="570"/>
      <c r="H235" s="1670"/>
      <c r="I235" s="821"/>
      <c r="J235" s="741"/>
      <c r="K235" s="1670"/>
      <c r="L235" s="384"/>
      <c r="M235" s="511"/>
      <c r="N235" s="504"/>
      <c r="O235" s="1794"/>
      <c r="P235" s="1794"/>
      <c r="AH235" s="1801">
        <v>0</v>
      </c>
    </row>
    <row s="11913" customFormat="1" customHeight="1" ht="18.75" hidden="1">
      <c r="A236" s="1950" t="s">
        <v>211</v>
      </c>
      <c r="B236" s="1950" t="s">
        <v>212</v>
      </c>
      <c r="C236" s="539"/>
      <c r="D236" s="2632"/>
      <c r="E236" s="2374"/>
      <c r="F236" s="2553" t="str">
        <f>INDEX(PT_DIFFERENTIATION_VTAR,MATCH(A236,PT_DIFFERENTIATION_VTAR_ID,0))</f>
        <v>Плата за подключение (технологическое присоединение) к системе теплоснабжения</v>
      </c>
      <c r="G236" s="2597" t="str">
        <f>INDEX(PT_DIFFERENTIATION_NTAR,MATCH(B236,PT_DIFFERENTIATION_NTAR_ID,0))</f>
        <v/>
      </c>
      <c r="H236" s="2032"/>
      <c r="I236" s="1909"/>
      <c r="J236" s="1943"/>
      <c r="K236" s="1948"/>
      <c r="L236" s="2032" t="s">
        <v>318</v>
      </c>
      <c r="M236" s="511"/>
      <c r="N236" s="504"/>
      <c r="O236" s="1794"/>
      <c r="P236" s="1794"/>
      <c r="AH236" s="1801">
        <v>0</v>
      </c>
    </row>
    <row s="11913" customFormat="1" customHeight="1" ht="18.75" hidden="1">
      <c r="A237" s="1950"/>
      <c r="B237" s="1950"/>
      <c r="C237" s="539" t="s">
        <v>1171</v>
      </c>
      <c r="D237" s="2632"/>
      <c r="E237" s="2374"/>
      <c r="F237" s="2553"/>
      <c r="G237" s="2597"/>
      <c r="H237" s="1670"/>
      <c r="I237" s="821" t="s">
        <v>1170</v>
      </c>
      <c r="J237" s="741"/>
      <c r="K237" s="1670"/>
      <c r="L237" s="384"/>
      <c r="M237" s="511"/>
      <c r="N237" s="504"/>
      <c r="O237" s="1794"/>
      <c r="P237" s="1794"/>
      <c r="AH237" s="1801">
        <v>0</v>
      </c>
    </row>
    <row s="15092" customFormat="1" customHeight="1" ht="18.75">
      <c r="A238" s="7075" t="s">
        <v>211</v>
      </c>
      <c r="B238" s="7075" t="s">
        <v>1176</v>
      </c>
      <c r="C238" s="7076"/>
      <c r="D238" s="7077"/>
      <c r="E238" s="7078"/>
      <c r="F238" s="7078"/>
      <c r="G238" s="7079">
        <f>INDEX(PT_DIFFERENTIATION_NTAR,MATCH(B238,PT_DIFFERENTIATION_NTAR_ID,0))</f>
      </c>
      <c r="H238" s="7080"/>
      <c r="I238" s="7081"/>
      <c r="J238" s="7082"/>
      <c r="K238" s="7094"/>
      <c r="L238" s="7080" t="s">
        <v>318</v>
      </c>
      <c r="M238" s="7084"/>
      <c r="N238" s="7085"/>
      <c r="O238" s="3984"/>
      <c r="P238" s="3984"/>
      <c r="Q238" s="3985"/>
      <c r="R238" s="3985"/>
      <c r="S238" s="3985"/>
      <c r="T238" s="3985"/>
      <c r="U238" s="3985"/>
      <c r="V238" s="3985"/>
      <c r="W238" s="3985"/>
      <c r="X238" s="3985"/>
      <c r="Y238" s="3985"/>
      <c r="Z238" s="3985"/>
      <c r="AA238" s="3985"/>
      <c r="AB238" s="3985"/>
      <c r="AC238" s="3985"/>
      <c r="AD238" s="3985"/>
      <c r="AE238" s="3985"/>
      <c r="AF238" s="3985"/>
      <c r="AG238" s="3985"/>
      <c r="AH238" s="3985">
        <v>0</v>
      </c>
    </row>
    <row s="15092" customFormat="1" customHeight="1" ht="18.75">
      <c r="A239" s="7075"/>
      <c r="B239" s="7075"/>
      <c r="C239" s="7076" t="s">
        <v>1171</v>
      </c>
      <c r="D239" s="7077"/>
      <c r="E239" s="7078"/>
      <c r="F239" s="7078"/>
      <c r="G239" s="7079"/>
      <c r="H239" s="7105"/>
      <c r="I239" s="7106" t="s">
        <v>1170</v>
      </c>
      <c r="J239" s="7107"/>
      <c r="K239" s="7108"/>
      <c r="L239" s="7109"/>
      <c r="M239" s="7084"/>
      <c r="N239" s="7085"/>
      <c r="O239" s="3984"/>
      <c r="P239" s="3984"/>
      <c r="Q239" s="3985"/>
      <c r="R239" s="3985"/>
      <c r="S239" s="3985"/>
      <c r="T239" s="3985"/>
      <c r="U239" s="3985"/>
      <c r="V239" s="3985"/>
      <c r="W239" s="3985"/>
      <c r="X239" s="3985"/>
      <c r="Y239" s="3985"/>
      <c r="Z239" s="3985"/>
      <c r="AA239" s="3985"/>
      <c r="AB239" s="3985"/>
      <c r="AC239" s="3985"/>
      <c r="AD239" s="3985"/>
      <c r="AE239" s="3985"/>
      <c r="AF239" s="3985"/>
      <c r="AG239" s="3985"/>
      <c r="AH239" s="3985">
        <v>0</v>
      </c>
    </row>
    <row s="11913" customFormat="1" customHeight="1" ht="0.75" hidden="1">
      <c r="A240" s="1950"/>
      <c r="B240" s="1950"/>
      <c r="C240" s="539" t="s">
        <v>1179</v>
      </c>
      <c r="D240" s="2632"/>
      <c r="E240" s="2374"/>
      <c r="F240" s="2553"/>
      <c r="G240" s="570"/>
      <c r="H240" s="1670"/>
      <c r="I240" s="821"/>
      <c r="J240" s="741"/>
      <c r="K240" s="1670"/>
      <c r="L240" s="384"/>
      <c r="M240" s="511"/>
      <c r="N240" s="504"/>
      <c r="O240" s="1794"/>
      <c r="P240" s="1794"/>
      <c r="AH240" s="1801">
        <v>0</v>
      </c>
    </row>
    <row s="11913" customFormat="1" customHeight="1" ht="18.75" hidden="1">
      <c r="A241" s="1950" t="s">
        <v>217</v>
      </c>
      <c r="B241" s="1950" t="s">
        <v>218</v>
      </c>
      <c r="C241" s="539"/>
      <c r="D241" s="2632"/>
      <c r="E241" s="2374"/>
      <c r="F241" s="2553" t="str">
        <f>INDEX(PT_DIFFERENTIATION_VTAR,MATCH(A241,PT_DIFFERENTIATION_VTAR_ID,0))</f>
        <v>Плата за подключение (технологическое присоединение) к системе теплоснабжения (индивидуальная)</v>
      </c>
      <c r="G241" s="2597" t="str">
        <f>INDEX(PT_DIFFERENTIATION_NTAR,MATCH(B241,PT_DIFFERENTIATION_NTAR_ID,0))</f>
        <v/>
      </c>
      <c r="H241" s="2159"/>
      <c r="I241" s="1909"/>
      <c r="J241" s="1943"/>
      <c r="K241" s="1948"/>
      <c r="L241" s="2159" t="s">
        <v>318</v>
      </c>
      <c r="M241" s="511"/>
      <c r="N241" s="504"/>
      <c r="O241" s="1794"/>
      <c r="P241" s="1794"/>
      <c r="AH241" s="1801">
        <v>0</v>
      </c>
    </row>
    <row s="11913" customFormat="1" customHeight="1" ht="18.75" hidden="1">
      <c r="A242" s="1950"/>
      <c r="B242" s="1950"/>
      <c r="C242" s="539" t="s">
        <v>1171</v>
      </c>
      <c r="D242" s="2632"/>
      <c r="E242" s="2374"/>
      <c r="F242" s="2553"/>
      <c r="G242" s="2597"/>
      <c r="H242" s="1670"/>
      <c r="I242" s="821" t="s">
        <v>1170</v>
      </c>
      <c r="J242" s="741"/>
      <c r="K242" s="1670"/>
      <c r="L242" s="384"/>
      <c r="M242" s="511"/>
      <c r="N242" s="504"/>
      <c r="O242" s="1794"/>
      <c r="P242" s="1794"/>
      <c r="AH242" s="1801">
        <v>0</v>
      </c>
    </row>
    <row s="11913" customFormat="1" customHeight="1" ht="0.75" hidden="1">
      <c r="A243" s="1950"/>
      <c r="B243" s="1950"/>
      <c r="C243" s="539" t="s">
        <v>1179</v>
      </c>
      <c r="D243" s="2632"/>
      <c r="E243" s="2374"/>
      <c r="F243" s="2553"/>
      <c r="G243" s="570"/>
      <c r="H243" s="1670"/>
      <c r="I243" s="821"/>
      <c r="J243" s="741"/>
      <c r="K243" s="1670"/>
      <c r="L243" s="384"/>
      <c r="M243" s="511"/>
      <c r="N243" s="504"/>
      <c r="O243" s="1794"/>
      <c r="P243" s="1794"/>
      <c r="AH243" s="1801">
        <v>0</v>
      </c>
    </row>
    <row s="11913" customFormat="1" customHeight="1" ht="18.75" hidden="1">
      <c r="A244" s="1950" t="s">
        <v>237</v>
      </c>
      <c r="B244" s="1950" t="s">
        <v>238</v>
      </c>
      <c r="C244" s="539"/>
      <c r="D244" s="2632"/>
      <c r="E244" s="2374"/>
      <c r="F244" s="2553" t="str">
        <f>INDEX(PT_DIFFERENTIATION_VTAR,MATCH(A244,PT_DIFFERENTIATION_VTAR_ID,0))</f>
        <v>Тариф на питьевую воду (питьевое водоснабжение)</v>
      </c>
      <c r="G244" s="2597" t="str">
        <f>INDEX(PT_DIFFERENTIATION_NTAR,MATCH(B244,PT_DIFFERENTIATION_NTAR_ID,0))</f>
        <v/>
      </c>
      <c r="H244" s="2032"/>
      <c r="I244" s="1909"/>
      <c r="J244" s="1943"/>
      <c r="K244" s="1948"/>
      <c r="L244" s="2032" t="s">
        <v>318</v>
      </c>
      <c r="M244" s="511"/>
      <c r="N244" s="504"/>
      <c r="O244" s="1794"/>
      <c r="P244" s="1794"/>
      <c r="AH244" s="1801">
        <v>0</v>
      </c>
    </row>
    <row s="11913" customFormat="1" customHeight="1" ht="18.75" hidden="1">
      <c r="A245" s="1950"/>
      <c r="B245" s="1950"/>
      <c r="C245" s="539" t="s">
        <v>1171</v>
      </c>
      <c r="D245" s="2632"/>
      <c r="E245" s="2374"/>
      <c r="F245" s="2553"/>
      <c r="G245" s="2597"/>
      <c r="H245" s="1670"/>
      <c r="I245" s="821" t="s">
        <v>1170</v>
      </c>
      <c r="J245" s="741"/>
      <c r="K245" s="1670"/>
      <c r="L245" s="384"/>
      <c r="M245" s="511"/>
      <c r="N245" s="504"/>
      <c r="O245" s="1794"/>
      <c r="P245" s="1794"/>
      <c r="AH245" s="1801">
        <v>0</v>
      </c>
    </row>
    <row s="11913" customFormat="1" customHeight="1" ht="0.75" hidden="1">
      <c r="A246" s="1950"/>
      <c r="B246" s="1950"/>
      <c r="C246" s="539" t="s">
        <v>1179</v>
      </c>
      <c r="D246" s="2632"/>
      <c r="E246" s="2374"/>
      <c r="F246" s="2553"/>
      <c r="G246" s="570"/>
      <c r="H246" s="1670"/>
      <c r="I246" s="821"/>
      <c r="J246" s="741"/>
      <c r="K246" s="1670"/>
      <c r="L246" s="384"/>
      <c r="M246" s="511"/>
      <c r="N246" s="504"/>
      <c r="O246" s="1794"/>
      <c r="P246" s="1794"/>
      <c r="AH246" s="1801">
        <v>0</v>
      </c>
    </row>
    <row s="11913" customFormat="1" customHeight="1" ht="18.75" hidden="1">
      <c r="A247" s="1950" t="s">
        <v>242</v>
      </c>
      <c r="B247" s="1950" t="s">
        <v>243</v>
      </c>
      <c r="C247" s="539"/>
      <c r="D247" s="2632"/>
      <c r="E247" s="2374"/>
      <c r="F247" s="2553" t="str">
        <f>INDEX(PT_DIFFERENTIATION_VTAR,MATCH(A247,PT_DIFFERENTIATION_VTAR_ID,0))</f>
        <v>Тариф на техническую воду</v>
      </c>
      <c r="G247" s="2597" t="str">
        <f>INDEX(PT_DIFFERENTIATION_NTAR,MATCH(B247,PT_DIFFERENTIATION_NTAR_ID,0))</f>
        <v/>
      </c>
      <c r="H247" s="2032"/>
      <c r="I247" s="1909"/>
      <c r="J247" s="1943"/>
      <c r="K247" s="1948"/>
      <c r="L247" s="2032" t="s">
        <v>318</v>
      </c>
      <c r="M247" s="511"/>
      <c r="N247" s="504"/>
      <c r="O247" s="1794"/>
      <c r="P247" s="1794"/>
      <c r="AH247" s="1801">
        <v>0</v>
      </c>
    </row>
    <row s="11913" customFormat="1" customHeight="1" ht="18.75" hidden="1">
      <c r="A248" s="1950"/>
      <c r="B248" s="1950"/>
      <c r="C248" s="539" t="s">
        <v>1171</v>
      </c>
      <c r="D248" s="2632"/>
      <c r="E248" s="2374"/>
      <c r="F248" s="2553"/>
      <c r="G248" s="2597"/>
      <c r="H248" s="1670"/>
      <c r="I248" s="821" t="s">
        <v>1170</v>
      </c>
      <c r="J248" s="741"/>
      <c r="K248" s="1670"/>
      <c r="L248" s="384"/>
      <c r="M248" s="511"/>
      <c r="N248" s="504"/>
      <c r="O248" s="1794"/>
      <c r="P248" s="1794"/>
      <c r="AH248" s="1801">
        <v>0</v>
      </c>
    </row>
    <row s="11913" customFormat="1" customHeight="1" ht="0.75" hidden="1">
      <c r="A249" s="1950"/>
      <c r="B249" s="1950"/>
      <c r="C249" s="539" t="s">
        <v>1179</v>
      </c>
      <c r="D249" s="2632"/>
      <c r="E249" s="2374"/>
      <c r="F249" s="2553"/>
      <c r="G249" s="570"/>
      <c r="H249" s="1670"/>
      <c r="I249" s="821"/>
      <c r="J249" s="741"/>
      <c r="K249" s="1670"/>
      <c r="L249" s="384"/>
      <c r="M249" s="511"/>
      <c r="N249" s="504"/>
      <c r="O249" s="1794"/>
      <c r="P249" s="1794"/>
      <c r="AH249" s="1801">
        <v>0</v>
      </c>
    </row>
    <row s="11913" customFormat="1" customHeight="1" ht="18.75" hidden="1">
      <c r="A250" s="1950" t="s">
        <v>247</v>
      </c>
      <c r="B250" s="1950" t="s">
        <v>248</v>
      </c>
      <c r="C250" s="539"/>
      <c r="D250" s="2632"/>
      <c r="E250" s="2374"/>
      <c r="F250" s="2553" t="str">
        <f>INDEX(PT_DIFFERENTIATION_VTAR,MATCH(A250,PT_DIFFERENTIATION_VTAR_ID,0))</f>
        <v>Тариф на транспортировку воды</v>
      </c>
      <c r="G250" s="2597" t="str">
        <f>INDEX(PT_DIFFERENTIATION_NTAR,MATCH(B250,PT_DIFFERENTIATION_NTAR_ID,0))</f>
        <v/>
      </c>
      <c r="H250" s="2032"/>
      <c r="I250" s="1909"/>
      <c r="J250" s="1943"/>
      <c r="K250" s="1948"/>
      <c r="L250" s="2032" t="s">
        <v>318</v>
      </c>
      <c r="M250" s="511"/>
      <c r="N250" s="504"/>
      <c r="O250" s="1794"/>
      <c r="P250" s="1794"/>
      <c r="AH250" s="1801">
        <v>0</v>
      </c>
    </row>
    <row s="11913" customFormat="1" customHeight="1" ht="18.75" hidden="1">
      <c r="A251" s="1950"/>
      <c r="B251" s="1950"/>
      <c r="C251" s="539" t="s">
        <v>1171</v>
      </c>
      <c r="D251" s="2632"/>
      <c r="E251" s="2374"/>
      <c r="F251" s="2553"/>
      <c r="G251" s="2597"/>
      <c r="H251" s="1670"/>
      <c r="I251" s="821" t="s">
        <v>1170</v>
      </c>
      <c r="J251" s="741"/>
      <c r="K251" s="1670"/>
      <c r="L251" s="384"/>
      <c r="M251" s="511"/>
      <c r="N251" s="504"/>
      <c r="O251" s="1794"/>
      <c r="P251" s="1794"/>
      <c r="AH251" s="1801">
        <v>0</v>
      </c>
    </row>
    <row s="11913" customFormat="1" customHeight="1" ht="0.75" hidden="1">
      <c r="A252" s="1950"/>
      <c r="B252" s="1950"/>
      <c r="C252" s="539" t="s">
        <v>1179</v>
      </c>
      <c r="D252" s="2632"/>
      <c r="E252" s="2374"/>
      <c r="F252" s="2553"/>
      <c r="G252" s="570"/>
      <c r="H252" s="1670"/>
      <c r="I252" s="821"/>
      <c r="J252" s="741"/>
      <c r="K252" s="1670"/>
      <c r="L252" s="384"/>
      <c r="M252" s="511"/>
      <c r="N252" s="504"/>
      <c r="O252" s="1794"/>
      <c r="P252" s="1794"/>
      <c r="AH252" s="1801">
        <v>0</v>
      </c>
    </row>
    <row s="11913" customFormat="1" customHeight="1" ht="18.75" hidden="1">
      <c r="A253" s="1950" t="s">
        <v>252</v>
      </c>
      <c r="B253" s="1950" t="s">
        <v>253</v>
      </c>
      <c r="C253" s="539"/>
      <c r="D253" s="2632"/>
      <c r="E253" s="2374"/>
      <c r="F253" s="2553" t="str">
        <f>INDEX(PT_DIFFERENTIATION_VTAR,MATCH(A253,PT_DIFFERENTIATION_VTAR_ID,0))</f>
        <v>Тариф на подвоз воды</v>
      </c>
      <c r="G253" s="2597" t="str">
        <f>INDEX(PT_DIFFERENTIATION_NTAR,MATCH(B253,PT_DIFFERENTIATION_NTAR_ID,0))</f>
        <v/>
      </c>
      <c r="H253" s="2032"/>
      <c r="I253" s="1909"/>
      <c r="J253" s="1943"/>
      <c r="K253" s="1948"/>
      <c r="L253" s="2032" t="s">
        <v>318</v>
      </c>
      <c r="M253" s="511"/>
      <c r="N253" s="504"/>
      <c r="O253" s="1794"/>
      <c r="P253" s="1794"/>
      <c r="AH253" s="1801">
        <v>0</v>
      </c>
    </row>
    <row s="11913" customFormat="1" customHeight="1" ht="18.75" hidden="1">
      <c r="A254" s="1950"/>
      <c r="B254" s="1950"/>
      <c r="C254" s="539" t="s">
        <v>1171</v>
      </c>
      <c r="D254" s="2632"/>
      <c r="E254" s="2374"/>
      <c r="F254" s="2553"/>
      <c r="G254" s="2597"/>
      <c r="H254" s="1670"/>
      <c r="I254" s="821" t="s">
        <v>1170</v>
      </c>
      <c r="J254" s="741"/>
      <c r="K254" s="1670"/>
      <c r="L254" s="384"/>
      <c r="M254" s="511"/>
      <c r="N254" s="504"/>
      <c r="O254" s="1794"/>
      <c r="P254" s="1794"/>
      <c r="AH254" s="1801">
        <v>0</v>
      </c>
    </row>
    <row s="11913" customFormat="1" customHeight="1" ht="0.75" hidden="1">
      <c r="A255" s="1950"/>
      <c r="B255" s="1950"/>
      <c r="C255" s="539" t="s">
        <v>1179</v>
      </c>
      <c r="D255" s="2632"/>
      <c r="E255" s="2374"/>
      <c r="F255" s="2553"/>
      <c r="G255" s="570"/>
      <c r="H255" s="1670"/>
      <c r="I255" s="821"/>
      <c r="J255" s="741"/>
      <c r="K255" s="1670"/>
      <c r="L255" s="384"/>
      <c r="M255" s="511"/>
      <c r="N255" s="504"/>
      <c r="O255" s="1794"/>
      <c r="P255" s="1794"/>
      <c r="AH255" s="1801">
        <v>0</v>
      </c>
    </row>
    <row s="11913" customFormat="1" customHeight="1" ht="18.75" hidden="1">
      <c r="A256" s="1950" t="s">
        <v>257</v>
      </c>
      <c r="B256" s="1950" t="s">
        <v>258</v>
      </c>
      <c r="C256" s="539"/>
      <c r="D256" s="2632"/>
      <c r="E256" s="2374"/>
      <c r="F256" s="2553" t="str">
        <f>INDEX(PT_DIFFERENTIATION_VTAR,MATCH(A256,PT_DIFFERENTIATION_VTAR_ID,0))</f>
        <v>Тариф на подключение (технологическое присоединение) к централизованной системе холодного водоснабжения</v>
      </c>
      <c r="G256" s="2597" t="str">
        <f>INDEX(PT_DIFFERENTIATION_NTAR,MATCH(B256,PT_DIFFERENTIATION_NTAR_ID,0))</f>
        <v/>
      </c>
      <c r="H256" s="2032"/>
      <c r="I256" s="1909"/>
      <c r="J256" s="1943"/>
      <c r="K256" s="1948"/>
      <c r="L256" s="2032" t="s">
        <v>318</v>
      </c>
      <c r="M256" s="511"/>
      <c r="N256" s="504"/>
      <c r="O256" s="1794"/>
      <c r="P256" s="1794"/>
      <c r="AH256" s="1801">
        <v>0</v>
      </c>
    </row>
    <row s="11913" customFormat="1" customHeight="1" ht="18.75" hidden="1">
      <c r="A257" s="1950"/>
      <c r="B257" s="1950"/>
      <c r="C257" s="539" t="s">
        <v>1171</v>
      </c>
      <c r="D257" s="2632"/>
      <c r="E257" s="2374"/>
      <c r="F257" s="2553"/>
      <c r="G257" s="2597"/>
      <c r="H257" s="1670"/>
      <c r="I257" s="821" t="s">
        <v>1170</v>
      </c>
      <c r="J257" s="741"/>
      <c r="K257" s="1670"/>
      <c r="L257" s="384"/>
      <c r="M257" s="511"/>
      <c r="N257" s="504"/>
      <c r="O257" s="1794"/>
      <c r="P257" s="1794"/>
      <c r="AH257" s="1801">
        <v>0</v>
      </c>
    </row>
    <row s="11913" customFormat="1" customHeight="1" ht="0.75" hidden="1">
      <c r="A258" s="1950"/>
      <c r="B258" s="1950"/>
      <c r="C258" s="539" t="s">
        <v>1179</v>
      </c>
      <c r="D258" s="2632"/>
      <c r="E258" s="2374"/>
      <c r="F258" s="2553"/>
      <c r="G258" s="570"/>
      <c r="H258" s="1670"/>
      <c r="I258" s="821"/>
      <c r="J258" s="741"/>
      <c r="K258" s="1670"/>
      <c r="L258" s="384"/>
      <c r="M258" s="511"/>
      <c r="N258" s="504"/>
      <c r="O258" s="1794"/>
      <c r="P258" s="1794"/>
      <c r="AH258" s="1801">
        <v>0</v>
      </c>
    </row>
    <row s="11913" customFormat="1" customHeight="1" ht="18.75" hidden="1">
      <c r="A259" s="1950" t="s">
        <v>262</v>
      </c>
      <c r="B259" s="1950" t="s">
        <v>263</v>
      </c>
      <c r="C259" s="539"/>
      <c r="D259" s="2632"/>
      <c r="E259" s="2374"/>
      <c r="F259" s="2553" t="str">
        <f>INDEX(PT_DIFFERENTIATION_VTAR,MATCH(A259,PT_DIFFERENTIATION_VTAR_ID,0))</f>
        <v>Тариф на горячую воду (горячее водоснабжение)</v>
      </c>
      <c r="G259" s="2597" t="str">
        <f>INDEX(PT_DIFFERENTIATION_NTAR,MATCH(B259,PT_DIFFERENTIATION_NTAR_ID,0))</f>
        <v/>
      </c>
      <c r="H259" s="2032"/>
      <c r="I259" s="1909"/>
      <c r="J259" s="1943"/>
      <c r="K259" s="1948"/>
      <c r="L259" s="2032" t="s">
        <v>318</v>
      </c>
      <c r="M259" s="511"/>
      <c r="N259" s="504"/>
      <c r="O259" s="1794"/>
      <c r="P259" s="1794"/>
      <c r="AH259" s="1801">
        <v>0</v>
      </c>
    </row>
    <row s="11913" customFormat="1" customHeight="1" ht="18.75" hidden="1">
      <c r="A260" s="1950"/>
      <c r="B260" s="1950"/>
      <c r="C260" s="539" t="s">
        <v>1171</v>
      </c>
      <c r="D260" s="2632"/>
      <c r="E260" s="2374"/>
      <c r="F260" s="2553"/>
      <c r="G260" s="2597"/>
      <c r="H260" s="1670"/>
      <c r="I260" s="821" t="s">
        <v>1170</v>
      </c>
      <c r="J260" s="741"/>
      <c r="K260" s="1670"/>
      <c r="L260" s="384"/>
      <c r="M260" s="511"/>
      <c r="N260" s="504"/>
      <c r="O260" s="1794"/>
      <c r="P260" s="1794"/>
      <c r="AH260" s="1801">
        <v>0</v>
      </c>
    </row>
    <row s="11913" customFormat="1" customHeight="1" ht="0.75" hidden="1">
      <c r="A261" s="1950"/>
      <c r="B261" s="1950"/>
      <c r="C261" s="539" t="s">
        <v>1179</v>
      </c>
      <c r="D261" s="2632"/>
      <c r="E261" s="2374"/>
      <c r="F261" s="2553"/>
      <c r="G261" s="570"/>
      <c r="H261" s="1670"/>
      <c r="I261" s="821"/>
      <c r="J261" s="741"/>
      <c r="K261" s="1670"/>
      <c r="L261" s="384"/>
      <c r="M261" s="511"/>
      <c r="N261" s="504"/>
      <c r="O261" s="1794"/>
      <c r="P261" s="1794"/>
      <c r="AH261" s="1801">
        <v>0</v>
      </c>
    </row>
    <row s="11913" customFormat="1" customHeight="1" ht="18.75" hidden="1">
      <c r="A262" s="1950" t="s">
        <v>267</v>
      </c>
      <c r="B262" s="1950" t="s">
        <v>268</v>
      </c>
      <c r="C262" s="539"/>
      <c r="D262" s="2632"/>
      <c r="E262" s="2374"/>
      <c r="F262" s="2553" t="str">
        <f>INDEX(PT_DIFFERENTIATION_VTAR,MATCH(A262,PT_DIFFERENTIATION_VTAR_ID,0))</f>
        <v>Тариф на транспортировку горячей воды</v>
      </c>
      <c r="G262" s="2597" t="str">
        <f>INDEX(PT_DIFFERENTIATION_NTAR,MATCH(B262,PT_DIFFERENTIATION_NTAR_ID,0))</f>
        <v/>
      </c>
      <c r="H262" s="2032"/>
      <c r="I262" s="1909"/>
      <c r="J262" s="1943"/>
      <c r="K262" s="1948"/>
      <c r="L262" s="2032" t="s">
        <v>318</v>
      </c>
      <c r="M262" s="511"/>
      <c r="N262" s="504"/>
      <c r="O262" s="1794"/>
      <c r="P262" s="1794"/>
      <c r="AH262" s="1801">
        <v>0</v>
      </c>
    </row>
    <row s="11913" customFormat="1" customHeight="1" ht="18.75" hidden="1">
      <c r="A263" s="1950"/>
      <c r="B263" s="1950"/>
      <c r="C263" s="539" t="s">
        <v>1171</v>
      </c>
      <c r="D263" s="2632"/>
      <c r="E263" s="2374"/>
      <c r="F263" s="2553"/>
      <c r="G263" s="2597"/>
      <c r="H263" s="1670"/>
      <c r="I263" s="821" t="s">
        <v>1170</v>
      </c>
      <c r="J263" s="741"/>
      <c r="K263" s="1670"/>
      <c r="L263" s="384"/>
      <c r="M263" s="511"/>
      <c r="N263" s="504"/>
      <c r="O263" s="1794"/>
      <c r="P263" s="1794"/>
      <c r="AH263" s="1801">
        <v>0</v>
      </c>
    </row>
    <row s="11913" customFormat="1" customHeight="1" ht="0.75" hidden="1">
      <c r="A264" s="1950"/>
      <c r="B264" s="1950"/>
      <c r="C264" s="539" t="s">
        <v>1179</v>
      </c>
      <c r="D264" s="2632"/>
      <c r="E264" s="2374"/>
      <c r="F264" s="2553"/>
      <c r="G264" s="570"/>
      <c r="H264" s="1670"/>
      <c r="I264" s="821"/>
      <c r="J264" s="741"/>
      <c r="K264" s="1670"/>
      <c r="L264" s="384"/>
      <c r="M264" s="511"/>
      <c r="N264" s="504"/>
      <c r="O264" s="1794"/>
      <c r="P264" s="1794"/>
      <c r="AH264" s="1801">
        <v>0</v>
      </c>
    </row>
    <row s="11913" customFormat="1" customHeight="1" ht="18.75" hidden="1">
      <c r="A265" s="1950" t="s">
        <v>272</v>
      </c>
      <c r="B265" s="1950" t="s">
        <v>273</v>
      </c>
      <c r="C265" s="539"/>
      <c r="D265" s="2632"/>
      <c r="E265" s="2374"/>
      <c r="F265" s="2553" t="str">
        <f>INDEX(PT_DIFFERENTIATION_VTAR,MATCH(A265,PT_DIFFERENTIATION_VTAR_ID,0))</f>
        <v>Тариф на подключение (технологическое присоединение) к централизованной системе горячего водоснабжения</v>
      </c>
      <c r="G265" s="2597" t="str">
        <f>INDEX(PT_DIFFERENTIATION_NTAR,MATCH(B265,PT_DIFFERENTIATION_NTAR_ID,0))</f>
        <v/>
      </c>
      <c r="H265" s="2032"/>
      <c r="I265" s="1909"/>
      <c r="J265" s="1943"/>
      <c r="K265" s="1948"/>
      <c r="L265" s="2032" t="s">
        <v>318</v>
      </c>
      <c r="M265" s="511"/>
      <c r="N265" s="504"/>
      <c r="O265" s="1794"/>
      <c r="P265" s="1794"/>
      <c r="AH265" s="1801">
        <v>0</v>
      </c>
    </row>
    <row s="11913" customFormat="1" customHeight="1" ht="18.75" hidden="1">
      <c r="A266" s="1950"/>
      <c r="B266" s="1950"/>
      <c r="C266" s="539" t="s">
        <v>1171</v>
      </c>
      <c r="D266" s="2632"/>
      <c r="E266" s="2374"/>
      <c r="F266" s="2553"/>
      <c r="G266" s="2597"/>
      <c r="H266" s="1670"/>
      <c r="I266" s="821" t="s">
        <v>1170</v>
      </c>
      <c r="J266" s="741"/>
      <c r="K266" s="1670"/>
      <c r="L266" s="384"/>
      <c r="M266" s="511"/>
      <c r="N266" s="504"/>
      <c r="O266" s="1794"/>
      <c r="P266" s="1794"/>
      <c r="AH266" s="1801">
        <v>0</v>
      </c>
    </row>
    <row s="11913" customFormat="1" customHeight="1" ht="0.75" hidden="1">
      <c r="A267" s="1950"/>
      <c r="B267" s="1950"/>
      <c r="C267" s="539" t="s">
        <v>1179</v>
      </c>
      <c r="D267" s="2632"/>
      <c r="E267" s="2374"/>
      <c r="F267" s="2553"/>
      <c r="G267" s="570"/>
      <c r="H267" s="1670"/>
      <c r="I267" s="821"/>
      <c r="J267" s="741"/>
      <c r="K267" s="1670"/>
      <c r="L267" s="384"/>
      <c r="M267" s="511"/>
      <c r="N267" s="504"/>
      <c r="O267" s="1794"/>
      <c r="P267" s="1794"/>
      <c r="AH267" s="1801">
        <v>0</v>
      </c>
    </row>
    <row s="11913" customFormat="1" customHeight="1" ht="18.75" hidden="1">
      <c r="A268" s="1950" t="s">
        <v>277</v>
      </c>
      <c r="B268" s="1950" t="s">
        <v>278</v>
      </c>
      <c r="C268" s="539"/>
      <c r="D268" s="2632"/>
      <c r="E268" s="2374"/>
      <c r="F268" s="2553" t="str">
        <f>INDEX(PT_DIFFERENTIATION_VTAR,MATCH(A268,PT_DIFFERENTIATION_VTAR_ID,0))</f>
        <v>Тариф на водоотведение</v>
      </c>
      <c r="G268" s="2597" t="str">
        <f>INDEX(PT_DIFFERENTIATION_NTAR,MATCH(B268,PT_DIFFERENTIATION_NTAR_ID,0))</f>
        <v/>
      </c>
      <c r="H268" s="2032"/>
      <c r="I268" s="1909"/>
      <c r="J268" s="1943"/>
      <c r="K268" s="1948"/>
      <c r="L268" s="2032" t="s">
        <v>318</v>
      </c>
      <c r="M268" s="511"/>
      <c r="N268" s="504"/>
      <c r="O268" s="1794"/>
      <c r="P268" s="1794"/>
      <c r="AH268" s="1801">
        <v>0</v>
      </c>
    </row>
    <row s="11913" customFormat="1" customHeight="1" ht="18.75" hidden="1">
      <c r="A269" s="1950"/>
      <c r="B269" s="1950"/>
      <c r="C269" s="539" t="s">
        <v>1171</v>
      </c>
      <c r="D269" s="2632"/>
      <c r="E269" s="2374"/>
      <c r="F269" s="2553"/>
      <c r="G269" s="2597"/>
      <c r="H269" s="1670"/>
      <c r="I269" s="821" t="s">
        <v>1170</v>
      </c>
      <c r="J269" s="741"/>
      <c r="K269" s="1670"/>
      <c r="L269" s="384"/>
      <c r="M269" s="511"/>
      <c r="N269" s="504"/>
      <c r="O269" s="1794"/>
      <c r="P269" s="1794"/>
      <c r="AH269" s="1801">
        <v>0</v>
      </c>
    </row>
    <row s="11913" customFormat="1" customHeight="1" ht="0.75" hidden="1">
      <c r="A270" s="1950"/>
      <c r="B270" s="1950"/>
      <c r="C270" s="539" t="s">
        <v>1179</v>
      </c>
      <c r="D270" s="2632"/>
      <c r="E270" s="2374"/>
      <c r="F270" s="2553"/>
      <c r="G270" s="570"/>
      <c r="H270" s="1670"/>
      <c r="I270" s="821"/>
      <c r="J270" s="741"/>
      <c r="K270" s="1670"/>
      <c r="L270" s="384"/>
      <c r="M270" s="511"/>
      <c r="N270" s="504"/>
      <c r="O270" s="1794"/>
      <c r="P270" s="1794"/>
      <c r="AH270" s="1801">
        <v>0</v>
      </c>
    </row>
    <row s="11913" customFormat="1" customHeight="1" ht="18.75" hidden="1">
      <c r="A271" s="1950" t="s">
        <v>282</v>
      </c>
      <c r="B271" s="1950" t="s">
        <v>283</v>
      </c>
      <c r="C271" s="539"/>
      <c r="D271" s="2632"/>
      <c r="E271" s="2374"/>
      <c r="F271" s="2553" t="str">
        <f>INDEX(PT_DIFFERENTIATION_VTAR,MATCH(A271,PT_DIFFERENTIATION_VTAR_ID,0))</f>
        <v>Тариф на транспортировку сточных вод</v>
      </c>
      <c r="G271" s="2597" t="str">
        <f>INDEX(PT_DIFFERENTIATION_NTAR,MATCH(B271,PT_DIFFERENTIATION_NTAR_ID,0))</f>
        <v/>
      </c>
      <c r="H271" s="2032"/>
      <c r="I271" s="1909"/>
      <c r="J271" s="1943"/>
      <c r="K271" s="1948"/>
      <c r="L271" s="2032" t="s">
        <v>318</v>
      </c>
      <c r="M271" s="511"/>
      <c r="N271" s="504"/>
      <c r="O271" s="1794"/>
      <c r="P271" s="1794"/>
      <c r="AH271" s="1801">
        <v>0</v>
      </c>
    </row>
    <row s="11913" customFormat="1" customHeight="1" ht="18.75" hidden="1">
      <c r="A272" s="1950"/>
      <c r="B272" s="1950"/>
      <c r="C272" s="539" t="s">
        <v>1171</v>
      </c>
      <c r="D272" s="2632"/>
      <c r="E272" s="2374"/>
      <c r="F272" s="2553"/>
      <c r="G272" s="2597"/>
      <c r="H272" s="1670"/>
      <c r="I272" s="821" t="s">
        <v>1170</v>
      </c>
      <c r="J272" s="741"/>
      <c r="K272" s="1670"/>
      <c r="L272" s="384"/>
      <c r="M272" s="511"/>
      <c r="N272" s="504"/>
      <c r="O272" s="1794"/>
      <c r="P272" s="1794"/>
      <c r="AH272" s="1801">
        <v>0</v>
      </c>
    </row>
    <row s="11913" customFormat="1" customHeight="1" ht="0.75" hidden="1">
      <c r="A273" s="1950"/>
      <c r="B273" s="1950"/>
      <c r="C273" s="539" t="s">
        <v>1179</v>
      </c>
      <c r="D273" s="2632"/>
      <c r="E273" s="2374"/>
      <c r="F273" s="2553"/>
      <c r="G273" s="570"/>
      <c r="H273" s="1670"/>
      <c r="I273" s="821"/>
      <c r="J273" s="741"/>
      <c r="K273" s="1670"/>
      <c r="L273" s="384"/>
      <c r="M273" s="511"/>
      <c r="N273" s="504"/>
      <c r="O273" s="1794"/>
      <c r="P273" s="1794"/>
      <c r="AH273" s="1801">
        <v>0</v>
      </c>
    </row>
    <row s="11913" customFormat="1" customHeight="1" ht="18.75" hidden="1">
      <c r="A274" s="1950" t="s">
        <v>287</v>
      </c>
      <c r="B274" s="1950" t="s">
        <v>288</v>
      </c>
      <c r="C274" s="539"/>
      <c r="D274" s="2632"/>
      <c r="E274" s="2374"/>
      <c r="F274" s="2553" t="str">
        <f>INDEX(PT_DIFFERENTIATION_VTAR,MATCH(A274,PT_DIFFERENTIATION_VTAR_ID,0))</f>
        <v>Тариф на подключение (технологическое присоединение) к централизованной системе водоотведения</v>
      </c>
      <c r="G274" s="2597" t="str">
        <f>INDEX(PT_DIFFERENTIATION_NTAR,MATCH(B274,PT_DIFFERENTIATION_NTAR_ID,0))</f>
        <v/>
      </c>
      <c r="H274" s="2032"/>
      <c r="I274" s="1909"/>
      <c r="J274" s="1943"/>
      <c r="K274" s="1948"/>
      <c r="L274" s="2032" t="s">
        <v>318</v>
      </c>
      <c r="M274" s="511"/>
      <c r="N274" s="504"/>
      <c r="O274" s="1794"/>
      <c r="P274" s="1794"/>
      <c r="AH274" s="1801">
        <v>0</v>
      </c>
    </row>
    <row s="11913" customFormat="1" customHeight="1" ht="18.75" hidden="1">
      <c r="A275" s="1950"/>
      <c r="B275" s="1950"/>
      <c r="C275" s="539" t="s">
        <v>1171</v>
      </c>
      <c r="D275" s="2632"/>
      <c r="E275" s="2374"/>
      <c r="F275" s="2553"/>
      <c r="G275" s="2597"/>
      <c r="H275" s="1670"/>
      <c r="I275" s="821" t="s">
        <v>1170</v>
      </c>
      <c r="J275" s="741"/>
      <c r="K275" s="1670"/>
      <c r="L275" s="384"/>
      <c r="M275" s="511"/>
      <c r="N275" s="504"/>
      <c r="O275" s="1794"/>
      <c r="P275" s="1794"/>
      <c r="AH275" s="1801">
        <v>0</v>
      </c>
    </row>
    <row s="11913" customFormat="1" customHeight="1" ht="1.05">
      <c r="A276" s="1950"/>
      <c r="B276" s="1950"/>
      <c r="C276" s="539" t="s">
        <v>1179</v>
      </c>
      <c r="D276" s="2632"/>
      <c r="E276" s="2374"/>
      <c r="F276" s="2553"/>
      <c r="G276" s="570"/>
      <c r="H276" s="1670"/>
      <c r="I276" s="821"/>
      <c r="J276" s="741"/>
      <c r="K276" s="1670"/>
      <c r="L276" s="384"/>
      <c r="M276" s="511"/>
      <c r="N276" s="504"/>
      <c r="O276" s="1794"/>
      <c r="P276" s="1794"/>
      <c r="AH276" s="1801">
        <v>1</v>
      </c>
    </row>
    <row customHeight="1" ht="27.299999999999997">
      <c r="A277" s="1950"/>
      <c r="B277" s="1950"/>
      <c r="D277" s="546"/>
      <c r="E277" s="317" t="s">
        <v>95</v>
      </c>
      <c r="F277" s="263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7" s="2630"/>
      <c r="H277" s="2630"/>
      <c r="I277" s="2630"/>
      <c r="J277" s="2630"/>
      <c r="K277" s="2630"/>
      <c r="L277" s="2630"/>
      <c r="M277" s="467"/>
      <c r="N277" s="504"/>
      <c r="AH277" s="544">
        <v>26</v>
      </c>
    </row>
    <row s="11913" customFormat="1" customHeight="1" ht="60.75" hidden="1">
      <c r="A278" s="1950" t="s">
        <v>160</v>
      </c>
      <c r="B278" s="1950" t="s">
        <v>161</v>
      </c>
      <c r="C278" s="539"/>
      <c r="D278" s="2632"/>
      <c r="E278" s="2374"/>
      <c r="F278" s="2553" t="str">
        <f>INDEX(PT_DIFFERENTIATION_VTAR,MATCH(A278,PT_DIFFERENTIATION_VTAR_ID,0))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8" s="2597" t="str">
        <f>INDEX(PT_DIFFERENTIATION_NTAR,MATCH(B278,PT_DIFFERENTIATION_NTAR_ID,0))</f>
        <v>Тариф на тепловую энергию (мощность) на коллекторах источника тепловой энергии</v>
      </c>
      <c r="H278" s="2032"/>
      <c r="I278" s="1909"/>
      <c r="J278" s="1943"/>
      <c r="K278" s="1948"/>
      <c r="L278" s="2032" t="s">
        <v>318</v>
      </c>
      <c r="M278" s="233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8" s="504"/>
      <c r="O278" s="1794"/>
      <c r="P278" s="1794"/>
      <c r="AH278" s="1801">
        <v>0</v>
      </c>
    </row>
    <row s="11913" customFormat="1" customHeight="1" ht="18.75" hidden="1">
      <c r="A279" s="1950"/>
      <c r="B279" s="1950"/>
      <c r="C279" s="539" t="s">
        <v>1171</v>
      </c>
      <c r="D279" s="2632"/>
      <c r="E279" s="2374"/>
      <c r="F279" s="2553"/>
      <c r="G279" s="2597"/>
      <c r="H279" s="1670"/>
      <c r="I279" s="821" t="s">
        <v>1170</v>
      </c>
      <c r="J279" s="741"/>
      <c r="K279" s="1670"/>
      <c r="L279" s="384"/>
      <c r="M279" s="2340"/>
      <c r="N279" s="504"/>
      <c r="O279" s="1794"/>
      <c r="P279" s="1794"/>
      <c r="AH279" s="1801">
        <v>0</v>
      </c>
    </row>
    <row s="11913" customFormat="1" customHeight="1" ht="0.75" hidden="1">
      <c r="A280" s="1950"/>
      <c r="B280" s="1950"/>
      <c r="C280" s="539" t="s">
        <v>1179</v>
      </c>
      <c r="D280" s="2632"/>
      <c r="E280" s="2374"/>
      <c r="F280" s="2553"/>
      <c r="G280" s="570"/>
      <c r="H280" s="1670"/>
      <c r="I280" s="821"/>
      <c r="J280" s="741"/>
      <c r="K280" s="1670"/>
      <c r="L280" s="384"/>
      <c r="M280" s="2340"/>
      <c r="N280" s="504"/>
      <c r="O280" s="1794"/>
      <c r="P280" s="1794"/>
      <c r="AH280" s="1801">
        <v>0</v>
      </c>
    </row>
    <row s="11913" customFormat="1" customHeight="1" ht="45" hidden="1">
      <c r="A281" s="1950" t="s">
        <v>172</v>
      </c>
      <c r="B281" s="1950" t="s">
        <v>173</v>
      </c>
      <c r="C281" s="539"/>
      <c r="D281" s="2632"/>
      <c r="E281" s="2374"/>
      <c r="F281" s="2553" t="str">
        <f>INDEX(PT_DIFFERENTIATION_VTAR,MATCH(A281,PT_DIFFERENTIATION_VTAR_ID,0))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81" s="2597" t="str">
        <f>INDEX(PT_DIFFERENTIATION_NTAR,MATCH(B281,PT_DIFFERENTIATION_NTAR_ID,0))</f>
        <v>Тариф на тепловую энергию (мощность) поставляемую потребителям</v>
      </c>
      <c r="H281" s="2032"/>
      <c r="I281" s="1909"/>
      <c r="J281" s="1943"/>
      <c r="K281" s="1948"/>
      <c r="L281" s="2032" t="s">
        <v>318</v>
      </c>
      <c r="M281" s="2341"/>
      <c r="N281" s="504"/>
      <c r="O281" s="1794"/>
      <c r="P281" s="1794"/>
      <c r="AH281" s="1801">
        <v>0</v>
      </c>
    </row>
    <row s="11913" customFormat="1" customHeight="1" ht="18.75" hidden="1">
      <c r="A282" s="1950"/>
      <c r="B282" s="1950"/>
      <c r="C282" s="539" t="s">
        <v>1171</v>
      </c>
      <c r="D282" s="2632"/>
      <c r="E282" s="2374"/>
      <c r="F282" s="2553"/>
      <c r="G282" s="2597"/>
      <c r="H282" s="1670"/>
      <c r="I282" s="821" t="s">
        <v>1170</v>
      </c>
      <c r="J282" s="741"/>
      <c r="K282" s="1670"/>
      <c r="L282" s="384"/>
      <c r="M282" s="2031"/>
      <c r="N282" s="504"/>
      <c r="O282" s="1794"/>
      <c r="P282" s="1794"/>
      <c r="AH282" s="1801">
        <v>0</v>
      </c>
    </row>
    <row s="11913" customFormat="1" customHeight="1" ht="0.75" hidden="1">
      <c r="A283" s="1950"/>
      <c r="B283" s="1950"/>
      <c r="C283" s="539" t="s">
        <v>1179</v>
      </c>
      <c r="D283" s="2632"/>
      <c r="E283" s="2374"/>
      <c r="F283" s="2553"/>
      <c r="G283" s="570"/>
      <c r="H283" s="1670"/>
      <c r="I283" s="821"/>
      <c r="J283" s="741"/>
      <c r="K283" s="1670"/>
      <c r="L283" s="384"/>
      <c r="M283" s="511"/>
      <c r="N283" s="504"/>
      <c r="O283" s="1794"/>
      <c r="P283" s="1794"/>
      <c r="AH283" s="1801">
        <v>0</v>
      </c>
    </row>
    <row s="11913" customFormat="1" customHeight="1" ht="45" hidden="1">
      <c r="A284" s="1950" t="s">
        <v>181</v>
      </c>
      <c r="B284" s="1950" t="s">
        <v>182</v>
      </c>
      <c r="C284" s="539"/>
      <c r="D284" s="2632"/>
      <c r="E284" s="2374"/>
      <c r="F284" s="2553" t="str">
        <f>INDEX(PT_DIFFERENTIATION_VTAR,MATCH(A284,PT_DIFFERENTIATION_VTAR_ID,0))</f>
        <v>Тарифы на теплоноситель, поставляемый теплоснабжающими организациями потребителям, другим теплоснабжающим организациям</v>
      </c>
      <c r="G284" s="2597" t="str">
        <f>INDEX(PT_DIFFERENTIATION_NTAR,MATCH(B284,PT_DIFFERENTIATION_NTAR_ID,0))</f>
        <v>Тариф на теплоноситель, поставляемый потребителям</v>
      </c>
      <c r="H284" s="2032"/>
      <c r="I284" s="1909"/>
      <c r="J284" s="1943"/>
      <c r="K284" s="1948"/>
      <c r="L284" s="2032" t="s">
        <v>318</v>
      </c>
      <c r="M284" s="511"/>
      <c r="N284" s="504"/>
      <c r="O284" s="1794"/>
      <c r="P284" s="1794"/>
      <c r="AH284" s="1801">
        <v>0</v>
      </c>
    </row>
    <row s="11913" customFormat="1" customHeight="1" ht="18.75" hidden="1">
      <c r="A285" s="1950"/>
      <c r="B285" s="1950"/>
      <c r="C285" s="539" t="s">
        <v>1171</v>
      </c>
      <c r="D285" s="2632"/>
      <c r="E285" s="2374"/>
      <c r="F285" s="2553"/>
      <c r="G285" s="2597"/>
      <c r="H285" s="1670"/>
      <c r="I285" s="821" t="s">
        <v>1170</v>
      </c>
      <c r="J285" s="741"/>
      <c r="K285" s="1670"/>
      <c r="L285" s="384"/>
      <c r="M285" s="511"/>
      <c r="N285" s="504"/>
      <c r="O285" s="1794"/>
      <c r="P285" s="1794"/>
      <c r="AH285" s="1801">
        <v>0</v>
      </c>
    </row>
    <row s="11913" customFormat="1" customHeight="1" ht="0.75" hidden="1">
      <c r="A286" s="1950"/>
      <c r="B286" s="1950"/>
      <c r="C286" s="539" t="s">
        <v>1179</v>
      </c>
      <c r="D286" s="2632"/>
      <c r="E286" s="2374"/>
      <c r="F286" s="2553"/>
      <c r="G286" s="570"/>
      <c r="H286" s="1670"/>
      <c r="I286" s="821"/>
      <c r="J286" s="741"/>
      <c r="K286" s="1670"/>
      <c r="L286" s="384"/>
      <c r="M286" s="511"/>
      <c r="N286" s="504"/>
      <c r="O286" s="1794"/>
      <c r="P286" s="1794"/>
      <c r="AH286" s="1801">
        <v>0</v>
      </c>
    </row>
    <row s="11913" customFormat="1" customHeight="1" ht="45" hidden="1">
      <c r="A287" s="1950" t="s">
        <v>187</v>
      </c>
      <c r="B287" s="1950" t="s">
        <v>188</v>
      </c>
      <c r="C287" s="539"/>
      <c r="D287" s="2632"/>
      <c r="E287" s="2374"/>
      <c r="F287" s="2553" t="str">
        <f>INDEX(PT_DIFFERENTIATION_VTAR,MATCH(A287,PT_DIFFERENTIATION_VTAR_ID,0))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7" s="2597" t="str">
        <f>INDEX(PT_DIFFERENTIATION_NTAR,MATCH(B287,PT_DIFFERENTIATION_NTAR_ID,0))</f>
        <v/>
      </c>
      <c r="H287" s="2032"/>
      <c r="I287" s="1909"/>
      <c r="J287" s="1943"/>
      <c r="K287" s="1948"/>
      <c r="L287" s="2032" t="s">
        <v>318</v>
      </c>
      <c r="M287" s="511"/>
      <c r="N287" s="504"/>
      <c r="O287" s="1794"/>
      <c r="P287" s="1794"/>
      <c r="AH287" s="1801">
        <v>0</v>
      </c>
    </row>
    <row s="11913" customFormat="1" customHeight="1" ht="18.75" hidden="1">
      <c r="A288" s="1950"/>
      <c r="B288" s="1950"/>
      <c r="C288" s="539" t="s">
        <v>1171</v>
      </c>
      <c r="D288" s="2632"/>
      <c r="E288" s="2374"/>
      <c r="F288" s="2553"/>
      <c r="G288" s="2597"/>
      <c r="H288" s="1670"/>
      <c r="I288" s="821" t="s">
        <v>1170</v>
      </c>
      <c r="J288" s="741"/>
      <c r="K288" s="1670"/>
      <c r="L288" s="384"/>
      <c r="M288" s="511"/>
      <c r="N288" s="504"/>
      <c r="O288" s="1794"/>
      <c r="P288" s="1794"/>
      <c r="AH288" s="1801">
        <v>0</v>
      </c>
    </row>
    <row s="11913" customFormat="1" customHeight="1" ht="0.75" hidden="1">
      <c r="A289" s="1950"/>
      <c r="B289" s="1950"/>
      <c r="C289" s="539" t="s">
        <v>1179</v>
      </c>
      <c r="D289" s="2632"/>
      <c r="E289" s="2374"/>
      <c r="F289" s="2553"/>
      <c r="G289" s="570"/>
      <c r="H289" s="1670"/>
      <c r="I289" s="821"/>
      <c r="J289" s="741"/>
      <c r="K289" s="1670"/>
      <c r="L289" s="384"/>
      <c r="M289" s="511"/>
      <c r="N289" s="504"/>
      <c r="O289" s="1794"/>
      <c r="P289" s="1794"/>
      <c r="AH289" s="1801">
        <v>0</v>
      </c>
    </row>
    <row s="11913" customFormat="1" customHeight="1" ht="18.75" hidden="1">
      <c r="A290" s="1950" t="s">
        <v>193</v>
      </c>
      <c r="B290" s="1950" t="s">
        <v>194</v>
      </c>
      <c r="C290" s="539"/>
      <c r="D290" s="2632"/>
      <c r="E290" s="2374"/>
      <c r="F290" s="2553" t="str">
        <f>INDEX(PT_DIFFERENTIATION_VTAR,MATCH(A290,PT_DIFFERENTIATION_VTAR_ID,0))</f>
        <v>Тарифы на услуги по передаче тепловой энергии</v>
      </c>
      <c r="G290" s="2597" t="str">
        <f>INDEX(PT_DIFFERENTIATION_NTAR,MATCH(B290,PT_DIFFERENTIATION_NTAR_ID,0))</f>
        <v/>
      </c>
      <c r="H290" s="2032"/>
      <c r="I290" s="1909"/>
      <c r="J290" s="1943"/>
      <c r="K290" s="1948"/>
      <c r="L290" s="2032" t="s">
        <v>318</v>
      </c>
      <c r="M290" s="511"/>
      <c r="N290" s="504"/>
      <c r="O290" s="1794"/>
      <c r="P290" s="1794"/>
      <c r="AH290" s="1801">
        <v>0</v>
      </c>
    </row>
    <row s="11913" customFormat="1" customHeight="1" ht="18.75" hidden="1">
      <c r="A291" s="1950"/>
      <c r="B291" s="1950"/>
      <c r="C291" s="539" t="s">
        <v>1171</v>
      </c>
      <c r="D291" s="2632"/>
      <c r="E291" s="2374"/>
      <c r="F291" s="2553"/>
      <c r="G291" s="2597"/>
      <c r="H291" s="1670"/>
      <c r="I291" s="821" t="s">
        <v>1170</v>
      </c>
      <c r="J291" s="741"/>
      <c r="K291" s="1670"/>
      <c r="L291" s="384"/>
      <c r="M291" s="511"/>
      <c r="N291" s="504"/>
      <c r="O291" s="1794"/>
      <c r="P291" s="1794"/>
      <c r="AH291" s="1801">
        <v>0</v>
      </c>
    </row>
    <row s="11913" customFormat="1" customHeight="1" ht="0.75" hidden="1">
      <c r="A292" s="1950"/>
      <c r="B292" s="1950"/>
      <c r="C292" s="539" t="s">
        <v>1179</v>
      </c>
      <c r="D292" s="2632"/>
      <c r="E292" s="2374"/>
      <c r="F292" s="2553"/>
      <c r="G292" s="570"/>
      <c r="H292" s="1670"/>
      <c r="I292" s="821"/>
      <c r="J292" s="741"/>
      <c r="K292" s="1670"/>
      <c r="L292" s="384"/>
      <c r="M292" s="511"/>
      <c r="N292" s="504"/>
      <c r="O292" s="1794"/>
      <c r="P292" s="1794"/>
      <c r="AH292" s="1801">
        <v>0</v>
      </c>
    </row>
    <row s="11913" customFormat="1" customHeight="1" ht="18.75" hidden="1">
      <c r="A293" s="1950" t="s">
        <v>199</v>
      </c>
      <c r="B293" s="1950" t="s">
        <v>200</v>
      </c>
      <c r="C293" s="539"/>
      <c r="D293" s="2632"/>
      <c r="E293" s="2374"/>
      <c r="F293" s="2553" t="str">
        <f>INDEX(PT_DIFFERENTIATION_VTAR,MATCH(A293,PT_DIFFERENTIATION_VTAR_ID,0))</f>
        <v>Тарифы на услуги по передаче теплоносителя</v>
      </c>
      <c r="G293" s="2597" t="str">
        <f>INDEX(PT_DIFFERENTIATION_NTAR,MATCH(B293,PT_DIFFERENTIATION_NTAR_ID,0))</f>
        <v/>
      </c>
      <c r="H293" s="2032"/>
      <c r="I293" s="1909"/>
      <c r="J293" s="1943"/>
      <c r="K293" s="1948"/>
      <c r="L293" s="2032" t="s">
        <v>318</v>
      </c>
      <c r="M293" s="511"/>
      <c r="N293" s="504"/>
      <c r="O293" s="1794"/>
      <c r="P293" s="1794"/>
      <c r="AH293" s="1801">
        <v>0</v>
      </c>
    </row>
    <row s="11913" customFormat="1" customHeight="1" ht="18.75" hidden="1">
      <c r="A294" s="1950"/>
      <c r="B294" s="1950"/>
      <c r="C294" s="539" t="s">
        <v>1171</v>
      </c>
      <c r="D294" s="2632"/>
      <c r="E294" s="2374"/>
      <c r="F294" s="2553"/>
      <c r="G294" s="2597"/>
      <c r="H294" s="1670"/>
      <c r="I294" s="821" t="s">
        <v>1170</v>
      </c>
      <c r="J294" s="741"/>
      <c r="K294" s="1670"/>
      <c r="L294" s="384"/>
      <c r="M294" s="511"/>
      <c r="N294" s="504"/>
      <c r="O294" s="1794"/>
      <c r="P294" s="1794"/>
      <c r="AH294" s="1801">
        <v>0</v>
      </c>
    </row>
    <row s="11913" customFormat="1" customHeight="1" ht="0.75" hidden="1">
      <c r="A295" s="1950"/>
      <c r="B295" s="1950"/>
      <c r="C295" s="539" t="s">
        <v>1179</v>
      </c>
      <c r="D295" s="2632"/>
      <c r="E295" s="2374"/>
      <c r="F295" s="2553"/>
      <c r="G295" s="570"/>
      <c r="H295" s="1670"/>
      <c r="I295" s="821"/>
      <c r="J295" s="741"/>
      <c r="K295" s="1670"/>
      <c r="L295" s="384"/>
      <c r="M295" s="511"/>
      <c r="N295" s="504"/>
      <c r="O295" s="1794"/>
      <c r="P295" s="1794"/>
      <c r="AH295" s="1801">
        <v>0</v>
      </c>
    </row>
    <row s="11913" customFormat="1" customHeight="1" ht="18.75" hidden="1">
      <c r="A296" s="1950" t="s">
        <v>205</v>
      </c>
      <c r="B296" s="1950" t="s">
        <v>206</v>
      </c>
      <c r="C296" s="539"/>
      <c r="D296" s="2632"/>
      <c r="E296" s="2374"/>
      <c r="F296" s="2553" t="str">
        <f>INDEX(PT_DIFFERENTIATION_VTAR,MATCH(A296,PT_DIFFERENTIATION_VTAR_ID,0))</f>
        <v>Плата за услуги по поддержанию резервной тепловой мощности при отсутствии потребления тепловой энергии</v>
      </c>
      <c r="G296" s="2597" t="str">
        <f>INDEX(PT_DIFFERENTIATION_NTAR,MATCH(B296,PT_DIFFERENTIATION_NTAR_ID,0))</f>
        <v/>
      </c>
      <c r="H296" s="2032"/>
      <c r="I296" s="1909"/>
      <c r="J296" s="1943"/>
      <c r="K296" s="1948"/>
      <c r="L296" s="2032" t="s">
        <v>318</v>
      </c>
      <c r="M296" s="511"/>
      <c r="N296" s="504"/>
      <c r="O296" s="1794"/>
      <c r="P296" s="1794"/>
      <c r="AH296" s="1801">
        <v>0</v>
      </c>
    </row>
    <row s="11913" customFormat="1" customHeight="1" ht="18.75" hidden="1">
      <c r="A297" s="1950"/>
      <c r="B297" s="1950"/>
      <c r="C297" s="539" t="s">
        <v>1171</v>
      </c>
      <c r="D297" s="2632"/>
      <c r="E297" s="2374"/>
      <c r="F297" s="2553"/>
      <c r="G297" s="2597"/>
      <c r="H297" s="1670"/>
      <c r="I297" s="821" t="s">
        <v>1170</v>
      </c>
      <c r="J297" s="741"/>
      <c r="K297" s="1670"/>
      <c r="L297" s="384"/>
      <c r="M297" s="511"/>
      <c r="N297" s="504"/>
      <c r="O297" s="1794"/>
      <c r="P297" s="1794"/>
      <c r="AH297" s="1801">
        <v>0</v>
      </c>
    </row>
    <row s="11913" customFormat="1" customHeight="1" ht="0.75" hidden="1">
      <c r="A298" s="1950"/>
      <c r="B298" s="1950"/>
      <c r="C298" s="539" t="s">
        <v>1179</v>
      </c>
      <c r="D298" s="2632"/>
      <c r="E298" s="2374"/>
      <c r="F298" s="2553"/>
      <c r="G298" s="570"/>
      <c r="H298" s="1670"/>
      <c r="I298" s="821"/>
      <c r="J298" s="741"/>
      <c r="K298" s="1670"/>
      <c r="L298" s="384"/>
      <c r="M298" s="511"/>
      <c r="N298" s="504"/>
      <c r="O298" s="1794"/>
      <c r="P298" s="1794"/>
      <c r="AH298" s="1801">
        <v>0</v>
      </c>
    </row>
    <row s="11913" customFormat="1" customHeight="1" ht="18.75" hidden="1">
      <c r="A299" s="1950" t="s">
        <v>211</v>
      </c>
      <c r="B299" s="1950" t="s">
        <v>212</v>
      </c>
      <c r="C299" s="539"/>
      <c r="D299" s="2632"/>
      <c r="E299" s="2374"/>
      <c r="F299" s="2553" t="str">
        <f>INDEX(PT_DIFFERENTIATION_VTAR,MATCH(A299,PT_DIFFERENTIATION_VTAR_ID,0))</f>
        <v>Плата за подключение (технологическое присоединение) к системе теплоснабжения</v>
      </c>
      <c r="G299" s="2597" t="str">
        <f>INDEX(PT_DIFFERENTIATION_NTAR,MATCH(B299,PT_DIFFERENTIATION_NTAR_ID,0))</f>
        <v/>
      </c>
      <c r="H299" s="2032"/>
      <c r="I299" s="1909"/>
      <c r="J299" s="1943"/>
      <c r="K299" s="1948"/>
      <c r="L299" s="2032" t="s">
        <v>318</v>
      </c>
      <c r="M299" s="511"/>
      <c r="N299" s="504"/>
      <c r="O299" s="1794"/>
      <c r="P299" s="1794"/>
      <c r="AH299" s="1801">
        <v>0</v>
      </c>
    </row>
    <row s="11913" customFormat="1" customHeight="1" ht="18.75" hidden="1">
      <c r="A300" s="1950"/>
      <c r="B300" s="1950"/>
      <c r="C300" s="539" t="s">
        <v>1171</v>
      </c>
      <c r="D300" s="2632"/>
      <c r="E300" s="2374"/>
      <c r="F300" s="2553"/>
      <c r="G300" s="2597"/>
      <c r="H300" s="1670"/>
      <c r="I300" s="821" t="s">
        <v>1170</v>
      </c>
      <c r="J300" s="741"/>
      <c r="K300" s="1670"/>
      <c r="L300" s="384"/>
      <c r="M300" s="511"/>
      <c r="N300" s="504"/>
      <c r="O300" s="1794"/>
      <c r="P300" s="1794"/>
      <c r="AH300" s="1801">
        <v>0</v>
      </c>
    </row>
    <row s="15092" customFormat="1" customHeight="1" ht="18.75">
      <c r="A301" s="7075" t="s">
        <v>211</v>
      </c>
      <c r="B301" s="7075" t="s">
        <v>1176</v>
      </c>
      <c r="C301" s="7076"/>
      <c r="D301" s="7077"/>
      <c r="E301" s="7078"/>
      <c r="F301" s="7078"/>
      <c r="G301" s="7079">
        <f>INDEX(PT_DIFFERENTIATION_NTAR,MATCH(B301,PT_DIFFERENTIATION_NTAR_ID,0))</f>
      </c>
      <c r="H301" s="7080"/>
      <c r="I301" s="7081"/>
      <c r="J301" s="7082"/>
      <c r="K301" s="7094"/>
      <c r="L301" s="7080" t="s">
        <v>318</v>
      </c>
      <c r="M301" s="7084"/>
      <c r="N301" s="7085"/>
      <c r="O301" s="3984"/>
      <c r="P301" s="3984"/>
      <c r="Q301" s="3985"/>
      <c r="R301" s="3985"/>
      <c r="S301" s="3985"/>
      <c r="T301" s="3985"/>
      <c r="U301" s="3985"/>
      <c r="V301" s="3985"/>
      <c r="W301" s="3985"/>
      <c r="X301" s="3985"/>
      <c r="Y301" s="3985"/>
      <c r="Z301" s="3985"/>
      <c r="AA301" s="3985"/>
      <c r="AB301" s="3985"/>
      <c r="AC301" s="3985"/>
      <c r="AD301" s="3985"/>
      <c r="AE301" s="3985"/>
      <c r="AF301" s="3985"/>
      <c r="AG301" s="3985"/>
      <c r="AH301" s="3985">
        <v>0</v>
      </c>
    </row>
    <row s="15092" customFormat="1" customHeight="1" ht="18.75">
      <c r="A302" s="7075"/>
      <c r="B302" s="7075"/>
      <c r="C302" s="7076" t="s">
        <v>1171</v>
      </c>
      <c r="D302" s="7077"/>
      <c r="E302" s="7078"/>
      <c r="F302" s="7078"/>
      <c r="G302" s="7079"/>
      <c r="H302" s="7110"/>
      <c r="I302" s="7111" t="s">
        <v>1170</v>
      </c>
      <c r="J302" s="7112"/>
      <c r="K302" s="7113"/>
      <c r="L302" s="7114"/>
      <c r="M302" s="7084"/>
      <c r="N302" s="7085"/>
      <c r="O302" s="3984"/>
      <c r="P302" s="3984"/>
      <c r="Q302" s="3985"/>
      <c r="R302" s="3985"/>
      <c r="S302" s="3985"/>
      <c r="T302" s="3985"/>
      <c r="U302" s="3985"/>
      <c r="V302" s="3985"/>
      <c r="W302" s="3985"/>
      <c r="X302" s="3985"/>
      <c r="Y302" s="3985"/>
      <c r="Z302" s="3985"/>
      <c r="AA302" s="3985"/>
      <c r="AB302" s="3985"/>
      <c r="AC302" s="3985"/>
      <c r="AD302" s="3985"/>
      <c r="AE302" s="3985"/>
      <c r="AF302" s="3985"/>
      <c r="AG302" s="3985"/>
      <c r="AH302" s="3985">
        <v>0</v>
      </c>
    </row>
    <row s="11913" customFormat="1" customHeight="1" ht="0.75" hidden="1">
      <c r="A303" s="1950"/>
      <c r="B303" s="1950"/>
      <c r="C303" s="539" t="s">
        <v>1179</v>
      </c>
      <c r="D303" s="2632"/>
      <c r="E303" s="2374"/>
      <c r="F303" s="2553"/>
      <c r="G303" s="570"/>
      <c r="H303" s="1670"/>
      <c r="I303" s="821"/>
      <c r="J303" s="741"/>
      <c r="K303" s="1670"/>
      <c r="L303" s="384"/>
      <c r="M303" s="511"/>
      <c r="N303" s="504"/>
      <c r="O303" s="1794"/>
      <c r="P303" s="1794"/>
      <c r="AH303" s="1801">
        <v>0</v>
      </c>
    </row>
    <row s="11913" customFormat="1" customHeight="1" ht="18.75" hidden="1">
      <c r="A304" s="1950" t="s">
        <v>217</v>
      </c>
      <c r="B304" s="1950" t="s">
        <v>218</v>
      </c>
      <c r="C304" s="539"/>
      <c r="D304" s="2632"/>
      <c r="E304" s="2374"/>
      <c r="F304" s="2553" t="str">
        <f>INDEX(PT_DIFFERENTIATION_VTAR,MATCH(A304,PT_DIFFERENTIATION_VTAR_ID,0))</f>
        <v>Плата за подключение (технологическое присоединение) к системе теплоснабжения (индивидуальная)</v>
      </c>
      <c r="G304" s="2597" t="str">
        <f>INDEX(PT_DIFFERENTIATION_NTAR,MATCH(B304,PT_DIFFERENTIATION_NTAR_ID,0))</f>
        <v/>
      </c>
      <c r="H304" s="2159"/>
      <c r="I304" s="1909"/>
      <c r="J304" s="1943"/>
      <c r="K304" s="1948"/>
      <c r="L304" s="2159" t="s">
        <v>318</v>
      </c>
      <c r="M304" s="511"/>
      <c r="N304" s="504"/>
      <c r="O304" s="1794"/>
      <c r="P304" s="1794"/>
      <c r="AH304" s="1801">
        <v>0</v>
      </c>
    </row>
    <row s="11913" customFormat="1" customHeight="1" ht="18.75" hidden="1">
      <c r="A305" s="1950"/>
      <c r="B305" s="1950"/>
      <c r="C305" s="539" t="s">
        <v>1171</v>
      </c>
      <c r="D305" s="2632"/>
      <c r="E305" s="2374"/>
      <c r="F305" s="2553"/>
      <c r="G305" s="2597"/>
      <c r="H305" s="1670"/>
      <c r="I305" s="821" t="s">
        <v>1170</v>
      </c>
      <c r="J305" s="741"/>
      <c r="K305" s="1670"/>
      <c r="L305" s="384"/>
      <c r="M305" s="511"/>
      <c r="N305" s="504"/>
      <c r="O305" s="1794"/>
      <c r="P305" s="1794"/>
      <c r="AH305" s="1801">
        <v>0</v>
      </c>
    </row>
    <row s="11913" customFormat="1" customHeight="1" ht="0.75" hidden="1">
      <c r="A306" s="1950"/>
      <c r="B306" s="1950"/>
      <c r="C306" s="539" t="s">
        <v>1179</v>
      </c>
      <c r="D306" s="2632"/>
      <c r="E306" s="2374"/>
      <c r="F306" s="2553"/>
      <c r="G306" s="570"/>
      <c r="H306" s="1670"/>
      <c r="I306" s="821"/>
      <c r="J306" s="741"/>
      <c r="K306" s="1670"/>
      <c r="L306" s="384"/>
      <c r="M306" s="511"/>
      <c r="N306" s="504"/>
      <c r="O306" s="1794"/>
      <c r="P306" s="1794"/>
      <c r="AH306" s="1801">
        <v>0</v>
      </c>
    </row>
    <row s="11913" customFormat="1" customHeight="1" ht="18.75" hidden="1">
      <c r="A307" s="1950" t="s">
        <v>237</v>
      </c>
      <c r="B307" s="1950" t="s">
        <v>238</v>
      </c>
      <c r="C307" s="539"/>
      <c r="D307" s="2632"/>
      <c r="E307" s="2374"/>
      <c r="F307" s="2553" t="str">
        <f>INDEX(PT_DIFFERENTIATION_VTAR,MATCH(A307,PT_DIFFERENTIATION_VTAR_ID,0))</f>
        <v>Тариф на питьевую воду (питьевое водоснабжение)</v>
      </c>
      <c r="G307" s="2597" t="str">
        <f>INDEX(PT_DIFFERENTIATION_NTAR,MATCH(B307,PT_DIFFERENTIATION_NTAR_ID,0))</f>
        <v/>
      </c>
      <c r="H307" s="2032"/>
      <c r="I307" s="1909"/>
      <c r="J307" s="1943"/>
      <c r="K307" s="1948"/>
      <c r="L307" s="2032" t="s">
        <v>318</v>
      </c>
      <c r="M307" s="511"/>
      <c r="N307" s="504"/>
      <c r="O307" s="1794"/>
      <c r="P307" s="1794"/>
      <c r="AH307" s="1801">
        <v>0</v>
      </c>
    </row>
    <row s="11913" customFormat="1" customHeight="1" ht="18.75" hidden="1">
      <c r="A308" s="1950"/>
      <c r="B308" s="1950"/>
      <c r="C308" s="539" t="s">
        <v>1171</v>
      </c>
      <c r="D308" s="2632"/>
      <c r="E308" s="2374"/>
      <c r="F308" s="2553"/>
      <c r="G308" s="2597"/>
      <c r="H308" s="1670"/>
      <c r="I308" s="821" t="s">
        <v>1170</v>
      </c>
      <c r="J308" s="741"/>
      <c r="K308" s="1670"/>
      <c r="L308" s="384"/>
      <c r="M308" s="511"/>
      <c r="N308" s="504"/>
      <c r="O308" s="1794"/>
      <c r="P308" s="1794"/>
      <c r="AH308" s="1801">
        <v>0</v>
      </c>
    </row>
    <row s="11913" customFormat="1" customHeight="1" ht="0.75" hidden="1">
      <c r="A309" s="1950"/>
      <c r="B309" s="1950"/>
      <c r="C309" s="539" t="s">
        <v>1179</v>
      </c>
      <c r="D309" s="2632"/>
      <c r="E309" s="2374"/>
      <c r="F309" s="2553"/>
      <c r="G309" s="570"/>
      <c r="H309" s="1670"/>
      <c r="I309" s="821"/>
      <c r="J309" s="741"/>
      <c r="K309" s="1670"/>
      <c r="L309" s="384"/>
      <c r="M309" s="511"/>
      <c r="N309" s="504"/>
      <c r="O309" s="1794"/>
      <c r="P309" s="1794"/>
      <c r="AH309" s="1801">
        <v>0</v>
      </c>
    </row>
    <row s="11913" customFormat="1" customHeight="1" ht="18.75" hidden="1">
      <c r="A310" s="1950" t="s">
        <v>242</v>
      </c>
      <c r="B310" s="1950" t="s">
        <v>243</v>
      </c>
      <c r="C310" s="539"/>
      <c r="D310" s="2632"/>
      <c r="E310" s="2374"/>
      <c r="F310" s="2553" t="str">
        <f>INDEX(PT_DIFFERENTIATION_VTAR,MATCH(A310,PT_DIFFERENTIATION_VTAR_ID,0))</f>
        <v>Тариф на техническую воду</v>
      </c>
      <c r="G310" s="2597" t="str">
        <f>INDEX(PT_DIFFERENTIATION_NTAR,MATCH(B310,PT_DIFFERENTIATION_NTAR_ID,0))</f>
        <v/>
      </c>
      <c r="H310" s="2032"/>
      <c r="I310" s="1909"/>
      <c r="J310" s="1943"/>
      <c r="K310" s="1948"/>
      <c r="L310" s="2032" t="s">
        <v>318</v>
      </c>
      <c r="M310" s="511"/>
      <c r="N310" s="504"/>
      <c r="O310" s="1794"/>
      <c r="P310" s="1794"/>
      <c r="AH310" s="1801">
        <v>0</v>
      </c>
    </row>
    <row s="11913" customFormat="1" customHeight="1" ht="18.75" hidden="1">
      <c r="A311" s="1950"/>
      <c r="B311" s="1950"/>
      <c r="C311" s="539" t="s">
        <v>1171</v>
      </c>
      <c r="D311" s="2632"/>
      <c r="E311" s="2374"/>
      <c r="F311" s="2553"/>
      <c r="G311" s="2597"/>
      <c r="H311" s="1670"/>
      <c r="I311" s="821" t="s">
        <v>1170</v>
      </c>
      <c r="J311" s="741"/>
      <c r="K311" s="1670"/>
      <c r="L311" s="384"/>
      <c r="M311" s="511"/>
      <c r="N311" s="504"/>
      <c r="O311" s="1794"/>
      <c r="P311" s="1794"/>
      <c r="AH311" s="1801">
        <v>0</v>
      </c>
    </row>
    <row s="11913" customFormat="1" customHeight="1" ht="0.75" hidden="1">
      <c r="A312" s="1950"/>
      <c r="B312" s="1950"/>
      <c r="C312" s="539" t="s">
        <v>1179</v>
      </c>
      <c r="D312" s="2632"/>
      <c r="E312" s="2374"/>
      <c r="F312" s="2553"/>
      <c r="G312" s="570"/>
      <c r="H312" s="1670"/>
      <c r="I312" s="821"/>
      <c r="J312" s="741"/>
      <c r="K312" s="1670"/>
      <c r="L312" s="384"/>
      <c r="M312" s="511"/>
      <c r="N312" s="504"/>
      <c r="O312" s="1794"/>
      <c r="P312" s="1794"/>
      <c r="AH312" s="1801">
        <v>0</v>
      </c>
    </row>
    <row s="11913" customFormat="1" customHeight="1" ht="18.75" hidden="1">
      <c r="A313" s="1950" t="s">
        <v>247</v>
      </c>
      <c r="B313" s="1950" t="s">
        <v>248</v>
      </c>
      <c r="C313" s="539"/>
      <c r="D313" s="2632"/>
      <c r="E313" s="2374"/>
      <c r="F313" s="2553" t="str">
        <f>INDEX(PT_DIFFERENTIATION_VTAR,MATCH(A313,PT_DIFFERENTIATION_VTAR_ID,0))</f>
        <v>Тариф на транспортировку воды</v>
      </c>
      <c r="G313" s="2597" t="str">
        <f>INDEX(PT_DIFFERENTIATION_NTAR,MATCH(B313,PT_DIFFERENTIATION_NTAR_ID,0))</f>
        <v/>
      </c>
      <c r="H313" s="2032"/>
      <c r="I313" s="1909"/>
      <c r="J313" s="1943"/>
      <c r="K313" s="1948"/>
      <c r="L313" s="2032" t="s">
        <v>318</v>
      </c>
      <c r="M313" s="511"/>
      <c r="N313" s="504"/>
      <c r="O313" s="1794"/>
      <c r="P313" s="1794"/>
      <c r="AH313" s="1801">
        <v>0</v>
      </c>
    </row>
    <row s="11913" customFormat="1" customHeight="1" ht="18.75" hidden="1">
      <c r="A314" s="1950"/>
      <c r="B314" s="1950"/>
      <c r="C314" s="539" t="s">
        <v>1171</v>
      </c>
      <c r="D314" s="2632"/>
      <c r="E314" s="2374"/>
      <c r="F314" s="2553"/>
      <c r="G314" s="2597"/>
      <c r="H314" s="1670"/>
      <c r="I314" s="821" t="s">
        <v>1170</v>
      </c>
      <c r="J314" s="741"/>
      <c r="K314" s="1670"/>
      <c r="L314" s="384"/>
      <c r="M314" s="511"/>
      <c r="N314" s="504"/>
      <c r="O314" s="1794"/>
      <c r="P314" s="1794"/>
      <c r="AH314" s="1801">
        <v>0</v>
      </c>
    </row>
    <row s="11913" customFormat="1" customHeight="1" ht="0.75" hidden="1">
      <c r="A315" s="1950"/>
      <c r="B315" s="1950"/>
      <c r="C315" s="539" t="s">
        <v>1179</v>
      </c>
      <c r="D315" s="2632"/>
      <c r="E315" s="2374"/>
      <c r="F315" s="2553"/>
      <c r="G315" s="570"/>
      <c r="H315" s="1670"/>
      <c r="I315" s="821"/>
      <c r="J315" s="741"/>
      <c r="K315" s="1670"/>
      <c r="L315" s="384"/>
      <c r="M315" s="511"/>
      <c r="N315" s="504"/>
      <c r="O315" s="1794"/>
      <c r="P315" s="1794"/>
      <c r="AH315" s="1801">
        <v>0</v>
      </c>
    </row>
    <row s="11913" customFormat="1" customHeight="1" ht="18.75" hidden="1">
      <c r="A316" s="1950" t="s">
        <v>252</v>
      </c>
      <c r="B316" s="1950" t="s">
        <v>253</v>
      </c>
      <c r="C316" s="539"/>
      <c r="D316" s="2632"/>
      <c r="E316" s="2374"/>
      <c r="F316" s="2553" t="str">
        <f>INDEX(PT_DIFFERENTIATION_VTAR,MATCH(A316,PT_DIFFERENTIATION_VTAR_ID,0))</f>
        <v>Тариф на подвоз воды</v>
      </c>
      <c r="G316" s="2597" t="str">
        <f>INDEX(PT_DIFFERENTIATION_NTAR,MATCH(B316,PT_DIFFERENTIATION_NTAR_ID,0))</f>
        <v/>
      </c>
      <c r="H316" s="2032"/>
      <c r="I316" s="1909"/>
      <c r="J316" s="1943"/>
      <c r="K316" s="1948"/>
      <c r="L316" s="2032" t="s">
        <v>318</v>
      </c>
      <c r="M316" s="511"/>
      <c r="N316" s="504"/>
      <c r="O316" s="1794"/>
      <c r="P316" s="1794"/>
      <c r="AH316" s="1801">
        <v>0</v>
      </c>
    </row>
    <row s="11913" customFormat="1" customHeight="1" ht="18.75" hidden="1">
      <c r="A317" s="1950"/>
      <c r="B317" s="1950"/>
      <c r="C317" s="539" t="s">
        <v>1171</v>
      </c>
      <c r="D317" s="2632"/>
      <c r="E317" s="2374"/>
      <c r="F317" s="2553"/>
      <c r="G317" s="2597"/>
      <c r="H317" s="1670"/>
      <c r="I317" s="821" t="s">
        <v>1170</v>
      </c>
      <c r="J317" s="741"/>
      <c r="K317" s="1670"/>
      <c r="L317" s="384"/>
      <c r="M317" s="511"/>
      <c r="N317" s="504"/>
      <c r="O317" s="1794"/>
      <c r="P317" s="1794"/>
      <c r="AH317" s="1801">
        <v>0</v>
      </c>
    </row>
    <row s="11913" customFormat="1" customHeight="1" ht="0.75" hidden="1">
      <c r="A318" s="1950"/>
      <c r="B318" s="1950"/>
      <c r="C318" s="539" t="s">
        <v>1179</v>
      </c>
      <c r="D318" s="2632"/>
      <c r="E318" s="2374"/>
      <c r="F318" s="2553"/>
      <c r="G318" s="570"/>
      <c r="H318" s="1670"/>
      <c r="I318" s="821"/>
      <c r="J318" s="741"/>
      <c r="K318" s="1670"/>
      <c r="L318" s="384"/>
      <c r="M318" s="511"/>
      <c r="N318" s="504"/>
      <c r="O318" s="1794"/>
      <c r="P318" s="1794"/>
      <c r="AH318" s="1801">
        <v>0</v>
      </c>
    </row>
    <row s="11913" customFormat="1" customHeight="1" ht="18.75" hidden="1">
      <c r="A319" s="1950" t="s">
        <v>257</v>
      </c>
      <c r="B319" s="1950" t="s">
        <v>258</v>
      </c>
      <c r="C319" s="539"/>
      <c r="D319" s="2632"/>
      <c r="E319" s="2374"/>
      <c r="F319" s="2553" t="str">
        <f>INDEX(PT_DIFFERENTIATION_VTAR,MATCH(A319,PT_DIFFERENTIATION_VTAR_ID,0))</f>
        <v>Тариф на подключение (технологическое присоединение) к централизованной системе холодного водоснабжения</v>
      </c>
      <c r="G319" s="2597" t="str">
        <f>INDEX(PT_DIFFERENTIATION_NTAR,MATCH(B319,PT_DIFFERENTIATION_NTAR_ID,0))</f>
        <v/>
      </c>
      <c r="H319" s="2032"/>
      <c r="I319" s="1909"/>
      <c r="J319" s="1943"/>
      <c r="K319" s="1948"/>
      <c r="L319" s="2032" t="s">
        <v>318</v>
      </c>
      <c r="M319" s="511"/>
      <c r="N319" s="504"/>
      <c r="O319" s="1794"/>
      <c r="P319" s="1794"/>
      <c r="AH319" s="1801">
        <v>0</v>
      </c>
    </row>
    <row s="11913" customFormat="1" customHeight="1" ht="18.75" hidden="1">
      <c r="A320" s="1950"/>
      <c r="B320" s="1950"/>
      <c r="C320" s="539" t="s">
        <v>1171</v>
      </c>
      <c r="D320" s="2632"/>
      <c r="E320" s="2374"/>
      <c r="F320" s="2553"/>
      <c r="G320" s="2597"/>
      <c r="H320" s="1670"/>
      <c r="I320" s="821" t="s">
        <v>1170</v>
      </c>
      <c r="J320" s="741"/>
      <c r="K320" s="1670"/>
      <c r="L320" s="384"/>
      <c r="M320" s="511"/>
      <c r="N320" s="504"/>
      <c r="O320" s="1794"/>
      <c r="P320" s="1794"/>
      <c r="AH320" s="1801">
        <v>0</v>
      </c>
    </row>
    <row s="11913" customFormat="1" customHeight="1" ht="0.75" hidden="1">
      <c r="A321" s="1950"/>
      <c r="B321" s="1950"/>
      <c r="C321" s="539" t="s">
        <v>1179</v>
      </c>
      <c r="D321" s="2632"/>
      <c r="E321" s="2374"/>
      <c r="F321" s="2553"/>
      <c r="G321" s="570"/>
      <c r="H321" s="1670"/>
      <c r="I321" s="821"/>
      <c r="J321" s="741"/>
      <c r="K321" s="1670"/>
      <c r="L321" s="384"/>
      <c r="M321" s="511"/>
      <c r="N321" s="504"/>
      <c r="O321" s="1794"/>
      <c r="P321" s="1794"/>
      <c r="AH321" s="1801">
        <v>0</v>
      </c>
    </row>
    <row s="11913" customFormat="1" customHeight="1" ht="18.75" hidden="1">
      <c r="A322" s="1950" t="s">
        <v>262</v>
      </c>
      <c r="B322" s="1950" t="s">
        <v>263</v>
      </c>
      <c r="C322" s="539"/>
      <c r="D322" s="2632"/>
      <c r="E322" s="2374"/>
      <c r="F322" s="2553" t="str">
        <f>INDEX(PT_DIFFERENTIATION_VTAR,MATCH(A322,PT_DIFFERENTIATION_VTAR_ID,0))</f>
        <v>Тариф на горячую воду (горячее водоснабжение)</v>
      </c>
      <c r="G322" s="2597" t="str">
        <f>INDEX(PT_DIFFERENTIATION_NTAR,MATCH(B322,PT_DIFFERENTIATION_NTAR_ID,0))</f>
        <v/>
      </c>
      <c r="H322" s="2032"/>
      <c r="I322" s="1909"/>
      <c r="J322" s="1943"/>
      <c r="K322" s="1948"/>
      <c r="L322" s="2032" t="s">
        <v>318</v>
      </c>
      <c r="M322" s="511"/>
      <c r="N322" s="504"/>
      <c r="O322" s="1794"/>
      <c r="P322" s="1794"/>
      <c r="AH322" s="1801">
        <v>0</v>
      </c>
    </row>
    <row s="11913" customFormat="1" customHeight="1" ht="18.75" hidden="1">
      <c r="A323" s="1950"/>
      <c r="B323" s="1950"/>
      <c r="C323" s="539" t="s">
        <v>1171</v>
      </c>
      <c r="D323" s="2632"/>
      <c r="E323" s="2374"/>
      <c r="F323" s="2553"/>
      <c r="G323" s="2597"/>
      <c r="H323" s="1670"/>
      <c r="I323" s="821" t="s">
        <v>1170</v>
      </c>
      <c r="J323" s="741"/>
      <c r="K323" s="1670"/>
      <c r="L323" s="384"/>
      <c r="M323" s="511"/>
      <c r="N323" s="504"/>
      <c r="O323" s="1794"/>
      <c r="P323" s="1794"/>
      <c r="AH323" s="1801">
        <v>0</v>
      </c>
    </row>
    <row s="11913" customFormat="1" customHeight="1" ht="0.75" hidden="1">
      <c r="A324" s="1950"/>
      <c r="B324" s="1950"/>
      <c r="C324" s="539" t="s">
        <v>1179</v>
      </c>
      <c r="D324" s="2632"/>
      <c r="E324" s="2374"/>
      <c r="F324" s="2553"/>
      <c r="G324" s="570"/>
      <c r="H324" s="1670"/>
      <c r="I324" s="821"/>
      <c r="J324" s="741"/>
      <c r="K324" s="1670"/>
      <c r="L324" s="384"/>
      <c r="M324" s="511"/>
      <c r="N324" s="504"/>
      <c r="O324" s="1794"/>
      <c r="P324" s="1794"/>
      <c r="AH324" s="1801">
        <v>0</v>
      </c>
    </row>
    <row s="11913" customFormat="1" customHeight="1" ht="18.75" hidden="1">
      <c r="A325" s="1950" t="s">
        <v>267</v>
      </c>
      <c r="B325" s="1950" t="s">
        <v>268</v>
      </c>
      <c r="C325" s="539"/>
      <c r="D325" s="2632"/>
      <c r="E325" s="2374"/>
      <c r="F325" s="2553" t="str">
        <f>INDEX(PT_DIFFERENTIATION_VTAR,MATCH(A325,PT_DIFFERENTIATION_VTAR_ID,0))</f>
        <v>Тариф на транспортировку горячей воды</v>
      </c>
      <c r="G325" s="2597" t="str">
        <f>INDEX(PT_DIFFERENTIATION_NTAR,MATCH(B325,PT_DIFFERENTIATION_NTAR_ID,0))</f>
        <v/>
      </c>
      <c r="H325" s="2032"/>
      <c r="I325" s="1909"/>
      <c r="J325" s="1943"/>
      <c r="K325" s="1948"/>
      <c r="L325" s="2032" t="s">
        <v>318</v>
      </c>
      <c r="M325" s="511"/>
      <c r="N325" s="504"/>
      <c r="O325" s="1794"/>
      <c r="P325" s="1794"/>
      <c r="AH325" s="1801">
        <v>0</v>
      </c>
    </row>
    <row s="11913" customFormat="1" customHeight="1" ht="18.75" hidden="1">
      <c r="A326" s="1950"/>
      <c r="B326" s="1950"/>
      <c r="C326" s="539" t="s">
        <v>1171</v>
      </c>
      <c r="D326" s="2632"/>
      <c r="E326" s="2374"/>
      <c r="F326" s="2553"/>
      <c r="G326" s="2597"/>
      <c r="H326" s="1670"/>
      <c r="I326" s="821" t="s">
        <v>1170</v>
      </c>
      <c r="J326" s="741"/>
      <c r="K326" s="1670"/>
      <c r="L326" s="384"/>
      <c r="M326" s="511"/>
      <c r="N326" s="504"/>
      <c r="O326" s="1794"/>
      <c r="P326" s="1794"/>
      <c r="AH326" s="1801">
        <v>0</v>
      </c>
    </row>
    <row s="11913" customFormat="1" customHeight="1" ht="0.75" hidden="1">
      <c r="A327" s="1950"/>
      <c r="B327" s="1950"/>
      <c r="C327" s="539" t="s">
        <v>1179</v>
      </c>
      <c r="D327" s="2632"/>
      <c r="E327" s="2374"/>
      <c r="F327" s="2553"/>
      <c r="G327" s="570"/>
      <c r="H327" s="1670"/>
      <c r="I327" s="821"/>
      <c r="J327" s="741"/>
      <c r="K327" s="1670"/>
      <c r="L327" s="384"/>
      <c r="M327" s="511"/>
      <c r="N327" s="504"/>
      <c r="O327" s="1794"/>
      <c r="P327" s="1794"/>
      <c r="AH327" s="1801">
        <v>0</v>
      </c>
    </row>
    <row s="11913" customFormat="1" customHeight="1" ht="18.75" hidden="1">
      <c r="A328" s="1950" t="s">
        <v>272</v>
      </c>
      <c r="B328" s="1950" t="s">
        <v>273</v>
      </c>
      <c r="C328" s="539"/>
      <c r="D328" s="2632"/>
      <c r="E328" s="2374"/>
      <c r="F328" s="2553" t="str">
        <f>INDEX(PT_DIFFERENTIATION_VTAR,MATCH(A328,PT_DIFFERENTIATION_VTAR_ID,0))</f>
        <v>Тариф на подключение (технологическое присоединение) к централизованной системе горячего водоснабжения</v>
      </c>
      <c r="G328" s="2597" t="str">
        <f>INDEX(PT_DIFFERENTIATION_NTAR,MATCH(B328,PT_DIFFERENTIATION_NTAR_ID,0))</f>
        <v/>
      </c>
      <c r="H328" s="2032"/>
      <c r="I328" s="1909"/>
      <c r="J328" s="1943"/>
      <c r="K328" s="1948"/>
      <c r="L328" s="2032" t="s">
        <v>318</v>
      </c>
      <c r="M328" s="511"/>
      <c r="N328" s="504"/>
      <c r="O328" s="1794"/>
      <c r="P328" s="1794"/>
      <c r="AH328" s="1801">
        <v>0</v>
      </c>
    </row>
    <row s="11913" customFormat="1" customHeight="1" ht="18.75" hidden="1">
      <c r="A329" s="1950"/>
      <c r="B329" s="1950"/>
      <c r="C329" s="539" t="s">
        <v>1171</v>
      </c>
      <c r="D329" s="2632"/>
      <c r="E329" s="2374"/>
      <c r="F329" s="2553"/>
      <c r="G329" s="2597"/>
      <c r="H329" s="1670"/>
      <c r="I329" s="821" t="s">
        <v>1170</v>
      </c>
      <c r="J329" s="741"/>
      <c r="K329" s="1670"/>
      <c r="L329" s="384"/>
      <c r="M329" s="511"/>
      <c r="N329" s="504"/>
      <c r="O329" s="1794"/>
      <c r="P329" s="1794"/>
      <c r="AH329" s="1801">
        <v>0</v>
      </c>
    </row>
    <row s="11913" customFormat="1" customHeight="1" ht="0.75" hidden="1">
      <c r="A330" s="1950"/>
      <c r="B330" s="1950"/>
      <c r="C330" s="539" t="s">
        <v>1179</v>
      </c>
      <c r="D330" s="2632"/>
      <c r="E330" s="2374"/>
      <c r="F330" s="2553"/>
      <c r="G330" s="570"/>
      <c r="H330" s="1670"/>
      <c r="I330" s="821"/>
      <c r="J330" s="741"/>
      <c r="K330" s="1670"/>
      <c r="L330" s="384"/>
      <c r="M330" s="511"/>
      <c r="N330" s="504"/>
      <c r="O330" s="1794"/>
      <c r="P330" s="1794"/>
      <c r="AH330" s="1801">
        <v>0</v>
      </c>
    </row>
    <row s="11913" customFormat="1" customHeight="1" ht="18.75" hidden="1">
      <c r="A331" s="1950" t="s">
        <v>277</v>
      </c>
      <c r="B331" s="1950" t="s">
        <v>278</v>
      </c>
      <c r="C331" s="539"/>
      <c r="D331" s="2632"/>
      <c r="E331" s="2374"/>
      <c r="F331" s="2553" t="str">
        <f>INDEX(PT_DIFFERENTIATION_VTAR,MATCH(A331,PT_DIFFERENTIATION_VTAR_ID,0))</f>
        <v>Тариф на водоотведение</v>
      </c>
      <c r="G331" s="2597" t="str">
        <f>INDEX(PT_DIFFERENTIATION_NTAR,MATCH(B331,PT_DIFFERENTIATION_NTAR_ID,0))</f>
        <v/>
      </c>
      <c r="H331" s="2032"/>
      <c r="I331" s="1909"/>
      <c r="J331" s="1943"/>
      <c r="K331" s="1948"/>
      <c r="L331" s="2032" t="s">
        <v>318</v>
      </c>
      <c r="M331" s="511"/>
      <c r="N331" s="504"/>
      <c r="O331" s="1794"/>
      <c r="P331" s="1794"/>
      <c r="AH331" s="1801">
        <v>0</v>
      </c>
    </row>
    <row s="11913" customFormat="1" customHeight="1" ht="18.75" hidden="1">
      <c r="A332" s="1950"/>
      <c r="B332" s="1950"/>
      <c r="C332" s="539" t="s">
        <v>1171</v>
      </c>
      <c r="D332" s="2632"/>
      <c r="E332" s="2374"/>
      <c r="F332" s="2553"/>
      <c r="G332" s="2597"/>
      <c r="H332" s="1670"/>
      <c r="I332" s="821" t="s">
        <v>1170</v>
      </c>
      <c r="J332" s="741"/>
      <c r="K332" s="1670"/>
      <c r="L332" s="384"/>
      <c r="M332" s="511"/>
      <c r="N332" s="504"/>
      <c r="O332" s="1794"/>
      <c r="P332" s="1794"/>
      <c r="AH332" s="1801">
        <v>0</v>
      </c>
    </row>
    <row s="11913" customFormat="1" customHeight="1" ht="0.75" hidden="1">
      <c r="A333" s="1950"/>
      <c r="B333" s="1950"/>
      <c r="C333" s="539" t="s">
        <v>1179</v>
      </c>
      <c r="D333" s="2632"/>
      <c r="E333" s="2374"/>
      <c r="F333" s="2553"/>
      <c r="G333" s="570"/>
      <c r="H333" s="1670"/>
      <c r="I333" s="821"/>
      <c r="J333" s="741"/>
      <c r="K333" s="1670"/>
      <c r="L333" s="384"/>
      <c r="M333" s="511"/>
      <c r="N333" s="504"/>
      <c r="O333" s="1794"/>
      <c r="P333" s="1794"/>
      <c r="AH333" s="1801">
        <v>0</v>
      </c>
    </row>
    <row s="11913" customFormat="1" customHeight="1" ht="18.75" hidden="1">
      <c r="A334" s="1950" t="s">
        <v>282</v>
      </c>
      <c r="B334" s="1950" t="s">
        <v>283</v>
      </c>
      <c r="C334" s="539"/>
      <c r="D334" s="2632"/>
      <c r="E334" s="2374"/>
      <c r="F334" s="2553" t="str">
        <f>INDEX(PT_DIFFERENTIATION_VTAR,MATCH(A334,PT_DIFFERENTIATION_VTAR_ID,0))</f>
        <v>Тариф на транспортировку сточных вод</v>
      </c>
      <c r="G334" s="2597" t="str">
        <f>INDEX(PT_DIFFERENTIATION_NTAR,MATCH(B334,PT_DIFFERENTIATION_NTAR_ID,0))</f>
        <v/>
      </c>
      <c r="H334" s="2032"/>
      <c r="I334" s="1909"/>
      <c r="J334" s="1943"/>
      <c r="K334" s="1948"/>
      <c r="L334" s="2032" t="s">
        <v>318</v>
      </c>
      <c r="M334" s="511"/>
      <c r="N334" s="504"/>
      <c r="O334" s="1794"/>
      <c r="P334" s="1794"/>
      <c r="AH334" s="1801">
        <v>0</v>
      </c>
    </row>
    <row s="11913" customFormat="1" customHeight="1" ht="18.75" hidden="1">
      <c r="A335" s="1950"/>
      <c r="B335" s="1950"/>
      <c r="C335" s="539" t="s">
        <v>1171</v>
      </c>
      <c r="D335" s="2632"/>
      <c r="E335" s="2374"/>
      <c r="F335" s="2553"/>
      <c r="G335" s="2597"/>
      <c r="H335" s="1670"/>
      <c r="I335" s="821" t="s">
        <v>1170</v>
      </c>
      <c r="J335" s="741"/>
      <c r="K335" s="1670"/>
      <c r="L335" s="384"/>
      <c r="M335" s="511"/>
      <c r="N335" s="504"/>
      <c r="O335" s="1794"/>
      <c r="P335" s="1794"/>
      <c r="AH335" s="1801">
        <v>0</v>
      </c>
    </row>
    <row s="11913" customFormat="1" customHeight="1" ht="0.75" hidden="1">
      <c r="A336" s="1950"/>
      <c r="B336" s="1950"/>
      <c r="C336" s="539" t="s">
        <v>1179</v>
      </c>
      <c r="D336" s="2632"/>
      <c r="E336" s="2374"/>
      <c r="F336" s="2553"/>
      <c r="G336" s="570"/>
      <c r="H336" s="1670"/>
      <c r="I336" s="821"/>
      <c r="J336" s="741"/>
      <c r="K336" s="1670"/>
      <c r="L336" s="384"/>
      <c r="M336" s="511"/>
      <c r="N336" s="504"/>
      <c r="O336" s="1794"/>
      <c r="P336" s="1794"/>
      <c r="AH336" s="1801">
        <v>0</v>
      </c>
    </row>
    <row s="11913" customFormat="1" customHeight="1" ht="18.75" hidden="1">
      <c r="A337" s="1950" t="s">
        <v>287</v>
      </c>
      <c r="B337" s="1950" t="s">
        <v>288</v>
      </c>
      <c r="C337" s="539"/>
      <c r="D337" s="2632"/>
      <c r="E337" s="2374"/>
      <c r="F337" s="2553" t="str">
        <f>INDEX(PT_DIFFERENTIATION_VTAR,MATCH(A337,PT_DIFFERENTIATION_VTAR_ID,0))</f>
        <v>Тариф на подключение (технологическое присоединение) к централизованной системе водоотведения</v>
      </c>
      <c r="G337" s="2597" t="str">
        <f>INDEX(PT_DIFFERENTIATION_NTAR,MATCH(B337,PT_DIFFERENTIATION_NTAR_ID,0))</f>
        <v/>
      </c>
      <c r="H337" s="2032"/>
      <c r="I337" s="1909"/>
      <c r="J337" s="1943"/>
      <c r="K337" s="1948"/>
      <c r="L337" s="2032" t="s">
        <v>318</v>
      </c>
      <c r="M337" s="511"/>
      <c r="N337" s="504"/>
      <c r="O337" s="1794"/>
      <c r="P337" s="1794"/>
      <c r="AH337" s="1801">
        <v>0</v>
      </c>
    </row>
    <row s="11913" customFormat="1" customHeight="1" ht="18.75" hidden="1">
      <c r="A338" s="1950"/>
      <c r="B338" s="1950"/>
      <c r="C338" s="539" t="s">
        <v>1171</v>
      </c>
      <c r="D338" s="2632"/>
      <c r="E338" s="2374"/>
      <c r="F338" s="2553"/>
      <c r="G338" s="2597"/>
      <c r="H338" s="1670"/>
      <c r="I338" s="821" t="s">
        <v>1170</v>
      </c>
      <c r="J338" s="741"/>
      <c r="K338" s="1670"/>
      <c r="L338" s="384"/>
      <c r="M338" s="511"/>
      <c r="N338" s="504"/>
      <c r="O338" s="1794"/>
      <c r="P338" s="1794"/>
      <c r="AH338" s="1801">
        <v>0</v>
      </c>
    </row>
    <row s="11913" customFormat="1" customHeight="1" ht="1.05">
      <c r="A339" s="1950"/>
      <c r="B339" s="1950"/>
      <c r="C339" s="539" t="s">
        <v>1179</v>
      </c>
      <c r="D339" s="2632"/>
      <c r="E339" s="2374"/>
      <c r="F339" s="2553"/>
      <c r="G339" s="570"/>
      <c r="H339" s="1670"/>
      <c r="I339" s="821"/>
      <c r="J339" s="741"/>
      <c r="K339" s="1670"/>
      <c r="L339" s="384"/>
      <c r="M339" s="511"/>
      <c r="N339" s="504"/>
      <c r="O339" s="1794"/>
      <c r="P339" s="1794"/>
      <c r="AH339" s="1801">
        <v>1</v>
      </c>
    </row>
    <row s="15059" customFormat="1" customHeight="1" ht="3">
      <c r="A340" s="1950"/>
      <c r="B340" s="1950"/>
      <c r="C340" s="1951"/>
      <c r="E340" s="572"/>
      <c r="F340" s="572"/>
      <c r="G340" s="572"/>
      <c r="H340" s="572"/>
      <c r="I340" s="572"/>
      <c r="J340" s="572"/>
      <c r="K340" s="572"/>
      <c r="L340" s="572"/>
      <c r="M340" s="572"/>
      <c r="O340" s="366"/>
      <c r="P340" s="366"/>
      <c r="AH340" s="310">
        <v>3</v>
      </c>
    </row>
    <row customHeight="1" ht="26.25">
      <c r="E341" s="372"/>
      <c r="F341" s="2455"/>
      <c r="G341" s="2455"/>
      <c r="H341" s="2455"/>
      <c r="I341" s="2455"/>
      <c r="J341" s="2455"/>
      <c r="K341" s="2455"/>
      <c r="L341" s="2455"/>
      <c r="M341" s="2455"/>
      <c r="AH341" s="544">
        <v>25</v>
      </c>
    </row>
    <row customHeight="1" ht="14.25" hidden="1">
      <c r="A342" s="1949" t="s">
        <v>85</v>
      </c>
      <c r="B342" s="1949">
        <v>0</v>
      </c>
      <c r="C342" s="539">
        <v>0</v>
      </c>
      <c r="D342" s="514">
        <v>3</v>
      </c>
      <c r="E342" s="544">
        <v>6</v>
      </c>
      <c r="F342" s="544">
        <v>46</v>
      </c>
      <c r="G342" s="544">
        <v>35</v>
      </c>
      <c r="H342" s="544">
        <v>3</v>
      </c>
      <c r="I342" s="544">
        <v>11</v>
      </c>
      <c r="J342" s="544">
        <v>11</v>
      </c>
      <c r="K342" s="544">
        <v>35</v>
      </c>
      <c r="L342" s="544">
        <v>35</v>
      </c>
      <c r="M342" s="544">
        <v>84</v>
      </c>
      <c r="N342" s="544">
        <v>10</v>
      </c>
      <c r="O342" s="520">
        <v>10</v>
      </c>
      <c r="P342" s="520">
        <v>10</v>
      </c>
      <c r="Q342" s="544">
        <v>10</v>
      </c>
      <c r="R342" s="544">
        <v>10</v>
      </c>
      <c r="S342" s="544">
        <v>10</v>
      </c>
      <c r="T342" s="544">
        <v>10</v>
      </c>
      <c r="U342" s="544">
        <v>10</v>
      </c>
      <c r="V342" s="544">
        <v>10</v>
      </c>
      <c r="W342" s="544">
        <v>10</v>
      </c>
      <c r="X342" s="544">
        <v>10</v>
      </c>
      <c r="Y342" s="544">
        <v>10</v>
      </c>
      <c r="Z342" s="544">
        <v>10</v>
      </c>
      <c r="AA342" s="544">
        <v>10</v>
      </c>
      <c r="AB342" s="544">
        <v>10</v>
      </c>
      <c r="AC342" s="544">
        <v>10</v>
      </c>
      <c r="AD342" s="544">
        <v>10</v>
      </c>
      <c r="AE342" s="544">
        <v>10</v>
      </c>
      <c r="AF342" s="544">
        <v>10</v>
      </c>
      <c r="AG342" s="544">
        <v>10</v>
      </c>
      <c r="AH342" s="544">
        <v>14</v>
      </c>
    </row>
  </sheetData>
  <sheetProtection formatColumns="0" formatRows="0" autoFilter="0" sort="0" insertRows="0" insertColumns="1" deleteRows="0" deleteColumns="0"/>
  <mergeCells count="433">
    <mergeCell ref="G50:G51"/>
    <mergeCell ref="D115:D117"/>
    <mergeCell ref="E115:E117"/>
    <mergeCell ref="F115:F117"/>
    <mergeCell ref="G115:G116"/>
    <mergeCell ref="D178:D180"/>
    <mergeCell ref="E178:E180"/>
    <mergeCell ref="F178:F180"/>
    <mergeCell ref="G178:G179"/>
    <mergeCell ref="D71:D73"/>
    <mergeCell ref="E71:E73"/>
    <mergeCell ref="F71:F73"/>
    <mergeCell ref="D92:D94"/>
    <mergeCell ref="E92:E94"/>
    <mergeCell ref="D74:D76"/>
    <mergeCell ref="E74:E76"/>
    <mergeCell ref="F74:F76"/>
    <mergeCell ref="G161:G162"/>
    <mergeCell ref="G164:G165"/>
    <mergeCell ref="E50:E52"/>
    <mergeCell ref="F50:F52"/>
    <mergeCell ref="G98:G99"/>
    <mergeCell ref="G101:G102"/>
    <mergeCell ref="D77:D79"/>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6:F318"/>
    <mergeCell ref="G313:G31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41:M341"/>
    <mergeCell ref="F277:L277"/>
    <mergeCell ref="D278:D280"/>
    <mergeCell ref="E278:E280"/>
    <mergeCell ref="F278:F280"/>
    <mergeCell ref="D281:D283"/>
    <mergeCell ref="E281:E283"/>
    <mergeCell ref="F281:F283"/>
    <mergeCell ref="D284:D286"/>
    <mergeCell ref="D290:D292"/>
    <mergeCell ref="E290:E292"/>
    <mergeCell ref="F290:F292"/>
    <mergeCell ref="D293:D295"/>
    <mergeCell ref="E293:E295"/>
    <mergeCell ref="F293:F295"/>
    <mergeCell ref="E284:E286"/>
    <mergeCell ref="F284:F286"/>
    <mergeCell ref="D287:D289"/>
    <mergeCell ref="E287:E289"/>
    <mergeCell ref="F313:F315"/>
    <mergeCell ref="D316:D318"/>
    <mergeCell ref="E316:E318"/>
    <mergeCell ref="D337:D339"/>
    <mergeCell ref="E337:E339"/>
    <mergeCell ref="G45:G46"/>
    <mergeCell ref="G53:G54"/>
    <mergeCell ref="G56:G57"/>
    <mergeCell ref="G59:G60"/>
    <mergeCell ref="M215:M218"/>
    <mergeCell ref="M89:M92"/>
    <mergeCell ref="F151:L151"/>
    <mergeCell ref="M152:M155"/>
    <mergeCell ref="F214:L214"/>
    <mergeCell ref="F53:F55"/>
    <mergeCell ref="F56:F58"/>
    <mergeCell ref="F77:F79"/>
    <mergeCell ref="F80:F82"/>
    <mergeCell ref="F92:F94"/>
    <mergeCell ref="F95:F97"/>
    <mergeCell ref="M24:M85"/>
    <mergeCell ref="G42:G43"/>
    <mergeCell ref="G133:G134"/>
    <mergeCell ref="G136:G137"/>
    <mergeCell ref="G139:G140"/>
    <mergeCell ref="G142:G143"/>
    <mergeCell ref="G158:G159"/>
    <mergeCell ref="G92:G93"/>
    <mergeCell ref="G95:G96"/>
    <mergeCell ref="D45:D49"/>
    <mergeCell ref="E45:E49"/>
    <mergeCell ref="F45:F49"/>
    <mergeCell ref="D65:D67"/>
    <mergeCell ref="E65:E67"/>
    <mergeCell ref="F65:F67"/>
    <mergeCell ref="D68:D70"/>
    <mergeCell ref="E68:E70"/>
    <mergeCell ref="F68:F70"/>
    <mergeCell ref="D59:D61"/>
    <mergeCell ref="E59:E61"/>
    <mergeCell ref="F59:F61"/>
    <mergeCell ref="D62:D64"/>
    <mergeCell ref="E62:E64"/>
    <mergeCell ref="F62:F64"/>
    <mergeCell ref="D53:D55"/>
    <mergeCell ref="E53:E55"/>
    <mergeCell ref="D56:D58"/>
    <mergeCell ref="E56:E58"/>
    <mergeCell ref="D50:D52"/>
    <mergeCell ref="E77:E79"/>
    <mergeCell ref="D80:D82"/>
    <mergeCell ref="E80:E82"/>
    <mergeCell ref="D95:D97"/>
    <mergeCell ref="E95:E97"/>
    <mergeCell ref="D110:D114"/>
    <mergeCell ref="E110:E114"/>
    <mergeCell ref="F110:F114"/>
    <mergeCell ref="F98:F100"/>
    <mergeCell ref="D101:D103"/>
    <mergeCell ref="E101:E103"/>
    <mergeCell ref="F101:F103"/>
    <mergeCell ref="D83:D85"/>
    <mergeCell ref="E83:E85"/>
    <mergeCell ref="F83:F85"/>
    <mergeCell ref="D89:D91"/>
    <mergeCell ref="E89:E91"/>
    <mergeCell ref="F89:F91"/>
    <mergeCell ref="D98:D100"/>
    <mergeCell ref="E98:E100"/>
    <mergeCell ref="F86:L86"/>
    <mergeCell ref="H87:I87"/>
    <mergeCell ref="F88:L88"/>
    <mergeCell ref="G104:G105"/>
    <mergeCell ref="D118:D120"/>
    <mergeCell ref="E118:E120"/>
    <mergeCell ref="F118:F120"/>
    <mergeCell ref="D104:D106"/>
    <mergeCell ref="E104:E106"/>
    <mergeCell ref="F104:F106"/>
    <mergeCell ref="D107:D109"/>
    <mergeCell ref="E107:E109"/>
    <mergeCell ref="F107:F109"/>
    <mergeCell ref="D121:D123"/>
    <mergeCell ref="E121:E123"/>
    <mergeCell ref="F121:F123"/>
    <mergeCell ref="D124:D126"/>
    <mergeCell ref="E124:E126"/>
    <mergeCell ref="F124:F126"/>
    <mergeCell ref="G124:G125"/>
    <mergeCell ref="G127:G128"/>
    <mergeCell ref="G130:G131"/>
    <mergeCell ref="D127:D129"/>
    <mergeCell ref="E127:E129"/>
    <mergeCell ref="F127:F129"/>
    <mergeCell ref="D130:D132"/>
    <mergeCell ref="E130:E132"/>
    <mergeCell ref="F130:F132"/>
    <mergeCell ref="D139:D141"/>
    <mergeCell ref="E139:E141"/>
    <mergeCell ref="F139:F141"/>
    <mergeCell ref="D142:D144"/>
    <mergeCell ref="E142:E144"/>
    <mergeCell ref="F142:F144"/>
    <mergeCell ref="D133:D135"/>
    <mergeCell ref="E133:E135"/>
    <mergeCell ref="F133:F135"/>
    <mergeCell ref="D136:D138"/>
    <mergeCell ref="E136:E138"/>
    <mergeCell ref="F136:F138"/>
    <mergeCell ref="G145:G146"/>
    <mergeCell ref="G148:G149"/>
    <mergeCell ref="G152:G153"/>
    <mergeCell ref="G155:G156"/>
    <mergeCell ref="D164:D166"/>
    <mergeCell ref="E164:E166"/>
    <mergeCell ref="F164:F166"/>
    <mergeCell ref="D167:D169"/>
    <mergeCell ref="E167:E169"/>
    <mergeCell ref="F167:F169"/>
    <mergeCell ref="D158:D160"/>
    <mergeCell ref="D155:D157"/>
    <mergeCell ref="E155:E157"/>
    <mergeCell ref="F155:F157"/>
    <mergeCell ref="D145:D147"/>
    <mergeCell ref="E145:E147"/>
    <mergeCell ref="F145:F147"/>
    <mergeCell ref="D148:D150"/>
    <mergeCell ref="E148:E150"/>
    <mergeCell ref="F148:F150"/>
    <mergeCell ref="D152:D154"/>
    <mergeCell ref="E152:E154"/>
    <mergeCell ref="F152:F154"/>
    <mergeCell ref="E158:E160"/>
    <mergeCell ref="F158:F160"/>
    <mergeCell ref="D161:D163"/>
    <mergeCell ref="E161:E163"/>
    <mergeCell ref="F161:F163"/>
    <mergeCell ref="D170:D172"/>
    <mergeCell ref="E170:E172"/>
    <mergeCell ref="F170:F172"/>
    <mergeCell ref="D173:D177"/>
    <mergeCell ref="E173:E177"/>
    <mergeCell ref="F173:F177"/>
    <mergeCell ref="D196:D198"/>
    <mergeCell ref="E196:E198"/>
    <mergeCell ref="F196:F198"/>
    <mergeCell ref="D187:D189"/>
    <mergeCell ref="E187:E189"/>
    <mergeCell ref="F187:F189"/>
    <mergeCell ref="D190:D192"/>
    <mergeCell ref="E190:E192"/>
    <mergeCell ref="F190:F192"/>
    <mergeCell ref="D181:D183"/>
    <mergeCell ref="E181:E183"/>
    <mergeCell ref="F181:F183"/>
    <mergeCell ref="D184:D186"/>
    <mergeCell ref="E184:E186"/>
    <mergeCell ref="F184:F186"/>
    <mergeCell ref="G184:G185"/>
    <mergeCell ref="D193:D195"/>
    <mergeCell ref="E193:E195"/>
    <mergeCell ref="F193:F195"/>
    <mergeCell ref="D199:D201"/>
    <mergeCell ref="E199:E201"/>
    <mergeCell ref="F199:F201"/>
    <mergeCell ref="D202:D204"/>
    <mergeCell ref="E202:E204"/>
    <mergeCell ref="F202:F204"/>
    <mergeCell ref="G199:G200"/>
    <mergeCell ref="G202:G203"/>
    <mergeCell ref="D221:D223"/>
    <mergeCell ref="E221:E223"/>
    <mergeCell ref="F221:F223"/>
    <mergeCell ref="D211:D213"/>
    <mergeCell ref="E211:E213"/>
    <mergeCell ref="F211:F213"/>
    <mergeCell ref="D215:D217"/>
    <mergeCell ref="E215:E217"/>
    <mergeCell ref="F215:F217"/>
    <mergeCell ref="D205:D207"/>
    <mergeCell ref="E205:E207"/>
    <mergeCell ref="F205:F207"/>
    <mergeCell ref="D208:D210"/>
    <mergeCell ref="E208:E210"/>
    <mergeCell ref="F208:F210"/>
    <mergeCell ref="G208:G209"/>
    <mergeCell ref="D230:D232"/>
    <mergeCell ref="E230:E232"/>
    <mergeCell ref="F230:F232"/>
    <mergeCell ref="D233:D235"/>
    <mergeCell ref="E233:E235"/>
    <mergeCell ref="F233:F235"/>
    <mergeCell ref="G233:G234"/>
    <mergeCell ref="D218:D220"/>
    <mergeCell ref="E218:E220"/>
    <mergeCell ref="F218:F220"/>
    <mergeCell ref="D224:D226"/>
    <mergeCell ref="E224:E226"/>
    <mergeCell ref="F224:F226"/>
    <mergeCell ref="D227:D229"/>
    <mergeCell ref="E227:E229"/>
    <mergeCell ref="F227:F229"/>
    <mergeCell ref="D247:D249"/>
    <mergeCell ref="E247:E249"/>
    <mergeCell ref="F247:F249"/>
    <mergeCell ref="G241:G242"/>
    <mergeCell ref="D253:D255"/>
    <mergeCell ref="E253:E255"/>
    <mergeCell ref="F253:F255"/>
    <mergeCell ref="D250:D252"/>
    <mergeCell ref="E250:E252"/>
    <mergeCell ref="F250:F252"/>
    <mergeCell ref="D236:D240"/>
    <mergeCell ref="E236:E240"/>
    <mergeCell ref="F236:F240"/>
    <mergeCell ref="D244:D246"/>
    <mergeCell ref="E244:E246"/>
    <mergeCell ref="F244:F246"/>
    <mergeCell ref="D241:D243"/>
    <mergeCell ref="E241:E243"/>
    <mergeCell ref="F241:F243"/>
    <mergeCell ref="D256:D258"/>
    <mergeCell ref="E256:E258"/>
    <mergeCell ref="F256:F258"/>
    <mergeCell ref="G253:G254"/>
    <mergeCell ref="G256:G257"/>
    <mergeCell ref="G259:G260"/>
    <mergeCell ref="D274:D276"/>
    <mergeCell ref="E274:E276"/>
    <mergeCell ref="F274:F276"/>
    <mergeCell ref="D265:D267"/>
    <mergeCell ref="E265:E267"/>
    <mergeCell ref="F265:F267"/>
    <mergeCell ref="D268:D270"/>
    <mergeCell ref="E268:E270"/>
    <mergeCell ref="F268:F270"/>
    <mergeCell ref="D259:D261"/>
    <mergeCell ref="E259:E261"/>
    <mergeCell ref="F259:F261"/>
    <mergeCell ref="D262:D264"/>
    <mergeCell ref="E262:E264"/>
    <mergeCell ref="F262:F264"/>
    <mergeCell ref="G262:G263"/>
    <mergeCell ref="D271:D273"/>
    <mergeCell ref="E271:E273"/>
    <mergeCell ref="F271:F273"/>
    <mergeCell ref="F287:F289"/>
    <mergeCell ref="D307:D309"/>
    <mergeCell ref="E307:E309"/>
    <mergeCell ref="F307:F309"/>
    <mergeCell ref="D310:D312"/>
    <mergeCell ref="E310:E312"/>
    <mergeCell ref="F310:F312"/>
    <mergeCell ref="D296:D298"/>
    <mergeCell ref="E296:E298"/>
    <mergeCell ref="F296:F298"/>
    <mergeCell ref="D299:D303"/>
    <mergeCell ref="E299:E303"/>
    <mergeCell ref="F299:F303"/>
    <mergeCell ref="D304:D306"/>
    <mergeCell ref="E304:E306"/>
    <mergeCell ref="F304:F306"/>
    <mergeCell ref="F337:F339"/>
    <mergeCell ref="M278:M281"/>
    <mergeCell ref="D331:D333"/>
    <mergeCell ref="E331:E333"/>
    <mergeCell ref="F331:F333"/>
    <mergeCell ref="D334:D336"/>
    <mergeCell ref="E334:E336"/>
    <mergeCell ref="F334:F336"/>
    <mergeCell ref="D325:D327"/>
    <mergeCell ref="E325:E327"/>
    <mergeCell ref="F325:F327"/>
    <mergeCell ref="D328:D330"/>
    <mergeCell ref="E328:E330"/>
    <mergeCell ref="F328:F330"/>
    <mergeCell ref="D319:D321"/>
    <mergeCell ref="E319:E321"/>
    <mergeCell ref="F319:F321"/>
    <mergeCell ref="D322:D324"/>
    <mergeCell ref="E322:E324"/>
    <mergeCell ref="F322:F324"/>
    <mergeCell ref="D313:D315"/>
    <mergeCell ref="E313:E315"/>
    <mergeCell ref="G337:G338"/>
    <mergeCell ref="G281:G282"/>
    <mergeCell ref="G62:G63"/>
    <mergeCell ref="G65:G66"/>
    <mergeCell ref="G68:G69"/>
    <mergeCell ref="G71:G72"/>
    <mergeCell ref="G74:G75"/>
    <mergeCell ref="G77:G78"/>
    <mergeCell ref="G80:G81"/>
    <mergeCell ref="G83:G84"/>
    <mergeCell ref="G89:G90"/>
    <mergeCell ref="G325:G326"/>
    <mergeCell ref="G328:G329"/>
    <mergeCell ref="G331:G332"/>
    <mergeCell ref="G334:G335"/>
    <mergeCell ref="G316:G317"/>
    <mergeCell ref="G319:G320"/>
    <mergeCell ref="G322:G323"/>
    <mergeCell ref="G310:G311"/>
    <mergeCell ref="G265:G266"/>
    <mergeCell ref="G268:G269"/>
    <mergeCell ref="G271:G272"/>
    <mergeCell ref="G274:G275"/>
    <mergeCell ref="G278:G279"/>
    <mergeCell ref="G284:G285"/>
    <mergeCell ref="G287:G288"/>
    <mergeCell ref="G290:G291"/>
    <mergeCell ref="G293:G294"/>
    <mergeCell ref="G296:G297"/>
    <mergeCell ref="G299:G300"/>
    <mergeCell ref="G307:G308"/>
    <mergeCell ref="G304:G305"/>
    <mergeCell ref="G107:G108"/>
    <mergeCell ref="G110:G111"/>
    <mergeCell ref="G118:G119"/>
    <mergeCell ref="G121:G122"/>
    <mergeCell ref="G236:G237"/>
    <mergeCell ref="G244:G245"/>
    <mergeCell ref="G247:G248"/>
    <mergeCell ref="G250:G251"/>
    <mergeCell ref="G205:G206"/>
    <mergeCell ref="G211:G212"/>
    <mergeCell ref="G215:G216"/>
    <mergeCell ref="G218:G219"/>
    <mergeCell ref="G221:G222"/>
    <mergeCell ref="G170:G171"/>
    <mergeCell ref="G173:G174"/>
    <mergeCell ref="G181:G182"/>
    <mergeCell ref="G224:G225"/>
    <mergeCell ref="G227:G228"/>
    <mergeCell ref="G230:G231"/>
    <mergeCell ref="G187:G188"/>
    <mergeCell ref="G190:G191"/>
    <mergeCell ref="G193:G194"/>
    <mergeCell ref="G196:G197"/>
    <mergeCell ref="G167:G168"/>
    <mergeCell ref="G47:G48"/>
    <mergeCell ref="G112:G113"/>
    <mergeCell ref="G175:G176"/>
    <mergeCell ref="G238:G239"/>
    <mergeCell ref="G301:G302"/>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3:J53 I56:J56 I59:J59 I62:J62 I65:J65 I68:J68 I71:J71 I74:J74 I77:J77 I80:J80 I215:J215 I218:J218 I221:J221 I224:J224 I227:J227 I230:J230 I233:J233 I236:J236 I244:J244 I247:J247 I250:J250 I253:J253 I256:J256 I259:J259 I262:J262 I265:J265 I268:J268 I8:J8 I83:J83 I148:J148 I92:J92 I95:J95 I98:J98 I101:J101 I104:J104 I107:J107 I110:J110 I118:J118 I121:J121 I124:J124 I127:J127 I130:J130 I133:J133 I136:J136 I139:J139 I142:J142 I145:J145 I152:J152 I89:J89 I155:J155 I158:J158 I161:J161 I164:J164 I167:J167 I170:J170 I173:J173 I181:J181 I184:J184 I187:J187 I190:J190 I193:J193 I199:J199 I202:J202 I205:J205 I208:J208 I211:J211 I196:J196 I271:J271 I274:J274 I278:J278 I281:J281 I284:J284 I287:J287 I290:J290 I293:J293 I296:J296 I299:J299 I307:J307 I310:J310 I313:J313 I316:J316 I319:J319 I322:J322 I325:J325 I328:J328 I331:J331 I334:J334 I337:J337 I2:J2 I5:J5 I50:J50 I115:J115 I178:J178 I241:J241 I304:J304 I47 J47 I112 J112 I175 J175 I238 J238 I301 J30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7">
      <formula1>900</formula1>
    </dataValidation>
    <dataValidation type="textLength" operator="lessThanOrEqual" allowBlank="1" showInputMessage="1" showErrorMessage="1" errorTitle="Ошибка" error="Допускается ввод не более 900 символов!" sqref="M152:M153 M215:M216 M23 M89:M90 M278:M279">
      <formula1>900</formula1>
    </dataValidation>
    <dataValidation type="decimal" allowBlank="1" showErrorMessage="1" errorTitle="Ошибка" error="Допускается ввод только действительных чисел!" sqref="K215 K218 K221 K224 K227 K230 K233 K236 K244 K247 K250 K253 K256 K259 K262 K265 K268 K271 K10 K89 K145 K142 K139 K136 K133 K130 K127 K124 K121 K118 K110 K107 K104 K101 K98 K95 K92 K152 K148 K155 K158 K161 K164 K167 K170 K173 K181 K184 K187 K190 K193 K199 K202 K205 K208 K211 K196 K274 K278 K281 K284 K287 K290 K293 K296 K299 K307 K310 K313 K316 K319 K322 K325 K328 K331 K334 K337 K5 K115 K178 K241 K304 K112 K175 K238 K30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F0AD3E-9604-5D41-B725-23EC3E6DCB92}"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13390" width="9.140625" hidden="1" customWidth="1"/>
    <col min="2" max="2" style="11992" width="9.140625" hidden="1" customWidth="1"/>
    <col min="3" max="3" style="13391" width="3.00390625" customWidth="1"/>
    <col min="4" max="4" style="11913" width="6.00390625" customWidth="1"/>
    <col min="5" max="5" style="11913" width="53.00390625" customWidth="1"/>
    <col min="6" max="7" style="11913" width="35.00390625" customWidth="1"/>
    <col min="8" max="8" style="11913" width="89.00390625" customWidth="1"/>
    <col min="9" max="9" style="11913" width="10.00390625" customWidth="1"/>
    <col min="10" max="11" style="12082" width="10.00390625" customWidth="1"/>
    <col min="12" max="17" style="11913" width="10.00390625" customWidth="1"/>
    <col min="18" max="18" style="11913" width="10.57421875" hidden="1"/>
  </cols>
  <sheetData>
    <row customHeight="1" ht="22.5" hidden="1">
      <c r="N1" s="425"/>
      <c r="O1" s="425"/>
      <c r="Q1" s="425"/>
      <c r="R1" s="544" t="s">
        <v>14</v>
      </c>
    </row>
    <row s="11913" customFormat="1" customHeight="1" ht="18.75" hidden="1">
      <c r="A2" s="272"/>
      <c r="B2" s="1330"/>
      <c r="C2" s="1900" t="s">
        <v>437</v>
      </c>
      <c r="D2" s="1843"/>
      <c r="E2" s="1852"/>
      <c r="F2" s="427"/>
      <c r="G2" s="1331"/>
      <c r="H2" s="544"/>
      <c r="I2" s="1794"/>
      <c r="J2" s="1794"/>
      <c r="R2" s="1801">
        <v>0</v>
      </c>
    </row>
    <row customHeight="1" ht="14.25" hidden="1">
      <c r="R3" s="544">
        <v>0</v>
      </c>
    </row>
    <row customHeight="1" ht="6.3">
      <c r="C4" s="546"/>
      <c r="D4" s="533"/>
      <c r="E4" s="533"/>
      <c r="F4" s="533"/>
      <c r="G4" s="255"/>
      <c r="H4" s="255"/>
      <c r="R4" s="544">
        <v>6</v>
      </c>
    </row>
    <row customHeight="1" ht="34.5">
      <c r="C5" s="546"/>
      <c r="D5" s="262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625"/>
      <c r="F5" s="2625"/>
      <c r="G5" s="2626"/>
      <c r="H5" s="436"/>
      <c r="R5" s="544">
        <v>33</v>
      </c>
    </row>
    <row s="11913" customFormat="1" customHeight="1" ht="18">
      <c r="A6" s="1839"/>
      <c r="B6" s="1330"/>
      <c r="C6" s="546"/>
      <c r="D6" s="2627" t="str">
        <f>IF(org=0,"Не определено",org)</f>
        <v>Филиал "Шатурская ГРЭС" ПАО "Юнипро"</v>
      </c>
      <c r="E6" s="2628"/>
      <c r="F6" s="2628"/>
      <c r="G6" s="2629"/>
      <c r="H6" s="436"/>
      <c r="J6" s="1794"/>
      <c r="K6" s="1794"/>
      <c r="R6" s="1801">
        <v>17</v>
      </c>
    </row>
    <row customHeight="1" ht="14.699999999999998">
      <c r="C7" s="546"/>
      <c r="D7" s="533"/>
      <c r="E7" s="559"/>
      <c r="F7" s="559"/>
      <c r="G7" s="922"/>
      <c r="H7" s="363"/>
      <c r="R7" s="544">
        <v>14</v>
      </c>
    </row>
    <row customHeight="1" ht="14.699999999999998">
      <c r="C8" s="546"/>
      <c r="D8" s="2379" t="s">
        <v>312</v>
      </c>
      <c r="E8" s="2379"/>
      <c r="F8" s="2379"/>
      <c r="G8" s="2379"/>
      <c r="H8" s="2559" t="s">
        <v>313</v>
      </c>
      <c r="R8" s="544">
        <v>14</v>
      </c>
    </row>
    <row customHeight="1" ht="24">
      <c r="C9" s="546"/>
      <c r="D9" s="556" t="s">
        <v>91</v>
      </c>
      <c r="E9" s="278" t="s">
        <v>314</v>
      </c>
      <c r="F9" s="278" t="s">
        <v>315</v>
      </c>
      <c r="G9" s="278" t="s">
        <v>402</v>
      </c>
      <c r="H9" s="2559"/>
      <c r="R9" s="544">
        <v>23</v>
      </c>
    </row>
    <row customHeight="1" ht="14.699999999999998">
      <c r="A10" s="513"/>
      <c r="C10" s="546"/>
      <c r="D10" s="317" t="s">
        <v>112</v>
      </c>
      <c r="E10" s="205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427"/>
      <c r="G10" s="383"/>
      <c r="H10" s="2339" t="s">
        <v>1180</v>
      </c>
      <c r="R10" s="544">
        <v>14</v>
      </c>
    </row>
    <row customHeight="1" ht="14.699999999999998">
      <c r="A11" s="513"/>
      <c r="C11" s="546"/>
      <c r="D11" s="317" t="s">
        <v>113</v>
      </c>
      <c r="E11" s="205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427"/>
      <c r="G11" s="383"/>
      <c r="H11" s="2340"/>
      <c r="R11" s="544">
        <v>14</v>
      </c>
    </row>
    <row customHeight="1" ht="14.699999999999998">
      <c r="A12" s="272"/>
      <c r="C12" s="557"/>
      <c r="D12" s="317" t="s">
        <v>93</v>
      </c>
      <c r="E12" s="558" t="str">
        <f>"Сведения о планировании закупочных процедур"&amp;IF(TEMPLATE_SPHERE="TKO"," &lt;1&gt;","")</f>
        <v>Сведения о планировании закупочных процедур</v>
      </c>
      <c r="F12" s="427"/>
      <c r="G12" s="383"/>
      <c r="H12" s="234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520"/>
      <c r="K12" s="544"/>
      <c r="R12" s="544">
        <v>14</v>
      </c>
    </row>
    <row customHeight="1" ht="14.699999999999998">
      <c r="A13" s="272"/>
      <c r="C13" s="557"/>
      <c r="D13" s="317" t="s">
        <v>94</v>
      </c>
      <c r="E13" s="558" t="str">
        <f>"Сведения о результатах проведения закупочных процедур"&amp;IF(TEMPLATE_SPHERE="TKO"," &lt;1&gt;","")</f>
        <v>Сведения о результатах проведения закупочных процедур</v>
      </c>
      <c r="F13" s="427"/>
      <c r="G13" s="383"/>
      <c r="H13" s="2340"/>
      <c r="I13" s="520"/>
      <c r="K13" s="544"/>
      <c r="R13" s="544">
        <v>14</v>
      </c>
    </row>
    <row customHeight="1" ht="14.699999999999998">
      <c r="A14" s="513"/>
      <c r="C14" s="546"/>
      <c r="D14" s="517"/>
      <c r="E14" s="565" t="s">
        <v>334</v>
      </c>
      <c r="F14" s="519"/>
      <c r="G14" s="371"/>
      <c r="H14" s="2341"/>
      <c r="R14" s="544">
        <v>14</v>
      </c>
    </row>
    <row s="11913" customFormat="1" customHeight="1" ht="14.699999999999998">
      <c r="A15" s="513"/>
      <c r="B15" s="1330"/>
      <c r="C15" s="546"/>
      <c r="D15" s="566"/>
      <c r="E15" s="1847"/>
      <c r="F15" s="1848"/>
      <c r="G15" s="1849"/>
      <c r="H15" s="1850"/>
      <c r="J15" s="1794"/>
      <c r="K15" s="1794"/>
      <c r="R15" s="1801">
        <v>14</v>
      </c>
    </row>
    <row customHeight="1" ht="14.699999999999998">
      <c r="D16" s="1851"/>
      <c r="E16" s="2555"/>
      <c r="F16" s="2555"/>
      <c r="G16" s="2555"/>
      <c r="H16" s="2555"/>
      <c r="R16" s="544">
        <v>14</v>
      </c>
    </row>
    <row customHeight="1" ht="22.5" hidden="1">
      <c r="A17" s="534" t="s">
        <v>85</v>
      </c>
      <c r="B17" s="316">
        <v>0</v>
      </c>
      <c r="C17" s="514">
        <v>3</v>
      </c>
      <c r="D17" s="544">
        <v>6</v>
      </c>
      <c r="E17" s="544">
        <v>53</v>
      </c>
      <c r="F17" s="544">
        <v>35</v>
      </c>
      <c r="G17" s="544">
        <v>35</v>
      </c>
      <c r="H17" s="544">
        <v>89</v>
      </c>
      <c r="I17" s="544">
        <v>10</v>
      </c>
      <c r="J17" s="520">
        <v>10</v>
      </c>
      <c r="K17" s="520">
        <v>10</v>
      </c>
      <c r="L17" s="544">
        <v>10</v>
      </c>
      <c r="M17" s="544">
        <v>10</v>
      </c>
      <c r="N17" s="544">
        <v>10</v>
      </c>
      <c r="O17" s="544">
        <v>10</v>
      </c>
      <c r="P17" s="544">
        <v>10</v>
      </c>
      <c r="Q17" s="544">
        <v>10</v>
      </c>
      <c r="R17" s="54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CE4C3-C138-5428-21EE-72909F06AD34}" mc:Ignorable="x14ac xr xr2 xr3">
  <sheetPr>
    <tabColor rgb="FFCCCCFF"/>
  </sheetPr>
  <dimension ref="A1:AR146"/>
  <sheetViews>
    <sheetView topLeftCell="A1" showGridLines="0" zoomScale="90" workbookViewId="0">
      <selection activeCell="G18" sqref="G18:G22"/>
    </sheetView>
  </sheetViews>
  <sheetFormatPr defaultColWidth="9.140625" customHeight="1" defaultRowHeight="11.25"/>
  <cols>
    <col min="1" max="2" style="12082" width="3.7109375" hidden="1" customWidth="1"/>
    <col min="3" max="3" style="12119" width="3.00390625" customWidth="1"/>
    <col min="4" max="4" style="12119" width="6.00390625" customWidth="1"/>
    <col min="5" max="5" style="12119" width="42.00390625" customWidth="1"/>
    <col min="6" max="6" style="12119" width="15.00390625" customWidth="1"/>
    <col min="7" max="7" style="12119" width="42.00390625" customWidth="1"/>
    <col min="8" max="8" style="12119" width="3.00390625" customWidth="1"/>
    <col min="9" max="9" style="12119" width="5.00390625" customWidth="1"/>
    <col min="10" max="10" style="12119" width="47.00390625" customWidth="1"/>
    <col min="11" max="11" style="12119" width="7.00390625" customWidth="1"/>
    <col min="12" max="12" style="12119" width="3.00390625" customWidth="1"/>
    <col min="13" max="13" style="12119" width="5.00390625" customWidth="1"/>
    <col min="14" max="14" style="12119" width="28.00390625" customWidth="1"/>
    <col min="15" max="15" style="12119" width="6.28125" customWidth="1"/>
    <col min="16" max="16" style="12119" width="3.00390625" customWidth="1"/>
    <col min="17" max="17" style="12119" width="5.00390625" customWidth="1"/>
    <col min="18" max="18" style="12119" width="34.00390625" customWidth="1"/>
    <col min="19" max="20" style="12119" width="3.7109375" customWidth="1"/>
    <col min="21" max="21" style="12119" width="5.7109375" customWidth="1"/>
    <col min="22" max="22" style="12119" width="34.421875" customWidth="1"/>
    <col min="23" max="23" style="12119" width="30.00390625" customWidth="1"/>
    <col min="24" max="24" style="12119" width="3.00390625" customWidth="1"/>
    <col min="25" max="28" style="12171" width="9.8515625" hidden="1" customWidth="1"/>
    <col min="29" max="29" style="12171" width="27.00390625" hidden="1" customWidth="1"/>
    <col min="30" max="30" style="12171" width="10.57421875" hidden="1" customWidth="1"/>
    <col min="31" max="31" style="12171" width="10.7109375" hidden="1" customWidth="1"/>
    <col min="32" max="32" style="12171" width="10.00390625" hidden="1" customWidth="1"/>
    <col min="33" max="33" style="12171" width="12.8515625" hidden="1" customWidth="1"/>
    <col min="34" max="34" style="12171" width="24.421875" hidden="1" customWidth="1"/>
    <col min="35" max="35" style="12171" width="15.8515625" hidden="1" customWidth="1"/>
    <col min="36" max="36" style="12171" width="19.421875" hidden="1" customWidth="1"/>
    <col min="37" max="37" style="12171" width="11.00390625" hidden="1" customWidth="1"/>
    <col min="38" max="38" style="12171" width="23.57421875" hidden="1" customWidth="1"/>
    <col min="39" max="39" style="12171" width="23.8515625" hidden="1" customWidth="1"/>
    <col min="40" max="40" style="12171" width="25.28125" hidden="1" customWidth="1"/>
    <col min="41" max="41" style="12171" width="16.8515625" hidden="1" customWidth="1"/>
    <col min="42" max="42" style="12171" width="29.57421875" hidden="1" customWidth="1"/>
    <col min="43" max="43" style="12171" width="29.8515625" hidden="1" customWidth="1"/>
    <col min="44" max="44" style="12119" width="9.140625" hidden="1"/>
  </cols>
  <sheetData>
    <row customHeight="1" ht="11.25" hidden="1">
      <c r="A1" s="326"/>
      <c r="AR1" s="274" t="s">
        <v>14</v>
      </c>
    </row>
    <row customHeight="1" ht="11.25" hidden="1">
      <c r="AR2" s="274">
        <v>0</v>
      </c>
    </row>
    <row customHeight="1" ht="11.25" hidden="1">
      <c r="AR3" s="274">
        <v>0</v>
      </c>
    </row>
    <row customHeight="1" ht="3">
      <c r="AR4" s="274">
        <v>3</v>
      </c>
    </row>
    <row s="12090" customFormat="1" customHeight="1" ht="30.45">
      <c r="A5" s="324"/>
      <c r="B5" s="324"/>
      <c r="D5" s="232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328"/>
      <c r="F5" s="2328"/>
      <c r="G5" s="2328"/>
      <c r="H5" s="2328"/>
      <c r="I5" s="2328"/>
      <c r="J5" s="2329"/>
      <c r="K5" s="435"/>
      <c r="L5" s="312"/>
      <c r="M5" s="312"/>
      <c r="N5" s="312"/>
      <c r="O5" s="312"/>
      <c r="P5" s="312"/>
      <c r="Q5" s="312"/>
      <c r="R5" s="312"/>
      <c r="S5" s="460"/>
      <c r="T5" s="460"/>
      <c r="U5" s="460"/>
      <c r="V5" s="460"/>
      <c r="W5" s="312"/>
      <c r="Y5" s="1430"/>
      <c r="Z5" s="1430"/>
      <c r="AA5" s="1430"/>
      <c r="AB5" s="1430"/>
      <c r="AC5" s="1430"/>
      <c r="AD5" s="1430"/>
      <c r="AE5" s="1430"/>
      <c r="AF5" s="1430"/>
      <c r="AG5" s="1430"/>
      <c r="AH5" s="1430"/>
      <c r="AI5" s="1430"/>
      <c r="AJ5" s="1430"/>
      <c r="AK5" s="1430"/>
      <c r="AL5" s="1430"/>
      <c r="AM5" s="1430"/>
      <c r="AN5" s="1430"/>
      <c r="AO5" s="1430"/>
      <c r="AP5" s="1430"/>
      <c r="AQ5" s="1430"/>
      <c r="AR5" s="281">
        <v>29</v>
      </c>
    </row>
    <row s="12090" customFormat="1" customHeight="1" ht="14.699999999999998">
      <c r="A6" s="755"/>
      <c r="B6" s="755"/>
      <c r="C6" s="755"/>
      <c r="D6" s="2333" t="str">
        <f>IF(org=0,"Не определено",org)</f>
        <v>Филиал "Шатурская ГРЭС" ПАО "Юнипро"</v>
      </c>
      <c r="E6" s="2333"/>
      <c r="F6" s="2333"/>
      <c r="G6" s="2333"/>
      <c r="H6" s="2333"/>
      <c r="I6" s="2333"/>
      <c r="J6" s="2333"/>
      <c r="K6" s="756"/>
      <c r="L6" s="756"/>
      <c r="M6" s="756"/>
      <c r="N6" s="756"/>
      <c r="O6" s="1040"/>
      <c r="P6" s="1040"/>
      <c r="Q6" s="1040"/>
      <c r="R6" s="1040"/>
      <c r="S6" s="1040"/>
      <c r="T6" s="1040"/>
      <c r="U6" s="1040"/>
      <c r="V6" s="1040"/>
      <c r="W6" s="1040"/>
      <c r="X6" s="756"/>
      <c r="Y6" s="1431"/>
      <c r="Z6" s="1431"/>
      <c r="AA6" s="1431"/>
      <c r="AB6" s="1431"/>
      <c r="AC6" s="1431"/>
      <c r="AD6" s="1431"/>
      <c r="AE6" s="1431"/>
      <c r="AF6" s="1431"/>
      <c r="AG6" s="1431"/>
      <c r="AH6" s="1431"/>
      <c r="AI6" s="1431"/>
      <c r="AJ6" s="1431"/>
      <c r="AK6" s="1431"/>
      <c r="AL6" s="1431"/>
      <c r="AM6" s="1431"/>
      <c r="AN6" s="1431"/>
      <c r="AO6" s="1431"/>
      <c r="AP6" s="1431"/>
      <c r="AQ6" s="1431"/>
      <c r="AR6" s="757">
        <v>14</v>
      </c>
    </row>
    <row s="12184" customFormat="1" customHeight="1" ht="11.549999999999999">
      <c r="A7" s="381"/>
      <c r="B7" s="381"/>
      <c r="D7" s="2330"/>
      <c r="E7" s="2331"/>
      <c r="F7" s="2331"/>
      <c r="G7" s="2331"/>
      <c r="H7" s="2331"/>
      <c r="I7" s="2331"/>
      <c r="J7" s="2332"/>
      <c r="S7" s="469"/>
      <c r="T7" s="469"/>
      <c r="U7" s="469"/>
      <c r="V7" s="469"/>
      <c r="Y7" s="1432"/>
      <c r="Z7" s="1432"/>
      <c r="AA7" s="1432"/>
      <c r="AB7" s="1432"/>
      <c r="AC7" s="1432"/>
      <c r="AD7" s="1432"/>
      <c r="AE7" s="1432"/>
      <c r="AF7" s="1432"/>
      <c r="AG7" s="1432"/>
      <c r="AH7" s="1432"/>
      <c r="AI7" s="1432"/>
      <c r="AJ7" s="1432"/>
      <c r="AK7" s="1432"/>
      <c r="AL7" s="1432"/>
      <c r="AM7" s="1432"/>
      <c r="AN7" s="1432"/>
      <c r="AO7" s="1432"/>
      <c r="AP7" s="1432"/>
      <c r="AQ7" s="1432"/>
      <c r="AR7" s="446">
        <v>11</v>
      </c>
    </row>
    <row s="12090" customFormat="1" customHeight="1" ht="1.05">
      <c r="A8" s="324"/>
      <c r="B8" s="324"/>
      <c r="D8" s="382"/>
      <c r="E8" s="382"/>
      <c r="F8" s="382"/>
      <c r="G8" s="382"/>
      <c r="H8" s="382"/>
      <c r="I8" s="382"/>
      <c r="J8" s="382"/>
      <c r="K8" s="382"/>
      <c r="L8" s="382"/>
      <c r="M8" s="382"/>
      <c r="N8" s="382"/>
      <c r="O8" s="382"/>
      <c r="P8" s="382"/>
      <c r="Q8" s="382"/>
      <c r="R8" s="382"/>
      <c r="S8" s="382"/>
      <c r="T8" s="382"/>
      <c r="U8" s="382"/>
      <c r="V8" s="382"/>
      <c r="W8" s="382"/>
      <c r="X8" s="302"/>
      <c r="Y8" s="1430"/>
      <c r="Z8" s="1430"/>
      <c r="AA8" s="1430"/>
      <c r="AB8" s="1430"/>
      <c r="AC8" s="1430"/>
      <c r="AD8" s="1430"/>
      <c r="AE8" s="1430"/>
      <c r="AF8" s="1430"/>
      <c r="AG8" s="1430"/>
      <c r="AH8" s="1430"/>
      <c r="AI8" s="1430"/>
      <c r="AJ8" s="1430"/>
      <c r="AK8" s="1430"/>
      <c r="AL8" s="1430"/>
      <c r="AM8" s="1430"/>
      <c r="AN8" s="1430"/>
      <c r="AO8" s="1430"/>
      <c r="AP8" s="1430"/>
      <c r="AQ8" s="1430"/>
      <c r="AR8" s="281">
        <v>1</v>
      </c>
    </row>
    <row customHeight="1" ht="28.5">
      <c r="D9" s="2297" t="s">
        <v>91</v>
      </c>
      <c r="E9" s="2271" t="s">
        <v>125</v>
      </c>
      <c r="F9" s="2273"/>
      <c r="G9" s="2297" t="s">
        <v>108</v>
      </c>
      <c r="H9" s="2297" t="s">
        <v>91</v>
      </c>
      <c r="I9" s="2297"/>
      <c r="J9" s="2297" t="s">
        <v>126</v>
      </c>
      <c r="K9" s="2325" t="s">
        <v>127</v>
      </c>
      <c r="L9" s="2325"/>
      <c r="M9" s="2325"/>
      <c r="N9" s="2325"/>
      <c r="O9" s="2325" t="s">
        <v>128</v>
      </c>
      <c r="P9" s="2325"/>
      <c r="Q9" s="2325"/>
      <c r="R9" s="2325"/>
      <c r="S9" s="2325" t="s">
        <v>129</v>
      </c>
      <c r="T9" s="2325"/>
      <c r="U9" s="2325"/>
      <c r="V9" s="2325"/>
      <c r="W9" s="2297" t="s">
        <v>130</v>
      </c>
      <c r="AR9" s="274">
        <v>27</v>
      </c>
    </row>
    <row customHeight="1" ht="31.5">
      <c r="D10" s="2297"/>
      <c r="E10" s="1454" t="s">
        <v>92</v>
      </c>
      <c r="F10" s="1454" t="s">
        <v>131</v>
      </c>
      <c r="G10" s="2297"/>
      <c r="H10" s="2297"/>
      <c r="I10" s="2297"/>
      <c r="J10" s="2297"/>
      <c r="K10" s="280" t="s">
        <v>111</v>
      </c>
      <c r="L10" s="2297" t="s">
        <v>91</v>
      </c>
      <c r="M10" s="2297"/>
      <c r="N10" s="280" t="s">
        <v>132</v>
      </c>
      <c r="O10" s="280" t="s">
        <v>111</v>
      </c>
      <c r="P10" s="2297" t="s">
        <v>91</v>
      </c>
      <c r="Q10" s="2297"/>
      <c r="R10" s="280" t="s">
        <v>132</v>
      </c>
      <c r="S10" s="453" t="s">
        <v>111</v>
      </c>
      <c r="T10" s="2297" t="s">
        <v>91</v>
      </c>
      <c r="U10" s="2297"/>
      <c r="V10" s="453" t="s">
        <v>92</v>
      </c>
      <c r="W10" s="2297"/>
      <c r="Z10" s="1429" t="s">
        <v>133</v>
      </c>
      <c r="AA10" s="1429" t="s">
        <v>134</v>
      </c>
      <c r="AB10" s="1429" t="s">
        <v>135</v>
      </c>
      <c r="AC10" s="1429" t="s">
        <v>136</v>
      </c>
      <c r="AD10" s="1429" t="s">
        <v>137</v>
      </c>
      <c r="AE10" s="1429" t="s">
        <v>138</v>
      </c>
      <c r="AF10" s="1429" t="s">
        <v>139</v>
      </c>
      <c r="AG10" s="1429" t="s">
        <v>140</v>
      </c>
      <c r="AH10" s="1429" t="s">
        <v>141</v>
      </c>
      <c r="AI10" s="1429" t="s">
        <v>142</v>
      </c>
      <c r="AJ10" s="1429" t="s">
        <v>143</v>
      </c>
      <c r="AK10" s="1429" t="s">
        <v>144</v>
      </c>
      <c r="AL10" s="1429" t="s">
        <v>145</v>
      </c>
      <c r="AM10" s="1429" t="s">
        <v>146</v>
      </c>
      <c r="AN10" s="1429" t="s">
        <v>147</v>
      </c>
      <c r="AO10" s="1429" t="s">
        <v>148</v>
      </c>
      <c r="AP10" s="1429" t="s">
        <v>149</v>
      </c>
      <c r="AQ10" s="1429" t="s">
        <v>150</v>
      </c>
      <c r="AR10" s="274">
        <v>30</v>
      </c>
    </row>
    <row s="12082" customFormat="1" customHeight="1" ht="12" hidden="1">
      <c r="D11" s="1419" t="s">
        <v>112</v>
      </c>
      <c r="E11" s="1419" t="s">
        <v>113</v>
      </c>
      <c r="F11" s="1419"/>
      <c r="G11" s="1419" t="s">
        <v>93</v>
      </c>
      <c r="H11" s="2326" t="s">
        <v>114</v>
      </c>
      <c r="I11" s="2326"/>
      <c r="J11" s="1419" t="s">
        <v>95</v>
      </c>
      <c r="K11" s="1419" t="s">
        <v>96</v>
      </c>
      <c r="L11" s="2326" t="s">
        <v>115</v>
      </c>
      <c r="M11" s="2326"/>
      <c r="N11" s="1419" t="s">
        <v>151</v>
      </c>
      <c r="O11" s="1419" t="s">
        <v>152</v>
      </c>
      <c r="P11" s="2326" t="s">
        <v>153</v>
      </c>
      <c r="Q11" s="2326"/>
      <c r="R11" s="1419" t="s">
        <v>154</v>
      </c>
      <c r="S11" s="1419" t="s">
        <v>153</v>
      </c>
      <c r="T11" s="2326" t="s">
        <v>154</v>
      </c>
      <c r="U11" s="2326"/>
      <c r="V11" s="1419" t="s">
        <v>155</v>
      </c>
      <c r="W11" s="1419" t="s">
        <v>156</v>
      </c>
      <c r="Y11" s="1429"/>
      <c r="Z11" s="1429"/>
      <c r="AA11" s="1429"/>
      <c r="AB11" s="1429"/>
      <c r="AC11" s="1429"/>
      <c r="AD11" s="1429"/>
      <c r="AE11" s="1429"/>
      <c r="AF11" s="1429"/>
      <c r="AG11" s="1429"/>
      <c r="AH11" s="1429"/>
      <c r="AI11" s="1429"/>
      <c r="AJ11" s="1429"/>
      <c r="AK11" s="1429"/>
      <c r="AL11" s="1429"/>
      <c r="AM11" s="1429"/>
      <c r="AN11" s="1429"/>
      <c r="AO11" s="1429"/>
      <c r="AP11" s="1429"/>
      <c r="AQ11" s="1429"/>
      <c r="AR11" s="447">
        <v>0</v>
      </c>
    </row>
    <row customHeight="1" ht="14.25" hidden="1">
      <c r="C12" s="379"/>
      <c r="D12" s="1452">
        <v>0</v>
      </c>
      <c r="E12" s="420"/>
      <c r="F12" s="420"/>
      <c r="G12" s="420"/>
      <c r="H12" s="421"/>
      <c r="I12" s="421"/>
      <c r="J12" s="328"/>
      <c r="K12" s="282"/>
      <c r="L12" s="328"/>
      <c r="M12" s="328"/>
      <c r="N12" s="422"/>
      <c r="O12" s="282"/>
      <c r="P12" s="328"/>
      <c r="Q12" s="328"/>
      <c r="R12" s="423"/>
      <c r="S12" s="454"/>
      <c r="T12" s="462"/>
      <c r="U12" s="462"/>
      <c r="V12" s="466"/>
      <c r="W12" s="282"/>
      <c r="X12" s="311"/>
      <c r="AR12" s="274">
        <v>0</v>
      </c>
    </row>
    <row s="12119" customFormat="1" customHeight="1" ht="17.25">
      <c r="A13" s="491"/>
      <c r="C13" s="379"/>
      <c r="D13" s="2305">
        <v>1</v>
      </c>
      <c r="E13" s="2313" t="s">
        <v>157</v>
      </c>
      <c r="F13" s="2315" t="s">
        <v>64</v>
      </c>
      <c r="G13" s="8185"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H13" s="8186"/>
      <c r="I13" s="8186">
        <v>1</v>
      </c>
      <c r="J13" s="8187" t="s">
        <v>158</v>
      </c>
      <c r="K13" s="8188" t="s">
        <v>64</v>
      </c>
      <c r="L13" s="8189"/>
      <c r="M13" s="8189" t="s">
        <v>112</v>
      </c>
      <c r="N13" s="8190" t="str">
        <f>IF(Z13="","",INDEX(TERRITORY_MR_LIST,MATCH(Z13,TERRITORY_LIST_ID,0)))</f>
        <v>Территория 1</v>
      </c>
      <c r="O13" s="8188" t="s">
        <v>19</v>
      </c>
      <c r="P13" s="8189"/>
      <c r="Q13" s="8189" t="s">
        <v>112</v>
      </c>
      <c r="R13" s="8191" t="s">
        <v>28</v>
      </c>
      <c r="S13" s="8192" t="s">
        <v>19</v>
      </c>
      <c r="T13" s="8189"/>
      <c r="U13" s="8189" t="s">
        <v>112</v>
      </c>
      <c r="V13" s="8191" t="s">
        <v>28</v>
      </c>
      <c r="W13" s="8187"/>
      <c r="Y13" s="1437"/>
      <c r="Z13" s="1437" t="s">
        <v>101</v>
      </c>
      <c r="AA13" s="1437"/>
      <c r="AB13" s="1437" t="s">
        <v>159</v>
      </c>
      <c r="AC13" s="1437" t="s">
        <v>160</v>
      </c>
      <c r="AD13" s="1437" t="s">
        <v>161</v>
      </c>
      <c r="AE13" s="1437" t="s">
        <v>162</v>
      </c>
      <c r="AF13" s="1437" t="s">
        <v>163</v>
      </c>
      <c r="AG13" s="1437" t="s">
        <v>164</v>
      </c>
      <c r="AH13" s="143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437" t="str">
        <f>IF($G$13=0,"",$G$13)</f>
        <v>Производство тепловой энергии. Комбинированная выработка с уст. мощностью производства электрической энергии 25 МВт и более</v>
      </c>
      <c r="AJ13" s="1437" t="str">
        <f>IF($J$13=0,"",$J$13)</f>
        <v>Тариф на тепловую энергию (мощность) на коллекторах источника тепловой энергии</v>
      </c>
      <c r="AK13" s="1437" t="str">
        <f>IF($K$13="нет","без дифференциации",IF($N$13=0,"",$N$13))</f>
        <v>Территория 1</v>
      </c>
      <c r="AL13" s="1437" t="str">
        <f>IF($O$13="нет","без дифференциации",IF($R$13=0,"",$R$13))</f>
        <v>без дифференциации</v>
      </c>
      <c r="AM13" s="1437" t="str">
        <f>IF($S$13="нет","без дифференциации",IF($V$13=0,"",$V$13))</f>
        <v>без дифференциации</v>
      </c>
      <c r="AN13" s="1437">
        <f>$I$13</f>
        <v>1</v>
      </c>
      <c r="AO13" s="1437" t="str">
        <f>$I$13&amp;"."&amp;$M$13</f>
        <v>1.1</v>
      </c>
      <c r="AP13" s="1437" t="str">
        <f>$I$13&amp;"."&amp;$M$13&amp;"."&amp;$Q$13</f>
        <v>1.1.1</v>
      </c>
      <c r="AQ13" s="1437" t="str">
        <f>$I$13&amp;"."&amp;$M$13&amp;"."&amp;$Q$13&amp;"."&amp;$U$13</f>
        <v>1.1.1.1</v>
      </c>
      <c r="AR13" s="920">
        <v>0</v>
      </c>
    </row>
    <row s="12119" customFormat="1" customHeight="1" ht="17.25">
      <c r="A14" s="491"/>
      <c r="C14" s="490"/>
      <c r="D14" s="2305"/>
      <c r="E14" s="2313"/>
      <c r="F14" s="2316"/>
      <c r="G14" s="8185"/>
      <c r="H14" s="8186"/>
      <c r="I14" s="8186"/>
      <c r="J14" s="8187"/>
      <c r="K14" s="8197"/>
      <c r="L14" s="8189"/>
      <c r="M14" s="8189"/>
      <c r="N14" s="8190"/>
      <c r="O14" s="8197"/>
      <c r="P14" s="8189"/>
      <c r="Q14" s="8189"/>
      <c r="R14" s="8191" t="s">
        <v>28</v>
      </c>
      <c r="S14" s="8192"/>
      <c r="T14" s="8198"/>
      <c r="U14" s="8199"/>
      <c r="V14" s="8200" t="s">
        <v>165</v>
      </c>
      <c r="W14" s="8201"/>
      <c r="Y14" s="1429"/>
      <c r="Z14" s="1429"/>
      <c r="AA14" s="1429"/>
      <c r="AB14" s="1429"/>
      <c r="AC14" s="1429"/>
      <c r="AD14" s="1429"/>
      <c r="AE14" s="1429"/>
      <c r="AF14" s="1429"/>
      <c r="AG14" s="1429"/>
      <c r="AH14" s="1429"/>
      <c r="AI14" s="1429"/>
      <c r="AJ14" s="1429"/>
      <c r="AK14" s="1429"/>
      <c r="AL14" s="1429"/>
      <c r="AM14" s="1429"/>
      <c r="AN14" s="1429"/>
      <c r="AO14" s="1429"/>
      <c r="AP14" s="1429"/>
      <c r="AQ14" s="1429"/>
      <c r="AR14" s="920">
        <v>0</v>
      </c>
    </row>
    <row s="12119" customFormat="1" customHeight="1" ht="17.25">
      <c r="A15" s="491"/>
      <c r="C15" s="379"/>
      <c r="D15" s="2305"/>
      <c r="E15" s="2313"/>
      <c r="F15" s="2316"/>
      <c r="G15" s="8185"/>
      <c r="H15" s="8202"/>
      <c r="I15" s="8202"/>
      <c r="J15" s="8203"/>
      <c r="K15" s="8197"/>
      <c r="L15" s="8202"/>
      <c r="M15" s="8202"/>
      <c r="N15" s="8204"/>
      <c r="O15" s="8205"/>
      <c r="P15" s="8206"/>
      <c r="Q15" s="8207"/>
      <c r="R15" s="8208" t="s">
        <v>166</v>
      </c>
      <c r="S15" s="8209"/>
      <c r="T15" s="8210"/>
      <c r="U15" s="8211"/>
      <c r="V15" s="8212"/>
      <c r="W15" s="8213"/>
      <c r="Y15" s="1437"/>
      <c r="Z15" s="1437"/>
      <c r="AA15" s="1437"/>
      <c r="AB15" s="1437"/>
      <c r="AC15" s="1437"/>
      <c r="AD15" s="1437"/>
      <c r="AE15" s="1437"/>
      <c r="AF15" s="1437"/>
      <c r="AG15" s="1437"/>
      <c r="AH15" s="1437"/>
      <c r="AI15" s="1437"/>
      <c r="AJ15" s="1437"/>
      <c r="AK15" s="1437"/>
      <c r="AL15" s="1437"/>
      <c r="AM15" s="1437"/>
      <c r="AN15" s="1437"/>
      <c r="AO15" s="1437"/>
      <c r="AP15" s="1437"/>
      <c r="AQ15" s="1437"/>
      <c r="AR15" s="1587">
        <v>0</v>
      </c>
    </row>
    <row s="12119" customFormat="1" customHeight="1" ht="17.25">
      <c r="A16" s="491"/>
      <c r="C16" s="490"/>
      <c r="D16" s="2305"/>
      <c r="E16" s="2313"/>
      <c r="F16" s="2316"/>
      <c r="G16" s="8185"/>
      <c r="H16" s="8202"/>
      <c r="I16" s="8202"/>
      <c r="J16" s="8203"/>
      <c r="K16" s="8205"/>
      <c r="L16" s="8215"/>
      <c r="M16" s="8216"/>
      <c r="N16" s="8217" t="s">
        <v>167</v>
      </c>
      <c r="O16" s="8218"/>
      <c r="P16" s="8219"/>
      <c r="Q16" s="8220"/>
      <c r="R16" s="8221"/>
      <c r="S16" s="8222"/>
      <c r="T16" s="8223"/>
      <c r="U16" s="8224"/>
      <c r="V16" s="8225"/>
      <c r="W16" s="8226"/>
      <c r="Y16" s="1429"/>
      <c r="Z16" s="1429"/>
      <c r="AA16" s="1429"/>
      <c r="AB16" s="1429"/>
      <c r="AC16" s="1429"/>
      <c r="AD16" s="1429"/>
      <c r="AE16" s="1429"/>
      <c r="AF16" s="1429"/>
      <c r="AG16" s="1429"/>
      <c r="AH16" s="1429"/>
      <c r="AI16" s="1429"/>
      <c r="AJ16" s="1429"/>
      <c r="AK16" s="1429"/>
      <c r="AL16" s="1429"/>
      <c r="AM16" s="1429"/>
      <c r="AN16" s="1429"/>
      <c r="AO16" s="1429"/>
      <c r="AP16" s="1429"/>
      <c r="AQ16" s="1429"/>
      <c r="AR16" s="1587">
        <v>0</v>
      </c>
    </row>
    <row s="12119" customFormat="1" customHeight="1" ht="17.25">
      <c r="A17" s="491"/>
      <c r="C17" s="490"/>
      <c r="D17" s="2306"/>
      <c r="E17" s="2314"/>
      <c r="F17" s="2317"/>
      <c r="G17" s="8230"/>
      <c r="H17" s="8231"/>
      <c r="I17" s="8232"/>
      <c r="J17" s="8233" t="s">
        <v>168</v>
      </c>
      <c r="K17" s="8234"/>
      <c r="L17" s="8235"/>
      <c r="M17" s="8236"/>
      <c r="N17" s="8237"/>
      <c r="O17" s="8238"/>
      <c r="P17" s="8239"/>
      <c r="Q17" s="8240"/>
      <c r="R17" s="8241"/>
      <c r="S17" s="8242"/>
      <c r="T17" s="8243"/>
      <c r="U17" s="8244"/>
      <c r="V17" s="8245"/>
      <c r="W17" s="8246"/>
      <c r="Y17" s="1429"/>
      <c r="Z17" s="1429"/>
      <c r="AA17" s="1429"/>
      <c r="AB17" s="1429"/>
      <c r="AC17" s="1429"/>
      <c r="AD17" s="1429"/>
      <c r="AE17" s="1429"/>
      <c r="AF17" s="1429"/>
      <c r="AG17" s="1429"/>
      <c r="AH17" s="1429"/>
      <c r="AI17" s="1429"/>
      <c r="AJ17" s="1429"/>
      <c r="AK17" s="1429"/>
      <c r="AL17" s="1429"/>
      <c r="AM17" s="1429"/>
      <c r="AN17" s="1429"/>
      <c r="AO17" s="1429"/>
      <c r="AP17" s="1429"/>
      <c r="AQ17" s="1429"/>
      <c r="AR17" s="920">
        <v>0</v>
      </c>
    </row>
    <row s="12119" customFormat="1" customHeight="1" ht="17.25">
      <c r="A18" s="491"/>
      <c r="C18" s="379"/>
      <c r="D18" s="2305">
        <v>2</v>
      </c>
      <c r="E18" s="3215" t="s">
        <v>169</v>
      </c>
      <c r="F18" s="2315" t="s">
        <v>64</v>
      </c>
      <c r="G18" s="8185" t="str">
        <f>INDEX(VD_NAME_LIST,MATCH("4190066",VD_ID_LIST,0))&amp;"; "&amp;INDEX(VD_NAME_LIST,MATCH("4190068",VD_ID_LIST,0))</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H18" s="8186"/>
      <c r="I18" s="8186">
        <v>1</v>
      </c>
      <c r="J18" s="8187" t="s">
        <v>170</v>
      </c>
      <c r="K18" s="8188" t="s">
        <v>64</v>
      </c>
      <c r="L18" s="8189"/>
      <c r="M18" s="8189" t="s">
        <v>112</v>
      </c>
      <c r="N18" s="8190" t="str">
        <f>IF(Z18="","",INDEX(TERRITORY_MR_LIST,MATCH(Z18,TERRITORY_LIST_ID,0)))</f>
        <v>Территория 1</v>
      </c>
      <c r="O18" s="8188" t="s">
        <v>19</v>
      </c>
      <c r="P18" s="8189"/>
      <c r="Q18" s="8189" t="s">
        <v>112</v>
      </c>
      <c r="R18" s="8191" t="s">
        <v>28</v>
      </c>
      <c r="S18" s="8192" t="s">
        <v>19</v>
      </c>
      <c r="T18" s="8189"/>
      <c r="U18" s="8189" t="s">
        <v>112</v>
      </c>
      <c r="V18" s="8191" t="s">
        <v>28</v>
      </c>
      <c r="W18" s="8187"/>
      <c r="X18" s="1437"/>
      <c r="Y18" s="1437"/>
      <c r="Z18" s="1437" t="s">
        <v>101</v>
      </c>
      <c r="AA18" s="1437"/>
      <c r="AB18" s="1437" t="s">
        <v>171</v>
      </c>
      <c r="AC18" s="1437" t="s">
        <v>172</v>
      </c>
      <c r="AD18" s="1437" t="s">
        <v>173</v>
      </c>
      <c r="AE18" s="1437" t="s">
        <v>174</v>
      </c>
      <c r="AF18" s="1437" t="s">
        <v>175</v>
      </c>
      <c r="AG18" s="1437" t="s">
        <v>176</v>
      </c>
      <c r="AH18" s="1437"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437" t="str">
        <f>IF($G$18=0,"",$G$18)</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AJ18" s="1437" t="str">
        <f>IF($J$18=0,"",$J$18)</f>
        <v>Тариф на тепловую энергию (мощность) поставляемую потребителям</v>
      </c>
      <c r="AK18" s="1437" t="str">
        <f>IF($K$18="нет","без дифференциации",IF($N$18=0,"",$N$18))</f>
        <v>Территория 1</v>
      </c>
      <c r="AL18" s="1437" t="str">
        <f>IF($O$18="нет","без дифференциации",IF($R$18=0,"",$R$18))</f>
        <v>без дифференциации</v>
      </c>
      <c r="AM18" s="1437" t="str">
        <f>IF($S$18="нет","без дифференциации",IF($V$18=0,"",$V$18))</f>
        <v>без дифференциации</v>
      </c>
      <c r="AN18" s="1942">
        <f>$I$18</f>
        <v>1</v>
      </c>
      <c r="AO18" s="1437" t="str">
        <f>$I$18&amp;"."&amp;$M$18</f>
        <v>1.1</v>
      </c>
      <c r="AP18" s="1429" t="str">
        <f>$I$18&amp;"."&amp;$M$18&amp;"."&amp;$Q$18</f>
        <v>1.1.1</v>
      </c>
      <c r="AQ18" s="1429" t="str">
        <f>$I$18&amp;"."&amp;$M$18&amp;"."&amp;$Q$18&amp;"."&amp;$U$18</f>
        <v>1.1.1.1</v>
      </c>
      <c r="AR18" s="1453">
        <v>0</v>
      </c>
    </row>
    <row s="12119" customFormat="1" customHeight="1" ht="17.25">
      <c r="A19" s="491"/>
      <c r="C19" s="490"/>
      <c r="D19" s="2305"/>
      <c r="E19" s="2334"/>
      <c r="F19" s="2316"/>
      <c r="G19" s="8185"/>
      <c r="H19" s="8186"/>
      <c r="I19" s="8186"/>
      <c r="J19" s="8187"/>
      <c r="K19" s="8197"/>
      <c r="L19" s="8189"/>
      <c r="M19" s="8189"/>
      <c r="N19" s="8190"/>
      <c r="O19" s="8197"/>
      <c r="P19" s="8189"/>
      <c r="Q19" s="8189"/>
      <c r="R19" s="8191" t="s">
        <v>28</v>
      </c>
      <c r="S19" s="8192"/>
      <c r="T19" s="8251"/>
      <c r="U19" s="8252"/>
      <c r="V19" s="8253" t="s">
        <v>165</v>
      </c>
      <c r="W19" s="8254"/>
      <c r="X19" s="1429"/>
      <c r="Y19" s="1429"/>
      <c r="Z19" s="1429"/>
      <c r="AA19" s="1429"/>
      <c r="AB19" s="1429"/>
      <c r="AC19" s="1429"/>
      <c r="AD19" s="1429"/>
      <c r="AE19" s="1429"/>
      <c r="AF19" s="1429"/>
      <c r="AG19" s="1429"/>
      <c r="AH19" s="1429"/>
      <c r="AI19" s="1429"/>
      <c r="AJ19" s="1429"/>
      <c r="AK19" s="1429"/>
      <c r="AL19" s="1429"/>
      <c r="AM19" s="1429"/>
      <c r="AN19" s="1429"/>
      <c r="AO19" s="1429"/>
      <c r="AP19" s="1429"/>
      <c r="AQ19" s="1429"/>
      <c r="AR19" s="1453">
        <v>0</v>
      </c>
    </row>
    <row s="12119" customFormat="1" customHeight="1" ht="17.25">
      <c r="A20" s="491"/>
      <c r="C20" s="490"/>
      <c r="D20" s="2306"/>
      <c r="E20" s="2335"/>
      <c r="F20" s="2316"/>
      <c r="G20" s="8230"/>
      <c r="H20" s="8202"/>
      <c r="I20" s="8202"/>
      <c r="J20" s="8203"/>
      <c r="K20" s="8197"/>
      <c r="L20" s="8202"/>
      <c r="M20" s="8202"/>
      <c r="N20" s="8204"/>
      <c r="O20" s="8205"/>
      <c r="P20" s="8256"/>
      <c r="Q20" s="8257"/>
      <c r="R20" s="8258" t="s">
        <v>166</v>
      </c>
      <c r="S20" s="8259"/>
      <c r="T20" s="8260"/>
      <c r="U20" s="8261"/>
      <c r="V20" s="8262"/>
      <c r="W20" s="8263"/>
      <c r="X20" s="1429"/>
      <c r="Y20" s="1429"/>
      <c r="Z20" s="1429"/>
      <c r="AA20" s="1429"/>
      <c r="AB20" s="1429"/>
      <c r="AC20" s="1429"/>
      <c r="AD20" s="1429"/>
      <c r="AE20" s="1429"/>
      <c r="AF20" s="1429"/>
      <c r="AG20" s="1429"/>
      <c r="AH20" s="1429"/>
      <c r="AI20" s="1429"/>
      <c r="AJ20" s="1429"/>
      <c r="AK20" s="1429"/>
      <c r="AL20" s="1429"/>
      <c r="AM20" s="1429"/>
      <c r="AN20" s="1429"/>
      <c r="AO20" s="1429"/>
      <c r="AP20" s="1429"/>
      <c r="AQ20" s="1429"/>
      <c r="AR20" s="1453">
        <v>0</v>
      </c>
    </row>
    <row s="12119" customFormat="1" customHeight="1" ht="17.25">
      <c r="A21" s="491"/>
      <c r="C21" s="490"/>
      <c r="D21" s="2306"/>
      <c r="E21" s="2335"/>
      <c r="F21" s="2316"/>
      <c r="G21" s="8230"/>
      <c r="H21" s="8202"/>
      <c r="I21" s="8202"/>
      <c r="J21" s="8203"/>
      <c r="K21" s="8205"/>
      <c r="L21" s="8264"/>
      <c r="M21" s="8265"/>
      <c r="N21" s="8266" t="s">
        <v>167</v>
      </c>
      <c r="O21" s="8267"/>
      <c r="P21" s="8268"/>
      <c r="Q21" s="8269"/>
      <c r="R21" s="8270"/>
      <c r="S21" s="8271"/>
      <c r="T21" s="8272"/>
      <c r="U21" s="8273"/>
      <c r="V21" s="8274"/>
      <c r="W21" s="8275"/>
      <c r="X21" s="1429"/>
      <c r="Y21" s="1429"/>
      <c r="Z21" s="1429"/>
      <c r="AA21" s="1429"/>
      <c r="AB21" s="1429"/>
      <c r="AC21" s="1429"/>
      <c r="AD21" s="1429"/>
      <c r="AE21" s="1429"/>
      <c r="AF21" s="1429"/>
      <c r="AG21" s="1429"/>
      <c r="AH21" s="1429"/>
      <c r="AI21" s="1429"/>
      <c r="AJ21" s="1429"/>
      <c r="AK21" s="1429"/>
      <c r="AL21" s="1429"/>
      <c r="AM21" s="1429"/>
      <c r="AN21" s="1429"/>
      <c r="AO21" s="1429"/>
      <c r="AP21" s="1429"/>
      <c r="AQ21" s="1429"/>
      <c r="AR21" s="1453">
        <v>0</v>
      </c>
    </row>
    <row s="12119" customFormat="1" customHeight="1" ht="17.25">
      <c r="A22" s="491"/>
      <c r="C22" s="490"/>
      <c r="D22" s="2306"/>
      <c r="E22" s="2335"/>
      <c r="F22" s="2317"/>
      <c r="G22" s="8230"/>
      <c r="H22" s="8276"/>
      <c r="I22" s="8277"/>
      <c r="J22" s="8278" t="s">
        <v>168</v>
      </c>
      <c r="K22" s="8279"/>
      <c r="L22" s="8280"/>
      <c r="M22" s="8281"/>
      <c r="N22" s="8282"/>
      <c r="O22" s="8283"/>
      <c r="P22" s="8284"/>
      <c r="Q22" s="8285"/>
      <c r="R22" s="8286"/>
      <c r="S22" s="8287"/>
      <c r="T22" s="8288"/>
      <c r="U22" s="8289"/>
      <c r="V22" s="8290"/>
      <c r="W22" s="8291"/>
      <c r="X22" s="1429"/>
      <c r="Y22" s="1429"/>
      <c r="Z22" s="1429"/>
      <c r="AA22" s="1429"/>
      <c r="AB22" s="1429"/>
      <c r="AC22" s="1429"/>
      <c r="AD22" s="1429"/>
      <c r="AE22" s="1429"/>
      <c r="AF22" s="1429"/>
      <c r="AG22" s="1429"/>
      <c r="AH22" s="1429"/>
      <c r="AI22" s="1429"/>
      <c r="AJ22" s="1429"/>
      <c r="AK22" s="1429"/>
      <c r="AL22" s="1429"/>
      <c r="AM22" s="1429"/>
      <c r="AN22" s="1429"/>
      <c r="AO22" s="1429"/>
      <c r="AP22" s="1429"/>
      <c r="AQ22" s="1429"/>
      <c r="AR22" s="1453">
        <v>0</v>
      </c>
    </row>
    <row s="12119" customFormat="1" customHeight="1" ht="17.25" hidden="1">
      <c r="A23" s="491"/>
      <c r="C23" s="379"/>
      <c r="D23" s="2305">
        <v>2</v>
      </c>
      <c r="E23" s="2313" t="s">
        <v>177</v>
      </c>
      <c r="F23" s="2315" t="s">
        <v>19</v>
      </c>
      <c r="G23" s="2313"/>
      <c r="H23" s="2318"/>
      <c r="I23" s="2320"/>
      <c r="J23" s="2322"/>
      <c r="K23" s="2307"/>
      <c r="L23" s="2307"/>
      <c r="M23" s="2307"/>
      <c r="N23" s="2309"/>
      <c r="O23" s="2307"/>
      <c r="P23" s="2307"/>
      <c r="Q23" s="2307"/>
      <c r="R23" s="2312"/>
      <c r="S23" s="2307"/>
      <c r="T23" s="2168"/>
      <c r="U23" s="2168"/>
      <c r="V23" s="2170"/>
      <c r="W23" s="1466"/>
      <c r="X23" s="1437"/>
      <c r="Y23" s="1437"/>
      <c r="Z23" s="1437" t="s">
        <v>28</v>
      </c>
      <c r="AA23" s="1437" t="s">
        <v>28</v>
      </c>
      <c r="AB23" s="1437" t="s">
        <v>28</v>
      </c>
      <c r="AC23" s="1437" t="s">
        <v>28</v>
      </c>
      <c r="AD23" s="1437" t="s">
        <v>28</v>
      </c>
      <c r="AE23" s="1437" t="s">
        <v>28</v>
      </c>
      <c r="AF23" s="1437" t="s">
        <v>28</v>
      </c>
      <c r="AG23" s="1437" t="s">
        <v>28</v>
      </c>
      <c r="AH23" s="1437" t="s">
        <v>28</v>
      </c>
      <c r="AI23" s="1437" t="s">
        <v>28</v>
      </c>
      <c r="AJ23" s="1437" t="s">
        <v>28</v>
      </c>
      <c r="AK23" s="1437" t="s">
        <v>28</v>
      </c>
      <c r="AL23" s="1437" t="s">
        <v>28</v>
      </c>
      <c r="AM23" s="1437" t="s">
        <v>28</v>
      </c>
      <c r="AN23" s="1942" t="s">
        <v>28</v>
      </c>
      <c r="AO23" s="1437" t="s">
        <v>28</v>
      </c>
      <c r="AP23" s="1436" t="s">
        <v>28</v>
      </c>
      <c r="AQ23" s="1436" t="s">
        <v>28</v>
      </c>
      <c r="AR23" s="1637">
        <v>0</v>
      </c>
    </row>
    <row s="12119" customFormat="1" customHeight="1" ht="17.25" hidden="1">
      <c r="A24" s="491"/>
      <c r="C24" s="490"/>
      <c r="D24" s="2305"/>
      <c r="E24" s="2313"/>
      <c r="F24" s="2316"/>
      <c r="G24" s="2313"/>
      <c r="H24" s="2319"/>
      <c r="I24" s="2321"/>
      <c r="J24" s="2323"/>
      <c r="K24" s="2308"/>
      <c r="L24" s="2308"/>
      <c r="M24" s="2308"/>
      <c r="N24" s="2310"/>
      <c r="O24" s="2308"/>
      <c r="P24" s="2308"/>
      <c r="Q24" s="2308"/>
      <c r="R24" s="2311"/>
      <c r="S24" s="2308"/>
      <c r="T24" s="2173"/>
      <c r="U24" s="2173"/>
      <c r="V24" s="2173"/>
      <c r="W24" s="2174"/>
      <c r="X24" s="1436"/>
      <c r="Y24" s="1436"/>
      <c r="Z24" s="1436"/>
      <c r="AA24" s="1436"/>
      <c r="AB24" s="1436"/>
      <c r="AC24" s="1436"/>
      <c r="AD24" s="1436"/>
      <c r="AE24" s="1436"/>
      <c r="AF24" s="1436"/>
      <c r="AG24" s="1436"/>
      <c r="AH24" s="1436"/>
      <c r="AI24" s="1436"/>
      <c r="AJ24" s="1436"/>
      <c r="AK24" s="1436"/>
      <c r="AL24" s="1436"/>
      <c r="AM24" s="1436"/>
      <c r="AN24" s="1436"/>
      <c r="AO24" s="1436"/>
      <c r="AP24" s="1436"/>
      <c r="AQ24" s="1436"/>
      <c r="AR24" s="1637">
        <v>0</v>
      </c>
    </row>
    <row s="12119" customFormat="1" customHeight="1" ht="17.25" hidden="1">
      <c r="A25" s="491"/>
      <c r="C25" s="490"/>
      <c r="D25" s="2306"/>
      <c r="E25" s="2314"/>
      <c r="F25" s="2316"/>
      <c r="G25" s="2314"/>
      <c r="H25" s="2319"/>
      <c r="I25" s="2321"/>
      <c r="J25" s="2324"/>
      <c r="K25" s="2308"/>
      <c r="L25" s="2308"/>
      <c r="M25" s="2308"/>
      <c r="N25" s="2311"/>
      <c r="O25" s="2308"/>
      <c r="P25" s="2169"/>
      <c r="Q25" s="2173"/>
      <c r="R25" s="2173"/>
      <c r="S25" s="499"/>
      <c r="T25" s="499"/>
      <c r="U25" s="499"/>
      <c r="V25" s="499"/>
      <c r="W25" s="2174"/>
      <c r="X25" s="1436"/>
      <c r="Y25" s="1436"/>
      <c r="Z25" s="1436"/>
      <c r="AA25" s="1436"/>
      <c r="AB25" s="1436"/>
      <c r="AC25" s="1436"/>
      <c r="AD25" s="1436"/>
      <c r="AE25" s="1436"/>
      <c r="AF25" s="1436"/>
      <c r="AG25" s="1436"/>
      <c r="AH25" s="1436"/>
      <c r="AI25" s="1436"/>
      <c r="AJ25" s="1436"/>
      <c r="AK25" s="1436"/>
      <c r="AL25" s="1436"/>
      <c r="AM25" s="1436"/>
      <c r="AN25" s="1436"/>
      <c r="AO25" s="1436"/>
      <c r="AP25" s="1436"/>
      <c r="AQ25" s="1436"/>
      <c r="AR25" s="1637">
        <v>0</v>
      </c>
    </row>
    <row s="12119" customFormat="1" customHeight="1" ht="17.25" hidden="1">
      <c r="A26" s="491"/>
      <c r="C26" s="490"/>
      <c r="D26" s="2306"/>
      <c r="E26" s="2314"/>
      <c r="F26" s="2316"/>
      <c r="G26" s="2314"/>
      <c r="H26" s="2319"/>
      <c r="I26" s="2321"/>
      <c r="J26" s="2324"/>
      <c r="K26" s="2308"/>
      <c r="L26" s="2173"/>
      <c r="M26" s="2173"/>
      <c r="N26" s="2173"/>
      <c r="O26" s="2173"/>
      <c r="P26" s="2173"/>
      <c r="Q26" s="2173"/>
      <c r="R26" s="2173"/>
      <c r="S26" s="499"/>
      <c r="T26" s="499"/>
      <c r="U26" s="499"/>
      <c r="V26" s="499"/>
      <c r="W26" s="2174"/>
      <c r="X26" s="1436"/>
      <c r="Y26" s="1436"/>
      <c r="Z26" s="1436"/>
      <c r="AA26" s="1436"/>
      <c r="AB26" s="1436"/>
      <c r="AC26" s="1436"/>
      <c r="AD26" s="1436"/>
      <c r="AE26" s="1436"/>
      <c r="AF26" s="1436"/>
      <c r="AG26" s="1436"/>
      <c r="AH26" s="1436"/>
      <c r="AI26" s="1436"/>
      <c r="AJ26" s="1436"/>
      <c r="AK26" s="1436"/>
      <c r="AL26" s="1436"/>
      <c r="AM26" s="1436"/>
      <c r="AN26" s="1436"/>
      <c r="AO26" s="1436"/>
      <c r="AP26" s="1436"/>
      <c r="AQ26" s="1436"/>
      <c r="AR26" s="1637">
        <v>0</v>
      </c>
    </row>
    <row s="12119" customFormat="1" customHeight="1" ht="17.25" hidden="1">
      <c r="A27" s="491"/>
      <c r="C27" s="490"/>
      <c r="D27" s="2306"/>
      <c r="E27" s="2314"/>
      <c r="F27" s="2317"/>
      <c r="G27" s="2314"/>
      <c r="H27" s="1469"/>
      <c r="I27" s="2171"/>
      <c r="J27" s="2171"/>
      <c r="K27" s="2171"/>
      <c r="L27" s="2171"/>
      <c r="M27" s="2171"/>
      <c r="N27" s="2171"/>
      <c r="O27" s="2171"/>
      <c r="P27" s="2171"/>
      <c r="Q27" s="2171"/>
      <c r="R27" s="2171"/>
      <c r="S27" s="1471"/>
      <c r="T27" s="1471"/>
      <c r="U27" s="1471"/>
      <c r="V27" s="1471"/>
      <c r="W27" s="2172"/>
      <c r="X27" s="1436"/>
      <c r="Y27" s="1436"/>
      <c r="Z27" s="1436"/>
      <c r="AA27" s="1436"/>
      <c r="AB27" s="1436"/>
      <c r="AC27" s="1436"/>
      <c r="AD27" s="1436"/>
      <c r="AE27" s="1436"/>
      <c r="AF27" s="1436"/>
      <c r="AG27" s="1436"/>
      <c r="AH27" s="1436"/>
      <c r="AI27" s="1436"/>
      <c r="AJ27" s="1436"/>
      <c r="AK27" s="1436"/>
      <c r="AL27" s="1436"/>
      <c r="AM27" s="1436"/>
      <c r="AN27" s="1436"/>
      <c r="AO27" s="1436"/>
      <c r="AP27" s="1436"/>
      <c r="AQ27" s="1436"/>
      <c r="AR27" s="1637">
        <v>0</v>
      </c>
    </row>
    <row s="12119" customFormat="1" customHeight="1" ht="17.25">
      <c r="A28" s="491"/>
      <c r="C28" s="379"/>
      <c r="D28" s="2305">
        <v>3</v>
      </c>
      <c r="E28" s="2313" t="s">
        <v>178</v>
      </c>
      <c r="F28" s="2315" t="s">
        <v>64</v>
      </c>
      <c r="G28" s="8185" t="str">
        <f>INDEX(VD_NAME_LIST,MATCH("4190067",VD_ID_LIST,0))</f>
        <v>Производство. Теплоноситель</v>
      </c>
      <c r="H28" s="8186"/>
      <c r="I28" s="8186">
        <v>1</v>
      </c>
      <c r="J28" s="8187" t="s">
        <v>179</v>
      </c>
      <c r="K28" s="8188" t="s">
        <v>64</v>
      </c>
      <c r="L28" s="8189"/>
      <c r="M28" s="8189" t="s">
        <v>112</v>
      </c>
      <c r="N28" s="8190" t="str">
        <f>IF(Z28="","",INDEX(TERRITORY_MR_LIST,MATCH(Z28,TERRITORY_LIST_ID,0)))</f>
        <v>Территория 1</v>
      </c>
      <c r="O28" s="8188" t="s">
        <v>19</v>
      </c>
      <c r="P28" s="8189"/>
      <c r="Q28" s="8189" t="s">
        <v>112</v>
      </c>
      <c r="R28" s="8191" t="s">
        <v>28</v>
      </c>
      <c r="S28" s="8192" t="s">
        <v>19</v>
      </c>
      <c r="T28" s="8189"/>
      <c r="U28" s="8189" t="s">
        <v>112</v>
      </c>
      <c r="V28" s="8191" t="s">
        <v>28</v>
      </c>
      <c r="W28" s="8187"/>
      <c r="X28" s="1437"/>
      <c r="Y28" s="1437"/>
      <c r="Z28" s="1437" t="s">
        <v>101</v>
      </c>
      <c r="AA28" s="1437"/>
      <c r="AB28" s="1437" t="s">
        <v>180</v>
      </c>
      <c r="AC28" s="1437" t="s">
        <v>181</v>
      </c>
      <c r="AD28" s="1437" t="s">
        <v>182</v>
      </c>
      <c r="AE28" s="1437" t="s">
        <v>183</v>
      </c>
      <c r="AF28" s="1437" t="s">
        <v>184</v>
      </c>
      <c r="AG28" s="1437" t="s">
        <v>185</v>
      </c>
      <c r="AH28" s="1437" t="str">
        <f>IF($E$28=0,"",$E$28)</f>
        <v>Тарифы на теплоноситель, поставляемый теплоснабжающими организациями потребителям, другим теплоснабжающим организациям</v>
      </c>
      <c r="AI28" s="1437" t="str">
        <f>IF($G$28=0,"",$G$28)</f>
        <v>Производство. Теплоноситель</v>
      </c>
      <c r="AJ28" s="1437" t="str">
        <f>IF($J$28=0,"",$J$28)</f>
        <v>Тариф на теплоноситель, поставляемый потребителям</v>
      </c>
      <c r="AK28" s="1437" t="str">
        <f>IF($K$28="нет","без дифференциации",IF($N$28=0,"",$N$28))</f>
        <v>Территория 1</v>
      </c>
      <c r="AL28" s="1437" t="str">
        <f>IF($O$28="нет","без дифференциации",IF($R$28=0,"",$R$28))</f>
        <v>без дифференциации</v>
      </c>
      <c r="AM28" s="1437" t="str">
        <f>IF($S$28="нет","без дифференциации",IF($V$28=0,"",$V$28))</f>
        <v>без дифференциации</v>
      </c>
      <c r="AN28" s="1942">
        <f>$I$28</f>
        <v>1</v>
      </c>
      <c r="AO28" s="1437" t="str">
        <f>$I$28&amp;"."&amp;$M$28</f>
        <v>1.1</v>
      </c>
      <c r="AP28" s="1429" t="str">
        <f>$I$28&amp;"."&amp;$M$28&amp;"."&amp;$Q$28</f>
        <v>1.1.1</v>
      </c>
      <c r="AQ28" s="1429" t="str">
        <f>$I$28&amp;"."&amp;$M$28&amp;"."&amp;$Q$28&amp;"."&amp;$U$28</f>
        <v>1.1.1.1</v>
      </c>
      <c r="AR28" s="1453">
        <v>0</v>
      </c>
    </row>
    <row s="12119" customFormat="1" customHeight="1" ht="17.25">
      <c r="A29" s="491"/>
      <c r="C29" s="490"/>
      <c r="D29" s="2305"/>
      <c r="E29" s="2313"/>
      <c r="F29" s="2316"/>
      <c r="G29" s="8185"/>
      <c r="H29" s="8186"/>
      <c r="I29" s="8186"/>
      <c r="J29" s="8187"/>
      <c r="K29" s="8197"/>
      <c r="L29" s="8189"/>
      <c r="M29" s="8189"/>
      <c r="N29" s="8190"/>
      <c r="O29" s="8197"/>
      <c r="P29" s="8189"/>
      <c r="Q29" s="8189"/>
      <c r="R29" s="8191" t="s">
        <v>28</v>
      </c>
      <c r="S29" s="8192"/>
      <c r="T29" s="8317"/>
      <c r="U29" s="8318"/>
      <c r="V29" s="8319" t="s">
        <v>165</v>
      </c>
      <c r="W29" s="8320"/>
      <c r="X29" s="1429"/>
      <c r="Y29" s="1429"/>
      <c r="Z29" s="1429"/>
      <c r="AA29" s="1429"/>
      <c r="AB29" s="1429"/>
      <c r="AC29" s="1429"/>
      <c r="AD29" s="1429"/>
      <c r="AE29" s="1429"/>
      <c r="AF29" s="1429"/>
      <c r="AG29" s="1429"/>
      <c r="AH29" s="1429"/>
      <c r="AI29" s="1429"/>
      <c r="AJ29" s="1429"/>
      <c r="AK29" s="1429"/>
      <c r="AL29" s="1429"/>
      <c r="AM29" s="1429"/>
      <c r="AN29" s="1429"/>
      <c r="AO29" s="1429"/>
      <c r="AP29" s="1429"/>
      <c r="AQ29" s="1429"/>
      <c r="AR29" s="1453">
        <v>0</v>
      </c>
    </row>
    <row s="12119" customFormat="1" customHeight="1" ht="17.25">
      <c r="A30" s="491"/>
      <c r="C30" s="490"/>
      <c r="D30" s="2306"/>
      <c r="E30" s="2314"/>
      <c r="F30" s="2316"/>
      <c r="G30" s="8230"/>
      <c r="H30" s="8202"/>
      <c r="I30" s="8202"/>
      <c r="J30" s="8203"/>
      <c r="K30" s="8197"/>
      <c r="L30" s="8202"/>
      <c r="M30" s="8202"/>
      <c r="N30" s="8204"/>
      <c r="O30" s="8205"/>
      <c r="P30" s="8321"/>
      <c r="Q30" s="8322"/>
      <c r="R30" s="8323" t="s">
        <v>166</v>
      </c>
      <c r="S30" s="8324"/>
      <c r="T30" s="8325"/>
      <c r="U30" s="8326"/>
      <c r="V30" s="8327"/>
      <c r="W30" s="8328"/>
      <c r="X30" s="1429"/>
      <c r="Y30" s="1429"/>
      <c r="Z30" s="1429"/>
      <c r="AA30" s="1429"/>
      <c r="AB30" s="1429"/>
      <c r="AC30" s="1429"/>
      <c r="AD30" s="1429"/>
      <c r="AE30" s="1429"/>
      <c r="AF30" s="1429"/>
      <c r="AG30" s="1429"/>
      <c r="AH30" s="1429"/>
      <c r="AI30" s="1429"/>
      <c r="AJ30" s="1429"/>
      <c r="AK30" s="1429"/>
      <c r="AL30" s="1429"/>
      <c r="AM30" s="1429"/>
      <c r="AN30" s="1429"/>
      <c r="AO30" s="1429"/>
      <c r="AP30" s="1429"/>
      <c r="AQ30" s="1429"/>
      <c r="AR30" s="1453">
        <v>0</v>
      </c>
    </row>
    <row s="12119" customFormat="1" customHeight="1" ht="17.25">
      <c r="A31" s="491"/>
      <c r="C31" s="490"/>
      <c r="D31" s="2306"/>
      <c r="E31" s="2314"/>
      <c r="F31" s="2316"/>
      <c r="G31" s="8230"/>
      <c r="H31" s="8202"/>
      <c r="I31" s="8202"/>
      <c r="J31" s="8203"/>
      <c r="K31" s="8205"/>
      <c r="L31" s="8329"/>
      <c r="M31" s="8330"/>
      <c r="N31" s="8331" t="s">
        <v>167</v>
      </c>
      <c r="O31" s="8332"/>
      <c r="P31" s="8333"/>
      <c r="Q31" s="8334"/>
      <c r="R31" s="8335"/>
      <c r="S31" s="8336"/>
      <c r="T31" s="8337"/>
      <c r="U31" s="8338"/>
      <c r="V31" s="8339"/>
      <c r="W31" s="8340"/>
      <c r="X31" s="1429"/>
      <c r="Y31" s="1429"/>
      <c r="Z31" s="1429"/>
      <c r="AA31" s="1429"/>
      <c r="AB31" s="1429"/>
      <c r="AC31" s="1429"/>
      <c r="AD31" s="1429"/>
      <c r="AE31" s="1429"/>
      <c r="AF31" s="1429"/>
      <c r="AG31" s="1429"/>
      <c r="AH31" s="1429"/>
      <c r="AI31" s="1429"/>
      <c r="AJ31" s="1429"/>
      <c r="AK31" s="1429"/>
      <c r="AL31" s="1429"/>
      <c r="AM31" s="1429"/>
      <c r="AN31" s="1429"/>
      <c r="AO31" s="1429"/>
      <c r="AP31" s="1429"/>
      <c r="AQ31" s="1429"/>
      <c r="AR31" s="1453">
        <v>0</v>
      </c>
    </row>
    <row s="12119" customFormat="1" customHeight="1" ht="17.25">
      <c r="A32" s="491"/>
      <c r="C32" s="490"/>
      <c r="D32" s="2306"/>
      <c r="E32" s="2314"/>
      <c r="F32" s="2317"/>
      <c r="G32" s="8230"/>
      <c r="H32" s="8341"/>
      <c r="I32" s="8342"/>
      <c r="J32" s="8343" t="s">
        <v>168</v>
      </c>
      <c r="K32" s="8344"/>
      <c r="L32" s="8345"/>
      <c r="M32" s="8346"/>
      <c r="N32" s="8347"/>
      <c r="O32" s="8348"/>
      <c r="P32" s="8349"/>
      <c r="Q32" s="8350"/>
      <c r="R32" s="8351"/>
      <c r="S32" s="8352"/>
      <c r="T32" s="8353"/>
      <c r="U32" s="8354"/>
      <c r="V32" s="8355"/>
      <c r="W32" s="8356"/>
      <c r="X32" s="1429"/>
      <c r="Y32" s="1429"/>
      <c r="Z32" s="1429"/>
      <c r="AA32" s="1429"/>
      <c r="AB32" s="1429"/>
      <c r="AC32" s="1429"/>
      <c r="AD32" s="1429"/>
      <c r="AE32" s="1429"/>
      <c r="AF32" s="1429"/>
      <c r="AG32" s="1429"/>
      <c r="AH32" s="1429"/>
      <c r="AI32" s="1429"/>
      <c r="AJ32" s="1429"/>
      <c r="AK32" s="1429"/>
      <c r="AL32" s="1429"/>
      <c r="AM32" s="1429"/>
      <c r="AN32" s="1429"/>
      <c r="AO32" s="1429"/>
      <c r="AP32" s="1429"/>
      <c r="AQ32" s="1429"/>
      <c r="AR32" s="1453">
        <v>0</v>
      </c>
    </row>
    <row s="12119" customFormat="1" customHeight="1" ht="17.25">
      <c r="A33" s="491"/>
      <c r="C33" s="379"/>
      <c r="D33" s="2305">
        <v>4</v>
      </c>
      <c r="E33" s="2313" t="s">
        <v>186</v>
      </c>
      <c r="F33" s="2315" t="s">
        <v>19</v>
      </c>
      <c r="G33" s="2313"/>
      <c r="H33" s="2318"/>
      <c r="I33" s="2320"/>
      <c r="J33" s="2322"/>
      <c r="K33" s="2307"/>
      <c r="L33" s="2307"/>
      <c r="M33" s="2307"/>
      <c r="N33" s="2309"/>
      <c r="O33" s="2307"/>
      <c r="P33" s="2307"/>
      <c r="Q33" s="2307"/>
      <c r="R33" s="2312"/>
      <c r="S33" s="2307"/>
      <c r="T33" s="1590"/>
      <c r="U33" s="1590"/>
      <c r="V33" s="1589"/>
      <c r="W33" s="1466"/>
      <c r="X33" s="1437"/>
      <c r="Y33" s="1437"/>
      <c r="Z33" s="1437"/>
      <c r="AA33" s="1437"/>
      <c r="AB33" s="1437"/>
      <c r="AC33" s="1437" t="s">
        <v>187</v>
      </c>
      <c r="AD33" s="1437" t="s">
        <v>188</v>
      </c>
      <c r="AE33" s="1437" t="s">
        <v>189</v>
      </c>
      <c r="AF33" s="1437" t="s">
        <v>190</v>
      </c>
      <c r="AG33" s="1437" t="s">
        <v>191</v>
      </c>
      <c r="AH33" s="143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437" t="str">
        <f>IF($G$33=0,"",$G$33)</f>
        <v/>
      </c>
      <c r="AJ33" s="1437" t="str">
        <f>IF($J$33=0,"",$J$33)</f>
        <v/>
      </c>
      <c r="AK33" s="1437" t="str">
        <f>IF($K$33="нет","без дифференциации",IF($N$33=0,"",$N$33))</f>
        <v/>
      </c>
      <c r="AL33" s="1437" t="str">
        <f>IF($O$33="нет","без дифференциации",IF($R$33=0,"",$R$33))</f>
        <v/>
      </c>
      <c r="AM33" s="1437" t="str">
        <f>IF($S$33="нет","без дифференциации",IF($V$33=0,"",$V$33))</f>
        <v/>
      </c>
      <c r="AN33" s="1942">
        <f>$I$33</f>
        <v>0</v>
      </c>
      <c r="AO33" s="1437" t="str">
        <f>$I$33&amp;"."&amp;$M$33</f>
        <v>.</v>
      </c>
      <c r="AP33" s="1429" t="str">
        <f>$I$33&amp;"."&amp;$M$33&amp;"."&amp;$Q$33</f>
        <v>..</v>
      </c>
      <c r="AQ33" s="1429" t="str">
        <f>$I$33&amp;"."&amp;$M$33&amp;"."&amp;$Q$33&amp;"."&amp;$U$33</f>
        <v>...</v>
      </c>
      <c r="AR33" s="1453">
        <v>0</v>
      </c>
    </row>
    <row s="12119" customFormat="1" customHeight="1" ht="17.25">
      <c r="A34" s="491"/>
      <c r="C34" s="490"/>
      <c r="D34" s="2305"/>
      <c r="E34" s="2313"/>
      <c r="F34" s="2316"/>
      <c r="G34" s="2313"/>
      <c r="H34" s="2319"/>
      <c r="I34" s="2321"/>
      <c r="J34" s="2323"/>
      <c r="K34" s="2308"/>
      <c r="L34" s="2308"/>
      <c r="M34" s="2308"/>
      <c r="N34" s="2310"/>
      <c r="O34" s="2308"/>
      <c r="P34" s="2308"/>
      <c r="Q34" s="2308"/>
      <c r="R34" s="2311"/>
      <c r="S34" s="2308"/>
      <c r="T34" s="1467"/>
      <c r="U34" s="1467"/>
      <c r="V34" s="1467"/>
      <c r="W34" s="1468"/>
      <c r="X34" s="1429"/>
      <c r="Y34" s="1429"/>
      <c r="Z34" s="1429"/>
      <c r="AA34" s="1429"/>
      <c r="AB34" s="1429"/>
      <c r="AC34" s="1429"/>
      <c r="AD34" s="1429"/>
      <c r="AE34" s="1429"/>
      <c r="AF34" s="1429"/>
      <c r="AG34" s="1429"/>
      <c r="AH34" s="1429"/>
      <c r="AI34" s="1429"/>
      <c r="AJ34" s="1429"/>
      <c r="AK34" s="1429"/>
      <c r="AL34" s="1429"/>
      <c r="AM34" s="1429"/>
      <c r="AN34" s="1429"/>
      <c r="AO34" s="1429"/>
      <c r="AP34" s="1429"/>
      <c r="AQ34" s="1429"/>
      <c r="AR34" s="1453">
        <v>0</v>
      </c>
    </row>
    <row s="12119" customFormat="1" customHeight="1" ht="17.25">
      <c r="A35" s="491"/>
      <c r="C35" s="490"/>
      <c r="D35" s="2306"/>
      <c r="E35" s="2314"/>
      <c r="F35" s="2316"/>
      <c r="G35" s="2314"/>
      <c r="H35" s="2319"/>
      <c r="I35" s="2321"/>
      <c r="J35" s="2324"/>
      <c r="K35" s="2308"/>
      <c r="L35" s="2308"/>
      <c r="M35" s="2308"/>
      <c r="N35" s="2311"/>
      <c r="O35" s="2308"/>
      <c r="P35" s="1588"/>
      <c r="Q35" s="1467"/>
      <c r="R35" s="1467"/>
      <c r="S35" s="499"/>
      <c r="T35" s="499"/>
      <c r="U35" s="499"/>
      <c r="V35" s="499"/>
      <c r="W35" s="1468"/>
      <c r="X35" s="1429"/>
      <c r="Y35" s="1429"/>
      <c r="Z35" s="1429"/>
      <c r="AA35" s="1429"/>
      <c r="AB35" s="1429"/>
      <c r="AC35" s="1429"/>
      <c r="AD35" s="1429"/>
      <c r="AE35" s="1429"/>
      <c r="AF35" s="1429"/>
      <c r="AG35" s="1429"/>
      <c r="AH35" s="1429"/>
      <c r="AI35" s="1429"/>
      <c r="AJ35" s="1429"/>
      <c r="AK35" s="1429"/>
      <c r="AL35" s="1429"/>
      <c r="AM35" s="1429"/>
      <c r="AN35" s="1429"/>
      <c r="AO35" s="1429"/>
      <c r="AP35" s="1429"/>
      <c r="AQ35" s="1429"/>
      <c r="AR35" s="1453">
        <v>0</v>
      </c>
    </row>
    <row s="12119" customFormat="1" customHeight="1" ht="17.25">
      <c r="A36" s="491"/>
      <c r="C36" s="490"/>
      <c r="D36" s="2306"/>
      <c r="E36" s="2314"/>
      <c r="F36" s="2316"/>
      <c r="G36" s="2314"/>
      <c r="H36" s="2319"/>
      <c r="I36" s="2321"/>
      <c r="J36" s="2324"/>
      <c r="K36" s="2308"/>
      <c r="L36" s="1467"/>
      <c r="M36" s="1467"/>
      <c r="N36" s="1467"/>
      <c r="O36" s="1467"/>
      <c r="P36" s="1467"/>
      <c r="Q36" s="1467"/>
      <c r="R36" s="1467"/>
      <c r="S36" s="499"/>
      <c r="T36" s="499"/>
      <c r="U36" s="499"/>
      <c r="V36" s="499"/>
      <c r="W36" s="1468"/>
      <c r="X36" s="1429"/>
      <c r="Y36" s="1429"/>
      <c r="Z36" s="1429"/>
      <c r="AA36" s="1429"/>
      <c r="AB36" s="1429"/>
      <c r="AC36" s="1429"/>
      <c r="AD36" s="1429"/>
      <c r="AE36" s="1429"/>
      <c r="AF36" s="1429"/>
      <c r="AG36" s="1429"/>
      <c r="AH36" s="1429"/>
      <c r="AI36" s="1429"/>
      <c r="AJ36" s="1429"/>
      <c r="AK36" s="1429"/>
      <c r="AL36" s="1429"/>
      <c r="AM36" s="1429"/>
      <c r="AN36" s="1429"/>
      <c r="AO36" s="1429"/>
      <c r="AP36" s="1429"/>
      <c r="AQ36" s="1429"/>
      <c r="AR36" s="1453">
        <v>0</v>
      </c>
    </row>
    <row s="12119" customFormat="1" customHeight="1" ht="17.25">
      <c r="A37" s="491"/>
      <c r="C37" s="490"/>
      <c r="D37" s="2306"/>
      <c r="E37" s="2314"/>
      <c r="F37" s="2317"/>
      <c r="G37" s="2314"/>
      <c r="H37" s="1469"/>
      <c r="I37" s="1470"/>
      <c r="J37" s="1470"/>
      <c r="K37" s="1470"/>
      <c r="L37" s="1470"/>
      <c r="M37" s="1470"/>
      <c r="N37" s="1470"/>
      <c r="O37" s="1470"/>
      <c r="P37" s="1470"/>
      <c r="Q37" s="1470"/>
      <c r="R37" s="1470"/>
      <c r="S37" s="1471"/>
      <c r="T37" s="1471"/>
      <c r="U37" s="1471"/>
      <c r="V37" s="1471"/>
      <c r="W37" s="1472"/>
      <c r="X37" s="1429"/>
      <c r="Y37" s="1429"/>
      <c r="Z37" s="1429"/>
      <c r="AA37" s="1429"/>
      <c r="AB37" s="1429"/>
      <c r="AC37" s="1429"/>
      <c r="AD37" s="1429"/>
      <c r="AE37" s="1429"/>
      <c r="AF37" s="1429"/>
      <c r="AG37" s="1429"/>
      <c r="AH37" s="1429"/>
      <c r="AI37" s="1429"/>
      <c r="AJ37" s="1429"/>
      <c r="AK37" s="1429"/>
      <c r="AL37" s="1429"/>
      <c r="AM37" s="1429"/>
      <c r="AN37" s="1429"/>
      <c r="AO37" s="1429"/>
      <c r="AP37" s="1429"/>
      <c r="AQ37" s="1429"/>
      <c r="AR37" s="1453">
        <v>0</v>
      </c>
    </row>
    <row s="12119" customFormat="1" customHeight="1" ht="17.25">
      <c r="A38" s="491"/>
      <c r="C38" s="379"/>
      <c r="D38" s="2305">
        <v>5</v>
      </c>
      <c r="E38" s="2313" t="s">
        <v>192</v>
      </c>
      <c r="F38" s="2315" t="s">
        <v>19</v>
      </c>
      <c r="G38" s="2313"/>
      <c r="H38" s="2318"/>
      <c r="I38" s="2320"/>
      <c r="J38" s="2322"/>
      <c r="K38" s="2307"/>
      <c r="L38" s="2307"/>
      <c r="M38" s="2307"/>
      <c r="N38" s="2309"/>
      <c r="O38" s="2307"/>
      <c r="P38" s="2307"/>
      <c r="Q38" s="2307"/>
      <c r="R38" s="2312"/>
      <c r="S38" s="2307"/>
      <c r="T38" s="1590"/>
      <c r="U38" s="1590"/>
      <c r="V38" s="1589"/>
      <c r="W38" s="1466"/>
      <c r="X38" s="1437"/>
      <c r="Y38" s="1437"/>
      <c r="Z38" s="1437"/>
      <c r="AA38" s="1437"/>
      <c r="AB38" s="1437"/>
      <c r="AC38" s="1437" t="s">
        <v>193</v>
      </c>
      <c r="AD38" s="1437" t="s">
        <v>194</v>
      </c>
      <c r="AE38" s="1437" t="s">
        <v>195</v>
      </c>
      <c r="AF38" s="1437" t="s">
        <v>196</v>
      </c>
      <c r="AG38" s="1437" t="s">
        <v>197</v>
      </c>
      <c r="AH38" s="1437" t="str">
        <f>IF($E$38=0,"",$E$38)</f>
        <v>Тарифы на услуги по передаче тепловой энергии</v>
      </c>
      <c r="AI38" s="1437" t="str">
        <f>IF($G$38=0,"",$G$38)</f>
        <v/>
      </c>
      <c r="AJ38" s="1437" t="str">
        <f>IF($J$38=0,"",$J$38)</f>
        <v/>
      </c>
      <c r="AK38" s="1437" t="str">
        <f>IF($K$38="нет","без дифференциации",IF($N$38=0,"",$N$38))</f>
        <v/>
      </c>
      <c r="AL38" s="1437" t="str">
        <f>IF($O$38="нет","без дифференциации",IF($R$38=0,"",$R$38))</f>
        <v/>
      </c>
      <c r="AM38" s="1437" t="str">
        <f>IF($S$38="нет","без дифференциации",IF($V$38=0,"",$V$38))</f>
        <v/>
      </c>
      <c r="AN38" s="1942">
        <f>$I$38</f>
        <v>0</v>
      </c>
      <c r="AO38" s="1437" t="str">
        <f>$I$38&amp;"."&amp;$M$38</f>
        <v>.</v>
      </c>
      <c r="AP38" s="1429" t="str">
        <f>$I$38&amp;"."&amp;$M$38&amp;"."&amp;$Q$38</f>
        <v>..</v>
      </c>
      <c r="AQ38" s="1429" t="str">
        <f>$I$38&amp;"."&amp;$M$38&amp;"."&amp;$Q$38&amp;"."&amp;$U$38</f>
        <v>...</v>
      </c>
      <c r="AR38" s="1453">
        <v>0</v>
      </c>
    </row>
    <row s="12119" customFormat="1" customHeight="1" ht="17.25">
      <c r="A39" s="491"/>
      <c r="C39" s="490"/>
      <c r="D39" s="2305"/>
      <c r="E39" s="2313"/>
      <c r="F39" s="2316"/>
      <c r="G39" s="2313"/>
      <c r="H39" s="2319"/>
      <c r="I39" s="2321"/>
      <c r="J39" s="2323"/>
      <c r="K39" s="2308"/>
      <c r="L39" s="2308"/>
      <c r="M39" s="2308"/>
      <c r="N39" s="2310"/>
      <c r="O39" s="2308"/>
      <c r="P39" s="2308"/>
      <c r="Q39" s="2308"/>
      <c r="R39" s="2311"/>
      <c r="S39" s="2308"/>
      <c r="T39" s="1467"/>
      <c r="U39" s="1467"/>
      <c r="V39" s="1467"/>
      <c r="W39" s="1468"/>
      <c r="X39" s="1429"/>
      <c r="Y39" s="1429"/>
      <c r="Z39" s="1429"/>
      <c r="AA39" s="1429"/>
      <c r="AB39" s="1429"/>
      <c r="AC39" s="1429"/>
      <c r="AD39" s="1429"/>
      <c r="AE39" s="1429"/>
      <c r="AF39" s="1429"/>
      <c r="AG39" s="1429"/>
      <c r="AH39" s="1429"/>
      <c r="AI39" s="1429"/>
      <c r="AJ39" s="1429"/>
      <c r="AK39" s="1429"/>
      <c r="AL39" s="1429"/>
      <c r="AM39" s="1429"/>
      <c r="AN39" s="1429"/>
      <c r="AO39" s="1429"/>
      <c r="AP39" s="1429"/>
      <c r="AQ39" s="1429"/>
      <c r="AR39" s="1453">
        <v>0</v>
      </c>
    </row>
    <row s="12119" customFormat="1" customHeight="1" ht="17.25">
      <c r="A40" s="491"/>
      <c r="C40" s="490"/>
      <c r="D40" s="2306"/>
      <c r="E40" s="2314"/>
      <c r="F40" s="2316"/>
      <c r="G40" s="2314"/>
      <c r="H40" s="2319"/>
      <c r="I40" s="2321"/>
      <c r="J40" s="2324"/>
      <c r="K40" s="2308"/>
      <c r="L40" s="2308"/>
      <c r="M40" s="2308"/>
      <c r="N40" s="2311"/>
      <c r="O40" s="2308"/>
      <c r="P40" s="1588"/>
      <c r="Q40" s="1467"/>
      <c r="R40" s="1467"/>
      <c r="S40" s="499"/>
      <c r="T40" s="499"/>
      <c r="U40" s="499"/>
      <c r="V40" s="499"/>
      <c r="W40" s="1468"/>
      <c r="X40" s="1429"/>
      <c r="Y40" s="1429"/>
      <c r="Z40" s="1429"/>
      <c r="AA40" s="1429"/>
      <c r="AB40" s="1429"/>
      <c r="AC40" s="1429"/>
      <c r="AD40" s="1429"/>
      <c r="AE40" s="1429"/>
      <c r="AF40" s="1429"/>
      <c r="AG40" s="1429"/>
      <c r="AH40" s="1429"/>
      <c r="AI40" s="1429"/>
      <c r="AJ40" s="1429"/>
      <c r="AK40" s="1429"/>
      <c r="AL40" s="1429"/>
      <c r="AM40" s="1429"/>
      <c r="AN40" s="1429"/>
      <c r="AO40" s="1429"/>
      <c r="AP40" s="1429"/>
      <c r="AQ40" s="1429"/>
      <c r="AR40" s="1453">
        <v>0</v>
      </c>
    </row>
    <row s="12119" customFormat="1" customHeight="1" ht="17.25">
      <c r="A41" s="491"/>
      <c r="C41" s="490"/>
      <c r="D41" s="2306"/>
      <c r="E41" s="2314"/>
      <c r="F41" s="2316"/>
      <c r="G41" s="2314"/>
      <c r="H41" s="2319"/>
      <c r="I41" s="2321"/>
      <c r="J41" s="2324"/>
      <c r="K41" s="2308"/>
      <c r="L41" s="1467"/>
      <c r="M41" s="1467"/>
      <c r="N41" s="1467"/>
      <c r="O41" s="1467"/>
      <c r="P41" s="1467"/>
      <c r="Q41" s="1467"/>
      <c r="R41" s="1467"/>
      <c r="S41" s="499"/>
      <c r="T41" s="499"/>
      <c r="U41" s="499"/>
      <c r="V41" s="499"/>
      <c r="W41" s="1468"/>
      <c r="X41" s="1429"/>
      <c r="Y41" s="1429"/>
      <c r="Z41" s="1429"/>
      <c r="AA41" s="1429"/>
      <c r="AB41" s="1429"/>
      <c r="AC41" s="1429"/>
      <c r="AD41" s="1429"/>
      <c r="AE41" s="1429"/>
      <c r="AF41" s="1429"/>
      <c r="AG41" s="1429"/>
      <c r="AH41" s="1429"/>
      <c r="AI41" s="1429"/>
      <c r="AJ41" s="1429"/>
      <c r="AK41" s="1429"/>
      <c r="AL41" s="1429"/>
      <c r="AM41" s="1429"/>
      <c r="AN41" s="1429"/>
      <c r="AO41" s="1429"/>
      <c r="AP41" s="1429"/>
      <c r="AQ41" s="1429"/>
      <c r="AR41" s="1453">
        <v>0</v>
      </c>
    </row>
    <row s="12119" customFormat="1" customHeight="1" ht="17.25">
      <c r="A42" s="491"/>
      <c r="C42" s="490"/>
      <c r="D42" s="2306"/>
      <c r="E42" s="2314"/>
      <c r="F42" s="2317"/>
      <c r="G42" s="2314"/>
      <c r="H42" s="1469"/>
      <c r="I42" s="1470"/>
      <c r="J42" s="1470"/>
      <c r="K42" s="1470"/>
      <c r="L42" s="1470"/>
      <c r="M42" s="1470"/>
      <c r="N42" s="1470"/>
      <c r="O42" s="1470"/>
      <c r="P42" s="1470"/>
      <c r="Q42" s="1470"/>
      <c r="R42" s="1470"/>
      <c r="S42" s="1471"/>
      <c r="T42" s="1471"/>
      <c r="U42" s="1471"/>
      <c r="V42" s="1471"/>
      <c r="W42" s="1472"/>
      <c r="X42" s="1429"/>
      <c r="Y42" s="1429"/>
      <c r="Z42" s="1429"/>
      <c r="AA42" s="1429"/>
      <c r="AB42" s="1429"/>
      <c r="AC42" s="1429"/>
      <c r="AD42" s="1429"/>
      <c r="AE42" s="1429"/>
      <c r="AF42" s="1429"/>
      <c r="AG42" s="1429"/>
      <c r="AH42" s="1429"/>
      <c r="AI42" s="1429"/>
      <c r="AJ42" s="1429"/>
      <c r="AK42" s="1429"/>
      <c r="AL42" s="1429"/>
      <c r="AM42" s="1429"/>
      <c r="AN42" s="1429"/>
      <c r="AO42" s="1429"/>
      <c r="AP42" s="1429"/>
      <c r="AQ42" s="1429"/>
      <c r="AR42" s="1453">
        <v>0</v>
      </c>
    </row>
    <row s="12119" customFormat="1" customHeight="1" ht="17.25">
      <c r="A43" s="491"/>
      <c r="C43" s="379"/>
      <c r="D43" s="2305">
        <v>6</v>
      </c>
      <c r="E43" s="2313" t="s">
        <v>198</v>
      </c>
      <c r="F43" s="2315" t="s">
        <v>19</v>
      </c>
      <c r="G43" s="2313"/>
      <c r="H43" s="2318"/>
      <c r="I43" s="2320"/>
      <c r="J43" s="2322"/>
      <c r="K43" s="2307"/>
      <c r="L43" s="2307"/>
      <c r="M43" s="2307"/>
      <c r="N43" s="2309"/>
      <c r="O43" s="2307"/>
      <c r="P43" s="2307"/>
      <c r="Q43" s="2307"/>
      <c r="R43" s="2312"/>
      <c r="S43" s="2307"/>
      <c r="T43" s="1590"/>
      <c r="U43" s="1590"/>
      <c r="V43" s="1589"/>
      <c r="W43" s="1466"/>
      <c r="X43" s="1437"/>
      <c r="Y43" s="1437"/>
      <c r="Z43" s="1437"/>
      <c r="AA43" s="1437"/>
      <c r="AB43" s="1437"/>
      <c r="AC43" s="1437" t="s">
        <v>199</v>
      </c>
      <c r="AD43" s="1437" t="s">
        <v>200</v>
      </c>
      <c r="AE43" s="1437" t="s">
        <v>201</v>
      </c>
      <c r="AF43" s="1437" t="s">
        <v>202</v>
      </c>
      <c r="AG43" s="1437" t="s">
        <v>203</v>
      </c>
      <c r="AH43" s="1437" t="str">
        <f>IF($E$43=0,"",$E$43)</f>
        <v>Тарифы на услуги по передаче теплоносителя</v>
      </c>
      <c r="AI43" s="1437" t="str">
        <f>IF($G$43=0,"",$G$43)</f>
        <v/>
      </c>
      <c r="AJ43" s="1437" t="str">
        <f>IF($J$43=0,"",$J$43)</f>
        <v/>
      </c>
      <c r="AK43" s="1437" t="str">
        <f>IF($K$43="нет","без дифференциации",IF($N$43=0,"",$N$43))</f>
        <v/>
      </c>
      <c r="AL43" s="1437" t="str">
        <f>IF($O$43="нет","без дифференциации",IF($R$43=0,"",$R$43))</f>
        <v/>
      </c>
      <c r="AM43" s="1437" t="str">
        <f>IF($S$43="нет","без дифференциации",IF($V$43=0,"",$V$43))</f>
        <v/>
      </c>
      <c r="AN43" s="1942">
        <f>$I$43</f>
        <v>0</v>
      </c>
      <c r="AO43" s="1437" t="str">
        <f>$I$43&amp;"."&amp;$M$43</f>
        <v>.</v>
      </c>
      <c r="AP43" s="1429" t="str">
        <f>$I$43&amp;"."&amp;$M$43&amp;"."&amp;$Q$43</f>
        <v>..</v>
      </c>
      <c r="AQ43" s="1429" t="str">
        <f>$I$43&amp;"."&amp;$M$43&amp;"."&amp;$Q$43&amp;"."&amp;$U$43</f>
        <v>...</v>
      </c>
      <c r="AR43" s="1453">
        <v>0</v>
      </c>
    </row>
    <row s="12119" customFormat="1" customHeight="1" ht="17.25">
      <c r="A44" s="491"/>
      <c r="C44" s="490"/>
      <c r="D44" s="2305"/>
      <c r="E44" s="2313"/>
      <c r="F44" s="2316"/>
      <c r="G44" s="2313"/>
      <c r="H44" s="2319"/>
      <c r="I44" s="2321"/>
      <c r="J44" s="2323"/>
      <c r="K44" s="2308"/>
      <c r="L44" s="2308"/>
      <c r="M44" s="2308"/>
      <c r="N44" s="2310"/>
      <c r="O44" s="2308"/>
      <c r="P44" s="2308"/>
      <c r="Q44" s="2308"/>
      <c r="R44" s="2311"/>
      <c r="S44" s="2308"/>
      <c r="T44" s="1467"/>
      <c r="U44" s="1467"/>
      <c r="V44" s="1467"/>
      <c r="W44" s="1468"/>
      <c r="X44" s="1429"/>
      <c r="Y44" s="1429"/>
      <c r="Z44" s="1429"/>
      <c r="AA44" s="1429"/>
      <c r="AB44" s="1429"/>
      <c r="AC44" s="1429"/>
      <c r="AD44" s="1429"/>
      <c r="AE44" s="1429"/>
      <c r="AF44" s="1429"/>
      <c r="AG44" s="1429"/>
      <c r="AH44" s="1429"/>
      <c r="AI44" s="1429"/>
      <c r="AJ44" s="1429"/>
      <c r="AK44" s="1429"/>
      <c r="AL44" s="1429"/>
      <c r="AM44" s="1429"/>
      <c r="AN44" s="1429"/>
      <c r="AO44" s="1429"/>
      <c r="AP44" s="1429"/>
      <c r="AQ44" s="1429"/>
      <c r="AR44" s="1453">
        <v>0</v>
      </c>
    </row>
    <row s="12119" customFormat="1" customHeight="1" ht="17.25">
      <c r="A45" s="491"/>
      <c r="C45" s="490"/>
      <c r="D45" s="2306"/>
      <c r="E45" s="2314"/>
      <c r="F45" s="2316"/>
      <c r="G45" s="2314"/>
      <c r="H45" s="2319"/>
      <c r="I45" s="2321"/>
      <c r="J45" s="2324"/>
      <c r="K45" s="2308"/>
      <c r="L45" s="2308"/>
      <c r="M45" s="2308"/>
      <c r="N45" s="2311"/>
      <c r="O45" s="2308"/>
      <c r="P45" s="1588"/>
      <c r="Q45" s="1467"/>
      <c r="R45" s="1467"/>
      <c r="S45" s="499"/>
      <c r="T45" s="499"/>
      <c r="U45" s="499"/>
      <c r="V45" s="499"/>
      <c r="W45" s="1468"/>
      <c r="X45" s="1429"/>
      <c r="Y45" s="1429"/>
      <c r="Z45" s="1429"/>
      <c r="AA45" s="1429"/>
      <c r="AB45" s="1429"/>
      <c r="AC45" s="1429"/>
      <c r="AD45" s="1429"/>
      <c r="AE45" s="1429"/>
      <c r="AF45" s="1429"/>
      <c r="AG45" s="1429"/>
      <c r="AH45" s="1429"/>
      <c r="AI45" s="1429"/>
      <c r="AJ45" s="1429"/>
      <c r="AK45" s="1429"/>
      <c r="AL45" s="1429"/>
      <c r="AM45" s="1429"/>
      <c r="AN45" s="1429"/>
      <c r="AO45" s="1429"/>
      <c r="AP45" s="1429"/>
      <c r="AQ45" s="1429"/>
      <c r="AR45" s="1453">
        <v>0</v>
      </c>
    </row>
    <row s="12119" customFormat="1" customHeight="1" ht="17.25">
      <c r="A46" s="491"/>
      <c r="C46" s="379"/>
      <c r="D46" s="2306"/>
      <c r="E46" s="2314"/>
      <c r="F46" s="2316"/>
      <c r="G46" s="2314"/>
      <c r="H46" s="2319"/>
      <c r="I46" s="2321"/>
      <c r="J46" s="2324"/>
      <c r="K46" s="2308"/>
      <c r="L46" s="1467"/>
      <c r="M46" s="1467"/>
      <c r="N46" s="1467"/>
      <c r="O46" s="1467"/>
      <c r="P46" s="1467"/>
      <c r="Q46" s="1467"/>
      <c r="R46" s="1467"/>
      <c r="S46" s="499"/>
      <c r="T46" s="499"/>
      <c r="U46" s="499"/>
      <c r="V46" s="499"/>
      <c r="W46" s="1468"/>
      <c r="Y46" s="1437"/>
      <c r="Z46" s="1437"/>
      <c r="AA46" s="1437"/>
      <c r="AB46" s="1437"/>
      <c r="AC46" s="1437"/>
      <c r="AD46" s="1437"/>
      <c r="AE46" s="1437"/>
      <c r="AF46" s="1437"/>
      <c r="AG46" s="1437"/>
      <c r="AH46" s="1437"/>
      <c r="AI46" s="1437"/>
      <c r="AJ46" s="1437"/>
      <c r="AK46" s="1437"/>
      <c r="AL46" s="1437"/>
      <c r="AM46" s="1437"/>
      <c r="AN46" s="1437"/>
      <c r="AO46" s="1437"/>
      <c r="AP46" s="1437"/>
      <c r="AQ46" s="1437"/>
      <c r="AR46" s="1496">
        <v>0</v>
      </c>
    </row>
    <row s="12119" customFormat="1" customHeight="1" ht="17.25">
      <c r="A47" s="491"/>
      <c r="C47" s="490"/>
      <c r="D47" s="2306"/>
      <c r="E47" s="2314"/>
      <c r="F47" s="2317"/>
      <c r="G47" s="2314"/>
      <c r="H47" s="1469"/>
      <c r="I47" s="1470"/>
      <c r="J47" s="1470"/>
      <c r="K47" s="1470"/>
      <c r="L47" s="1470"/>
      <c r="M47" s="1470"/>
      <c r="N47" s="1470"/>
      <c r="O47" s="1470"/>
      <c r="P47" s="1470"/>
      <c r="Q47" s="1470"/>
      <c r="R47" s="1470"/>
      <c r="S47" s="1471"/>
      <c r="T47" s="1471"/>
      <c r="U47" s="1471"/>
      <c r="V47" s="1471"/>
      <c r="W47" s="1472"/>
      <c r="X47" s="1429"/>
      <c r="Y47" s="1429"/>
      <c r="Z47" s="1429"/>
      <c r="AA47" s="1429"/>
      <c r="AB47" s="1429"/>
      <c r="AC47" s="1429"/>
      <c r="AD47" s="1429"/>
      <c r="AE47" s="1429"/>
      <c r="AF47" s="1429"/>
      <c r="AG47" s="1429"/>
      <c r="AH47" s="1429"/>
      <c r="AI47" s="1429"/>
      <c r="AJ47" s="1429"/>
      <c r="AK47" s="1429"/>
      <c r="AL47" s="1429"/>
      <c r="AM47" s="1429"/>
      <c r="AN47" s="1429"/>
      <c r="AO47" s="1429"/>
      <c r="AP47" s="1429"/>
      <c r="AQ47" s="1429"/>
      <c r="AR47" s="1453">
        <v>0</v>
      </c>
    </row>
    <row s="12119" customFormat="1" customHeight="1" ht="17.25">
      <c r="A48" s="491"/>
      <c r="C48" s="379"/>
      <c r="D48" s="2336">
        <v>7</v>
      </c>
      <c r="E48" s="2339" t="s">
        <v>204</v>
      </c>
      <c r="F48" s="2315" t="s">
        <v>19</v>
      </c>
      <c r="G48" s="2339"/>
      <c r="H48" s="2318"/>
      <c r="I48" s="2320"/>
      <c r="J48" s="2322"/>
      <c r="K48" s="2307"/>
      <c r="L48" s="2307"/>
      <c r="M48" s="2307"/>
      <c r="N48" s="2309"/>
      <c r="O48" s="2307"/>
      <c r="P48" s="2307"/>
      <c r="Q48" s="2307"/>
      <c r="R48" s="2312"/>
      <c r="S48" s="2307"/>
      <c r="T48" s="1590"/>
      <c r="U48" s="1590"/>
      <c r="V48" s="1589"/>
      <c r="W48" s="1466"/>
      <c r="X48" s="1437"/>
      <c r="Y48" s="1437"/>
      <c r="Z48" s="1437"/>
      <c r="AA48" s="1437"/>
      <c r="AB48" s="1437"/>
      <c r="AC48" s="1437" t="s">
        <v>205</v>
      </c>
      <c r="AD48" s="1437" t="s">
        <v>206</v>
      </c>
      <c r="AE48" s="1437" t="s">
        <v>207</v>
      </c>
      <c r="AF48" s="1437" t="s">
        <v>208</v>
      </c>
      <c r="AG48" s="1437" t="s">
        <v>209</v>
      </c>
      <c r="AH48" s="1437" t="str">
        <f>IF($E$48=0,"",$E$48)</f>
        <v>Плата за услуги по поддержанию резервной тепловой мощности при отсутствии потребления тепловой энергии</v>
      </c>
      <c r="AI48" s="1437" t="str">
        <f>IF($G$48=0,"",$G$48)</f>
        <v/>
      </c>
      <c r="AJ48" s="1437" t="str">
        <f>IF($J$48=0,"",$J$48)</f>
        <v/>
      </c>
      <c r="AK48" s="1437" t="str">
        <f>IF($K$48="нет","без дифференциации",IF($N$48=0,"",$N$48))</f>
        <v/>
      </c>
      <c r="AL48" s="1437" t="str">
        <f>IF($O$48="нет","без дифференциации",IF($R$48=0,"",$R$48))</f>
        <v/>
      </c>
      <c r="AM48" s="1437" t="str">
        <f>IF($S$48="нет","без дифференциации",IF($V$48=0,"",$V$48))</f>
        <v/>
      </c>
      <c r="AN48" s="1942">
        <f>$I$48</f>
        <v>0</v>
      </c>
      <c r="AO48" s="1437" t="str">
        <f>$I$48&amp;"."&amp;$M$48</f>
        <v>.</v>
      </c>
      <c r="AP48" s="1429" t="str">
        <f>$I$48&amp;"."&amp;$M$48&amp;"."&amp;$Q$48</f>
        <v>..</v>
      </c>
      <c r="AQ48" s="1429" t="str">
        <f>$I$48&amp;"."&amp;$M$48&amp;"."&amp;$Q$48&amp;"."&amp;$U$48</f>
        <v>...</v>
      </c>
      <c r="AR48" s="1478">
        <v>0</v>
      </c>
    </row>
    <row s="12119" customFormat="1" customHeight="1" ht="17.25">
      <c r="A49" s="491"/>
      <c r="C49" s="490"/>
      <c r="D49" s="2337"/>
      <c r="E49" s="2340"/>
      <c r="F49" s="2316"/>
      <c r="G49" s="2340"/>
      <c r="H49" s="2319"/>
      <c r="I49" s="2321"/>
      <c r="J49" s="2323"/>
      <c r="K49" s="2308"/>
      <c r="L49" s="2308"/>
      <c r="M49" s="2308"/>
      <c r="N49" s="2310"/>
      <c r="O49" s="2308"/>
      <c r="P49" s="2308"/>
      <c r="Q49" s="2308"/>
      <c r="R49" s="2311"/>
      <c r="S49" s="2308"/>
      <c r="T49" s="1467"/>
      <c r="U49" s="1467"/>
      <c r="V49" s="1467"/>
      <c r="W49" s="1468"/>
      <c r="X49" s="1429"/>
      <c r="Y49" s="1429"/>
      <c r="Z49" s="1429"/>
      <c r="AA49" s="1429"/>
      <c r="AB49" s="1429"/>
      <c r="AC49" s="1429"/>
      <c r="AD49" s="1429"/>
      <c r="AE49" s="1429"/>
      <c r="AF49" s="1429"/>
      <c r="AG49" s="1429"/>
      <c r="AH49" s="1429"/>
      <c r="AI49" s="1429"/>
      <c r="AJ49" s="1429"/>
      <c r="AK49" s="1429"/>
      <c r="AL49" s="1429"/>
      <c r="AM49" s="1429"/>
      <c r="AN49" s="1429"/>
      <c r="AO49" s="1429"/>
      <c r="AP49" s="1429"/>
      <c r="AQ49" s="1429"/>
      <c r="AR49" s="1478">
        <v>0</v>
      </c>
    </row>
    <row s="12119" customFormat="1" customHeight="1" ht="17.25">
      <c r="A50" s="491"/>
      <c r="C50" s="490"/>
      <c r="D50" s="2337"/>
      <c r="E50" s="2340"/>
      <c r="F50" s="2316"/>
      <c r="G50" s="2340"/>
      <c r="H50" s="2319"/>
      <c r="I50" s="2321"/>
      <c r="J50" s="2324"/>
      <c r="K50" s="2308"/>
      <c r="L50" s="2308"/>
      <c r="M50" s="2308"/>
      <c r="N50" s="2311"/>
      <c r="O50" s="2308"/>
      <c r="P50" s="1588"/>
      <c r="Q50" s="1467"/>
      <c r="R50" s="1467"/>
      <c r="S50" s="499"/>
      <c r="T50" s="499"/>
      <c r="U50" s="499"/>
      <c r="V50" s="499"/>
      <c r="W50" s="1468"/>
      <c r="X50" s="1429"/>
      <c r="Y50" s="1429"/>
      <c r="Z50" s="1429"/>
      <c r="AA50" s="1429"/>
      <c r="AB50" s="1429"/>
      <c r="AC50" s="1429"/>
      <c r="AD50" s="1429"/>
      <c r="AE50" s="1429"/>
      <c r="AF50" s="1429"/>
      <c r="AG50" s="1429"/>
      <c r="AH50" s="1429"/>
      <c r="AI50" s="1429"/>
      <c r="AJ50" s="1429"/>
      <c r="AK50" s="1429"/>
      <c r="AL50" s="1429"/>
      <c r="AM50" s="1429"/>
      <c r="AN50" s="1429"/>
      <c r="AO50" s="1429"/>
      <c r="AP50" s="1429"/>
      <c r="AQ50" s="1429"/>
      <c r="AR50" s="1478">
        <v>0</v>
      </c>
    </row>
    <row s="12119" customFormat="1" customHeight="1" ht="17.25">
      <c r="A51" s="491"/>
      <c r="C51" s="379"/>
      <c r="D51" s="2337"/>
      <c r="E51" s="2340"/>
      <c r="F51" s="2316"/>
      <c r="G51" s="2340"/>
      <c r="H51" s="2319"/>
      <c r="I51" s="2321"/>
      <c r="J51" s="2324"/>
      <c r="K51" s="2308"/>
      <c r="L51" s="1467"/>
      <c r="M51" s="1467"/>
      <c r="N51" s="1467"/>
      <c r="O51" s="1467"/>
      <c r="P51" s="1467"/>
      <c r="Q51" s="1467"/>
      <c r="R51" s="1467"/>
      <c r="S51" s="499"/>
      <c r="T51" s="499"/>
      <c r="U51" s="499"/>
      <c r="V51" s="499"/>
      <c r="W51" s="1468"/>
      <c r="Y51" s="1437"/>
      <c r="Z51" s="1437"/>
      <c r="AA51" s="1437"/>
      <c r="AB51" s="1437"/>
      <c r="AC51" s="1437"/>
      <c r="AD51" s="1437"/>
      <c r="AE51" s="1437"/>
      <c r="AF51" s="1437"/>
      <c r="AG51" s="1437"/>
      <c r="AH51" s="1437"/>
      <c r="AI51" s="1437"/>
      <c r="AJ51" s="1437"/>
      <c r="AK51" s="1437"/>
      <c r="AL51" s="1437"/>
      <c r="AM51" s="1437"/>
      <c r="AN51" s="1437"/>
      <c r="AO51" s="1437"/>
      <c r="AP51" s="1437"/>
      <c r="AQ51" s="1437"/>
      <c r="AR51" s="1496">
        <v>0</v>
      </c>
    </row>
    <row s="12119" customFormat="1" customHeight="1" ht="17.25">
      <c r="A52" s="491"/>
      <c r="C52" s="490"/>
      <c r="D52" s="2338"/>
      <c r="E52" s="2341"/>
      <c r="F52" s="2317"/>
      <c r="G52" s="2341"/>
      <c r="H52" s="1469"/>
      <c r="I52" s="1470"/>
      <c r="J52" s="1470"/>
      <c r="K52" s="1470"/>
      <c r="L52" s="1470"/>
      <c r="M52" s="1470"/>
      <c r="N52" s="1470"/>
      <c r="O52" s="1470"/>
      <c r="P52" s="1470"/>
      <c r="Q52" s="1470"/>
      <c r="R52" s="1470"/>
      <c r="S52" s="1471"/>
      <c r="T52" s="1471"/>
      <c r="U52" s="1471"/>
      <c r="V52" s="1471"/>
      <c r="W52" s="1472"/>
      <c r="X52" s="1429"/>
      <c r="Y52" s="1429"/>
      <c r="Z52" s="1429"/>
      <c r="AA52" s="1429"/>
      <c r="AB52" s="1429"/>
      <c r="AC52" s="1429"/>
      <c r="AD52" s="1429"/>
      <c r="AE52" s="1429"/>
      <c r="AF52" s="1429"/>
      <c r="AG52" s="1429"/>
      <c r="AH52" s="1429"/>
      <c r="AI52" s="1429"/>
      <c r="AJ52" s="1429"/>
      <c r="AK52" s="1429"/>
      <c r="AL52" s="1429"/>
      <c r="AM52" s="1429"/>
      <c r="AN52" s="1429"/>
      <c r="AO52" s="1429"/>
      <c r="AP52" s="1429"/>
      <c r="AQ52" s="1429"/>
      <c r="AR52" s="1478">
        <v>0</v>
      </c>
    </row>
    <row s="12119" customFormat="1" customHeight="1" ht="17.25">
      <c r="A53" s="491"/>
      <c r="C53" s="379"/>
      <c r="D53" s="2305">
        <v>8</v>
      </c>
      <c r="E53" s="2313" t="s">
        <v>210</v>
      </c>
      <c r="F53" s="2315" t="s">
        <v>19</v>
      </c>
      <c r="G53" s="8372" t="s">
        <v>28</v>
      </c>
      <c r="H53" s="8373"/>
      <c r="I53" s="8374"/>
      <c r="J53" s="8375"/>
      <c r="K53" s="8376"/>
      <c r="L53" s="8376"/>
      <c r="M53" s="8376"/>
      <c r="N53" s="8377"/>
      <c r="O53" s="8376"/>
      <c r="P53" s="8376"/>
      <c r="Q53" s="8376"/>
      <c r="R53" s="8378"/>
      <c r="S53" s="8376"/>
      <c r="T53" s="8376"/>
      <c r="U53" s="8376"/>
      <c r="V53" s="8378"/>
      <c r="W53" s="8379"/>
      <c r="X53" s="1437"/>
      <c r="Y53" s="1437"/>
      <c r="Z53" s="1437"/>
      <c r="AA53" s="1437"/>
      <c r="AB53" s="1437"/>
      <c r="AC53" s="1437" t="s">
        <v>211</v>
      </c>
      <c r="AD53" s="1437" t="s">
        <v>212</v>
      </c>
      <c r="AE53" s="1437" t="s">
        <v>213</v>
      </c>
      <c r="AF53" s="1437" t="s">
        <v>214</v>
      </c>
      <c r="AG53" s="1437" t="s">
        <v>215</v>
      </c>
      <c r="AH53" s="1437" t="str">
        <f>IF($E$53=0,"",$E$53)</f>
        <v>Плата за подключение (технологическое присоединение) к системе теплоснабжения</v>
      </c>
      <c r="AI53" s="1437" t="str">
        <f>IF($G$53=0,"",$G$53)</f>
        <v/>
      </c>
      <c r="AJ53" s="1437" t="str">
        <f>IF($J$53=0,"",$J$53)</f>
        <v/>
      </c>
      <c r="AK53" s="1437" t="str">
        <f>IF($K$53="нет","без дифференциации",IF($N$53=0,"",$N$53))</f>
        <v/>
      </c>
      <c r="AL53" s="1437" t="str">
        <f>IF($O$53="нет","без дифференциации",IF($R$53=0,"",$R$53))</f>
        <v/>
      </c>
      <c r="AM53" s="1437" t="str">
        <f>IF($S$53="нет","без дифференциации",IF($V$53=0,"",$V$53))</f>
        <v/>
      </c>
      <c r="AN53" s="1942">
        <f>$I$53</f>
        <v>0</v>
      </c>
      <c r="AO53" s="1437" t="str">
        <f>$I$53&amp;"."&amp;$M$53</f>
        <v>.</v>
      </c>
      <c r="AP53" s="1429" t="str">
        <f>$I$53&amp;"."&amp;$M$53&amp;"."&amp;$Q$53</f>
        <v>..</v>
      </c>
      <c r="AQ53" s="1429" t="str">
        <f>$I$53&amp;"."&amp;$M$53&amp;"."&amp;$Q$53&amp;"."&amp;$U$53</f>
        <v>...</v>
      </c>
      <c r="AR53" s="1478">
        <v>0</v>
      </c>
    </row>
    <row s="12119" customFormat="1" customHeight="1" ht="17.25">
      <c r="A54" s="491"/>
      <c r="C54" s="490"/>
      <c r="D54" s="2305"/>
      <c r="E54" s="2313"/>
      <c r="F54" s="2316"/>
      <c r="G54" s="8372" t="s">
        <v>28</v>
      </c>
      <c r="H54" s="8380"/>
      <c r="I54" s="8381"/>
      <c r="J54" s="8382"/>
      <c r="K54" s="8383"/>
      <c r="L54" s="8383"/>
      <c r="M54" s="8383"/>
      <c r="N54" s="8384"/>
      <c r="O54" s="8383"/>
      <c r="P54" s="8383"/>
      <c r="Q54" s="8383"/>
      <c r="R54" s="8385"/>
      <c r="S54" s="8383"/>
      <c r="T54" s="8386"/>
      <c r="U54" s="8386"/>
      <c r="V54" s="8386"/>
      <c r="W54" s="8387"/>
      <c r="X54" s="1429"/>
      <c r="Y54" s="1429"/>
      <c r="Z54" s="1429"/>
      <c r="AA54" s="1429"/>
      <c r="AB54" s="1429"/>
      <c r="AC54" s="1429"/>
      <c r="AD54" s="1429"/>
      <c r="AE54" s="1429"/>
      <c r="AF54" s="1429"/>
      <c r="AG54" s="1429"/>
      <c r="AH54" s="1429"/>
      <c r="AI54" s="1429"/>
      <c r="AJ54" s="1429"/>
      <c r="AK54" s="1429"/>
      <c r="AL54" s="1429"/>
      <c r="AM54" s="1429"/>
      <c r="AN54" s="1429"/>
      <c r="AO54" s="1429"/>
      <c r="AP54" s="1429"/>
      <c r="AQ54" s="1429"/>
      <c r="AR54" s="1478">
        <v>0</v>
      </c>
    </row>
    <row s="12119" customFormat="1" customHeight="1" ht="17.25">
      <c r="A55" s="491"/>
      <c r="C55" s="490"/>
      <c r="D55" s="2306"/>
      <c r="E55" s="2314"/>
      <c r="F55" s="2316"/>
      <c r="G55" s="8388" t="s">
        <v>28</v>
      </c>
      <c r="H55" s="8380"/>
      <c r="I55" s="8381"/>
      <c r="J55" s="8389"/>
      <c r="K55" s="8383"/>
      <c r="L55" s="8383"/>
      <c r="M55" s="8383"/>
      <c r="N55" s="8385"/>
      <c r="O55" s="8383"/>
      <c r="P55" s="8383"/>
      <c r="Q55" s="8386"/>
      <c r="R55" s="8386"/>
      <c r="S55" s="8390"/>
      <c r="T55" s="8390"/>
      <c r="U55" s="8390"/>
      <c r="V55" s="8390"/>
      <c r="W55" s="8387"/>
      <c r="X55" s="1429"/>
      <c r="Y55" s="1429"/>
      <c r="Z55" s="1429"/>
      <c r="AA55" s="1429"/>
      <c r="AB55" s="1429"/>
      <c r="AC55" s="1429"/>
      <c r="AD55" s="1429"/>
      <c r="AE55" s="1429"/>
      <c r="AF55" s="1429"/>
      <c r="AG55" s="1429"/>
      <c r="AH55" s="1429"/>
      <c r="AI55" s="1429"/>
      <c r="AJ55" s="1429"/>
      <c r="AK55" s="1429"/>
      <c r="AL55" s="1429"/>
      <c r="AM55" s="1429"/>
      <c r="AN55" s="1429"/>
      <c r="AO55" s="1429"/>
      <c r="AP55" s="1429"/>
      <c r="AQ55" s="1429"/>
      <c r="AR55" s="1478">
        <v>0</v>
      </c>
    </row>
    <row s="12119" customFormat="1" customHeight="1" ht="17.25">
      <c r="A56" s="491"/>
      <c r="C56" s="379"/>
      <c r="D56" s="2306"/>
      <c r="E56" s="2314"/>
      <c r="F56" s="2316"/>
      <c r="G56" s="8388" t="s">
        <v>28</v>
      </c>
      <c r="H56" s="8380"/>
      <c r="I56" s="8381"/>
      <c r="J56" s="8389"/>
      <c r="K56" s="8383"/>
      <c r="L56" s="8386"/>
      <c r="M56" s="8386"/>
      <c r="N56" s="8386"/>
      <c r="O56" s="8386"/>
      <c r="P56" s="8386"/>
      <c r="Q56" s="8386"/>
      <c r="R56" s="8386"/>
      <c r="S56" s="8390"/>
      <c r="T56" s="8390"/>
      <c r="U56" s="8390"/>
      <c r="V56" s="8390"/>
      <c r="W56" s="8387"/>
      <c r="Y56" s="1437"/>
      <c r="Z56" s="1437"/>
      <c r="AA56" s="1437"/>
      <c r="AB56" s="1437"/>
      <c r="AC56" s="1437"/>
      <c r="AD56" s="1437"/>
      <c r="AE56" s="1437"/>
      <c r="AF56" s="1437"/>
      <c r="AG56" s="1437"/>
      <c r="AH56" s="1437"/>
      <c r="AI56" s="1437"/>
      <c r="AJ56" s="1437"/>
      <c r="AK56" s="1437"/>
      <c r="AL56" s="1437"/>
      <c r="AM56" s="1437"/>
      <c r="AN56" s="1437"/>
      <c r="AO56" s="1437"/>
      <c r="AP56" s="1437"/>
      <c r="AQ56" s="1437"/>
      <c r="AR56" s="1496">
        <v>0</v>
      </c>
    </row>
    <row s="12119" customFormat="1" customHeight="1" ht="17.25">
      <c r="A57" s="491"/>
      <c r="C57" s="490"/>
      <c r="D57" s="2306"/>
      <c r="E57" s="2314"/>
      <c r="F57" s="2317"/>
      <c r="G57" s="8388" t="s">
        <v>28</v>
      </c>
      <c r="H57" s="8391"/>
      <c r="I57" s="8392"/>
      <c r="J57" s="8392"/>
      <c r="K57" s="8392"/>
      <c r="L57" s="8392"/>
      <c r="M57" s="8392"/>
      <c r="N57" s="8392"/>
      <c r="O57" s="8392"/>
      <c r="P57" s="8392"/>
      <c r="Q57" s="8392"/>
      <c r="R57" s="8392"/>
      <c r="S57" s="8393"/>
      <c r="T57" s="8393"/>
      <c r="U57" s="8393"/>
      <c r="V57" s="8393"/>
      <c r="W57" s="8394"/>
      <c r="X57" s="1429"/>
      <c r="Y57" s="1429"/>
      <c r="Z57" s="1429"/>
      <c r="AA57" s="1429"/>
      <c r="AB57" s="1429"/>
      <c r="AC57" s="1429"/>
      <c r="AD57" s="1429"/>
      <c r="AE57" s="1429"/>
      <c r="AF57" s="1429"/>
      <c r="AG57" s="1429"/>
      <c r="AH57" s="1429"/>
      <c r="AI57" s="1429"/>
      <c r="AJ57" s="1429"/>
      <c r="AK57" s="1429"/>
      <c r="AL57" s="1429"/>
      <c r="AM57" s="1429"/>
      <c r="AN57" s="1429"/>
      <c r="AO57" s="1429"/>
      <c r="AP57" s="1429"/>
      <c r="AQ57" s="1429"/>
      <c r="AR57" s="1478">
        <v>0</v>
      </c>
    </row>
    <row s="12119" customFormat="1" customHeight="1" ht="17.25">
      <c r="A58" s="491"/>
      <c r="C58" s="379"/>
      <c r="D58" s="2305">
        <v>9</v>
      </c>
      <c r="E58" s="2313" t="s">
        <v>216</v>
      </c>
      <c r="F58" s="2315" t="s">
        <v>19</v>
      </c>
      <c r="G58" s="2313"/>
      <c r="H58" s="2318"/>
      <c r="I58" s="2320"/>
      <c r="J58" s="2322"/>
      <c r="K58" s="2307"/>
      <c r="L58" s="2307"/>
      <c r="M58" s="2307"/>
      <c r="N58" s="2309"/>
      <c r="O58" s="2307"/>
      <c r="P58" s="2307"/>
      <c r="Q58" s="2307"/>
      <c r="R58" s="2312"/>
      <c r="S58" s="2307"/>
      <c r="T58" s="2101"/>
      <c r="U58" s="2101"/>
      <c r="V58" s="2103"/>
      <c r="W58" s="1466"/>
      <c r="X58" s="1437"/>
      <c r="Y58" s="1437"/>
      <c r="Z58" s="1437"/>
      <c r="AA58" s="1437"/>
      <c r="AB58" s="1437"/>
      <c r="AC58" s="1437" t="s">
        <v>217</v>
      </c>
      <c r="AD58" s="1437" t="s">
        <v>218</v>
      </c>
      <c r="AE58" s="1437" t="s">
        <v>219</v>
      </c>
      <c r="AF58" s="1437" t="s">
        <v>220</v>
      </c>
      <c r="AG58" s="1437" t="s">
        <v>221</v>
      </c>
      <c r="AH58" s="1437" t="str">
        <f>IF($E$58=0,"",$E$58)</f>
        <v>Плата за подключение (технологическое присоединение) к системе теплоснабжения (индивидуальная)</v>
      </c>
      <c r="AI58" s="1437" t="str">
        <f>IF($G$58=0,"",$G$58)</f>
        <v/>
      </c>
      <c r="AJ58" s="1437" t="str">
        <f>IF($J$58=0,"",$J$58)</f>
        <v/>
      </c>
      <c r="AK58" s="1437" t="str">
        <f>IF($K$58="нет","без дифференциации",IF($N$58=0,"",$N$58))</f>
        <v/>
      </c>
      <c r="AL58" s="1437" t="str">
        <f>IF($O$58="нет","без дифференциации",IF($R$58=0,"",$R$58))</f>
        <v/>
      </c>
      <c r="AM58" s="1437" t="str">
        <f>IF($S$58="нет","без дифференциации",IF($V$58=0,"",$V$58))</f>
        <v/>
      </c>
      <c r="AN58" s="1942">
        <f>$I$58</f>
        <v>0</v>
      </c>
      <c r="AO58" s="1437" t="str">
        <f>$I$58&amp;"."&amp;$M$58</f>
        <v>.</v>
      </c>
      <c r="AP58" s="1436" t="str">
        <f>$I$58&amp;"."&amp;$M$58&amp;"."&amp;$Q$58</f>
        <v>..</v>
      </c>
      <c r="AQ58" s="1436" t="str">
        <f>$I$58&amp;"."&amp;$M$58&amp;"."&amp;$Q$58&amp;"."&amp;$U$58</f>
        <v>...</v>
      </c>
      <c r="AR58" s="1637">
        <v>0</v>
      </c>
    </row>
    <row s="12119" customFormat="1" customHeight="1" ht="17.25">
      <c r="A59" s="491"/>
      <c r="C59" s="490"/>
      <c r="D59" s="2305"/>
      <c r="E59" s="2313"/>
      <c r="F59" s="2316"/>
      <c r="G59" s="2313"/>
      <c r="H59" s="2319"/>
      <c r="I59" s="2321"/>
      <c r="J59" s="2323"/>
      <c r="K59" s="2308"/>
      <c r="L59" s="2308"/>
      <c r="M59" s="2308"/>
      <c r="N59" s="2310"/>
      <c r="O59" s="2308"/>
      <c r="P59" s="2308"/>
      <c r="Q59" s="2308"/>
      <c r="R59" s="2311"/>
      <c r="S59" s="2308"/>
      <c r="T59" s="2104"/>
      <c r="U59" s="2104"/>
      <c r="V59" s="2104"/>
      <c r="W59" s="2105"/>
      <c r="X59" s="1436"/>
      <c r="Y59" s="1436"/>
      <c r="Z59" s="1436"/>
      <c r="AA59" s="1436"/>
      <c r="AB59" s="1436"/>
      <c r="AC59" s="1436"/>
      <c r="AD59" s="1436"/>
      <c r="AE59" s="1436"/>
      <c r="AF59" s="1436"/>
      <c r="AG59" s="1436"/>
      <c r="AH59" s="1436"/>
      <c r="AI59" s="1436"/>
      <c r="AJ59" s="1436"/>
      <c r="AK59" s="1436"/>
      <c r="AL59" s="1436"/>
      <c r="AM59" s="1436"/>
      <c r="AN59" s="1436"/>
      <c r="AO59" s="1436"/>
      <c r="AP59" s="1436"/>
      <c r="AQ59" s="1436"/>
      <c r="AR59" s="1637">
        <v>0</v>
      </c>
    </row>
    <row s="12119" customFormat="1" customHeight="1" ht="17.25">
      <c r="A60" s="491"/>
      <c r="C60" s="490"/>
      <c r="D60" s="2306"/>
      <c r="E60" s="2314"/>
      <c r="F60" s="2316"/>
      <c r="G60" s="2314"/>
      <c r="H60" s="2319"/>
      <c r="I60" s="2321"/>
      <c r="J60" s="2324"/>
      <c r="K60" s="2308"/>
      <c r="L60" s="2308"/>
      <c r="M60" s="2308"/>
      <c r="N60" s="2311"/>
      <c r="O60" s="2308"/>
      <c r="P60" s="2102"/>
      <c r="Q60" s="2104"/>
      <c r="R60" s="2104"/>
      <c r="S60" s="499"/>
      <c r="T60" s="499"/>
      <c r="U60" s="499"/>
      <c r="V60" s="499"/>
      <c r="W60" s="2105"/>
      <c r="X60" s="1436"/>
      <c r="Y60" s="1436"/>
      <c r="Z60" s="1436"/>
      <c r="AA60" s="1436"/>
      <c r="AB60" s="1436"/>
      <c r="AC60" s="1436"/>
      <c r="AD60" s="1436"/>
      <c r="AE60" s="1436"/>
      <c r="AF60" s="1436"/>
      <c r="AG60" s="1436"/>
      <c r="AH60" s="1436"/>
      <c r="AI60" s="1436"/>
      <c r="AJ60" s="1436"/>
      <c r="AK60" s="1436"/>
      <c r="AL60" s="1436"/>
      <c r="AM60" s="1436"/>
      <c r="AN60" s="1436"/>
      <c r="AO60" s="1436"/>
      <c r="AP60" s="1436"/>
      <c r="AQ60" s="1436"/>
      <c r="AR60" s="1637">
        <v>0</v>
      </c>
    </row>
    <row s="12119" customFormat="1" customHeight="1" ht="17.25">
      <c r="A61" s="491"/>
      <c r="C61" s="379"/>
      <c r="D61" s="2306"/>
      <c r="E61" s="2314"/>
      <c r="F61" s="2316"/>
      <c r="G61" s="2314"/>
      <c r="H61" s="2319"/>
      <c r="I61" s="2321"/>
      <c r="J61" s="2324"/>
      <c r="K61" s="2308"/>
      <c r="L61" s="2104"/>
      <c r="M61" s="2104"/>
      <c r="N61" s="2104"/>
      <c r="O61" s="2104"/>
      <c r="P61" s="2104"/>
      <c r="Q61" s="2104"/>
      <c r="R61" s="2104"/>
      <c r="S61" s="499"/>
      <c r="T61" s="499"/>
      <c r="U61" s="499"/>
      <c r="V61" s="499"/>
      <c r="W61" s="2105"/>
      <c r="Y61" s="1437"/>
      <c r="Z61" s="1437"/>
      <c r="AA61" s="1437"/>
      <c r="AB61" s="1437"/>
      <c r="AC61" s="1437"/>
      <c r="AD61" s="1437"/>
      <c r="AE61" s="1437"/>
      <c r="AF61" s="1437"/>
      <c r="AG61" s="1437"/>
      <c r="AH61" s="1437"/>
      <c r="AI61" s="1437"/>
      <c r="AJ61" s="1437"/>
      <c r="AK61" s="1437"/>
      <c r="AL61" s="1437"/>
      <c r="AM61" s="1437"/>
      <c r="AN61" s="1437"/>
      <c r="AO61" s="1437"/>
      <c r="AP61" s="1437"/>
      <c r="AQ61" s="1437"/>
      <c r="AR61" s="1637">
        <v>0</v>
      </c>
    </row>
    <row s="12119" customFormat="1" customHeight="1" ht="17.25">
      <c r="A62" s="491"/>
      <c r="C62" s="490"/>
      <c r="D62" s="2306"/>
      <c r="E62" s="2314"/>
      <c r="F62" s="2317"/>
      <c r="G62" s="2314"/>
      <c r="H62" s="1469"/>
      <c r="I62" s="2106"/>
      <c r="J62" s="2106"/>
      <c r="K62" s="2106"/>
      <c r="L62" s="2106"/>
      <c r="M62" s="2106"/>
      <c r="N62" s="2106"/>
      <c r="O62" s="2106"/>
      <c r="P62" s="2106"/>
      <c r="Q62" s="2106"/>
      <c r="R62" s="2106"/>
      <c r="S62" s="1471"/>
      <c r="T62" s="1471"/>
      <c r="U62" s="1471"/>
      <c r="V62" s="1471"/>
      <c r="W62" s="2107"/>
      <c r="X62" s="1436"/>
      <c r="Y62" s="1436"/>
      <c r="Z62" s="1436"/>
      <c r="AA62" s="1436"/>
      <c r="AB62" s="1436"/>
      <c r="AC62" s="1436"/>
      <c r="AD62" s="1436"/>
      <c r="AE62" s="1436"/>
      <c r="AF62" s="1436"/>
      <c r="AG62" s="1436"/>
      <c r="AH62" s="1436"/>
      <c r="AI62" s="1436"/>
      <c r="AJ62" s="1436"/>
      <c r="AK62" s="1436"/>
      <c r="AL62" s="1436"/>
      <c r="AM62" s="1436"/>
      <c r="AN62" s="1436"/>
      <c r="AO62" s="1436"/>
      <c r="AP62" s="1436"/>
      <c r="AQ62" s="1436"/>
      <c r="AR62" s="1637">
        <v>0</v>
      </c>
    </row>
    <row s="12119" customFormat="1" customHeight="1" ht="17.25" hidden="1">
      <c r="A63" s="491"/>
      <c r="C63" s="379"/>
      <c r="D63" s="2305">
        <v>10</v>
      </c>
      <c r="E63" s="2313" t="s">
        <v>222</v>
      </c>
      <c r="F63" s="2315" t="s">
        <v>19</v>
      </c>
      <c r="G63" s="2313"/>
      <c r="H63" s="2318"/>
      <c r="I63" s="2320"/>
      <c r="J63" s="2322"/>
      <c r="K63" s="2307"/>
      <c r="L63" s="2307"/>
      <c r="M63" s="2307"/>
      <c r="N63" s="2309"/>
      <c r="O63" s="2307"/>
      <c r="P63" s="2307"/>
      <c r="Q63" s="2307"/>
      <c r="R63" s="2312"/>
      <c r="S63" s="2307"/>
      <c r="T63" s="2101"/>
      <c r="U63" s="2101"/>
      <c r="V63" s="2103"/>
      <c r="W63" s="1466"/>
      <c r="X63" s="1437"/>
      <c r="Y63" s="1437"/>
      <c r="Z63" s="1437"/>
      <c r="AA63" s="1437"/>
      <c r="AB63" s="1437"/>
      <c r="AC63" s="1437" t="s">
        <v>223</v>
      </c>
      <c r="AD63" s="1437" t="s">
        <v>224</v>
      </c>
      <c r="AE63" s="1437" t="s">
        <v>225</v>
      </c>
      <c r="AF63" s="1437" t="s">
        <v>226</v>
      </c>
      <c r="AG63" s="1437" t="s">
        <v>227</v>
      </c>
      <c r="AH63" s="1437" t="str">
        <f>IF($E$63=0,"",$E$63)</f>
        <v>Предельный уровень цены на тепловую энергию (мощность), поставляемую теплоснабжающими организациями потребителям</v>
      </c>
      <c r="AI63" s="1437" t="str">
        <f>IF($G$63=0,"",$G$63)</f>
        <v/>
      </c>
      <c r="AJ63" s="1437" t="str">
        <f>IF($J$63=0,"",$J$63)</f>
        <v/>
      </c>
      <c r="AK63" s="1437" t="str">
        <f>IF($K$63="нет","без дифференциации",IF($N$63=0,"",$N$63))</f>
        <v/>
      </c>
      <c r="AL63" s="1437" t="str">
        <f>IF($O$63="нет","без дифференциации",IF($R$63=0,"",$R$63))</f>
        <v/>
      </c>
      <c r="AM63" s="1437" t="str">
        <f>IF($S$63="нет","без дифференциации",IF($V$63=0,"",$V$63))</f>
        <v/>
      </c>
      <c r="AN63" s="1942">
        <f>$I$63</f>
        <v>0</v>
      </c>
      <c r="AO63" s="1437" t="str">
        <f>$I$63&amp;"."&amp;$M$63</f>
        <v>.</v>
      </c>
      <c r="AP63" s="1436" t="str">
        <f>$I$63&amp;"."&amp;$M$63&amp;"."&amp;$Q$63</f>
        <v>..</v>
      </c>
      <c r="AQ63" s="1436" t="str">
        <f>$I$63&amp;"."&amp;$M$63&amp;"."&amp;$Q$63&amp;"."&amp;$U$63</f>
        <v>...</v>
      </c>
      <c r="AR63" s="1637">
        <v>0</v>
      </c>
    </row>
    <row s="12119" customFormat="1" customHeight="1" ht="17.25" hidden="1">
      <c r="A64" s="491"/>
      <c r="C64" s="490"/>
      <c r="D64" s="2305"/>
      <c r="E64" s="2313"/>
      <c r="F64" s="2316"/>
      <c r="G64" s="2313"/>
      <c r="H64" s="2319"/>
      <c r="I64" s="2321"/>
      <c r="J64" s="2323"/>
      <c r="K64" s="2308"/>
      <c r="L64" s="2308"/>
      <c r="M64" s="2308"/>
      <c r="N64" s="2310"/>
      <c r="O64" s="2308"/>
      <c r="P64" s="2308"/>
      <c r="Q64" s="2308"/>
      <c r="R64" s="2311"/>
      <c r="S64" s="2308"/>
      <c r="T64" s="2104"/>
      <c r="U64" s="2104"/>
      <c r="V64" s="2104"/>
      <c r="W64" s="2105"/>
      <c r="X64" s="1436"/>
      <c r="Y64" s="1436"/>
      <c r="Z64" s="1436"/>
      <c r="AA64" s="1436"/>
      <c r="AB64" s="1436"/>
      <c r="AC64" s="1436"/>
      <c r="AD64" s="1436"/>
      <c r="AE64" s="1436"/>
      <c r="AF64" s="1436"/>
      <c r="AG64" s="1436"/>
      <c r="AH64" s="1436"/>
      <c r="AI64" s="1436"/>
      <c r="AJ64" s="1436"/>
      <c r="AK64" s="1436"/>
      <c r="AL64" s="1436"/>
      <c r="AM64" s="1436"/>
      <c r="AN64" s="1436"/>
      <c r="AO64" s="1436"/>
      <c r="AP64" s="1436"/>
      <c r="AQ64" s="1436"/>
      <c r="AR64" s="1637">
        <v>0</v>
      </c>
    </row>
    <row s="12119" customFormat="1" customHeight="1" ht="17.25" hidden="1">
      <c r="A65" s="491"/>
      <c r="C65" s="490"/>
      <c r="D65" s="2306"/>
      <c r="E65" s="2314"/>
      <c r="F65" s="2316"/>
      <c r="G65" s="2314"/>
      <c r="H65" s="2319"/>
      <c r="I65" s="2321"/>
      <c r="J65" s="2324"/>
      <c r="K65" s="2308"/>
      <c r="L65" s="2308"/>
      <c r="M65" s="2308"/>
      <c r="N65" s="2311"/>
      <c r="O65" s="2308"/>
      <c r="P65" s="2102"/>
      <c r="Q65" s="2104"/>
      <c r="R65" s="2104"/>
      <c r="S65" s="499"/>
      <c r="T65" s="499"/>
      <c r="U65" s="499"/>
      <c r="V65" s="499"/>
      <c r="W65" s="2105"/>
      <c r="X65" s="1436"/>
      <c r="Y65" s="1436"/>
      <c r="Z65" s="1436"/>
      <c r="AA65" s="1436"/>
      <c r="AB65" s="1436"/>
      <c r="AC65" s="1436"/>
      <c r="AD65" s="1436"/>
      <c r="AE65" s="1436"/>
      <c r="AF65" s="1436"/>
      <c r="AG65" s="1436"/>
      <c r="AH65" s="1436"/>
      <c r="AI65" s="1436"/>
      <c r="AJ65" s="1436"/>
      <c r="AK65" s="1436"/>
      <c r="AL65" s="1436"/>
      <c r="AM65" s="1436"/>
      <c r="AN65" s="1436"/>
      <c r="AO65" s="1436"/>
      <c r="AP65" s="1436"/>
      <c r="AQ65" s="1436"/>
      <c r="AR65" s="1637">
        <v>0</v>
      </c>
    </row>
    <row s="12119" customFormat="1" customHeight="1" ht="17.25" hidden="1">
      <c r="A66" s="491"/>
      <c r="C66" s="379"/>
      <c r="D66" s="2306"/>
      <c r="E66" s="2314"/>
      <c r="F66" s="2316"/>
      <c r="G66" s="2314"/>
      <c r="H66" s="2319"/>
      <c r="I66" s="2321"/>
      <c r="J66" s="2324"/>
      <c r="K66" s="2308"/>
      <c r="L66" s="2104"/>
      <c r="M66" s="2104"/>
      <c r="N66" s="2104"/>
      <c r="O66" s="2104"/>
      <c r="P66" s="2104"/>
      <c r="Q66" s="2104"/>
      <c r="R66" s="2104"/>
      <c r="S66" s="499"/>
      <c r="T66" s="499"/>
      <c r="U66" s="499"/>
      <c r="V66" s="499"/>
      <c r="W66" s="2105"/>
      <c r="Y66" s="1437"/>
      <c r="Z66" s="1437"/>
      <c r="AA66" s="1437"/>
      <c r="AB66" s="1437"/>
      <c r="AC66" s="1437"/>
      <c r="AD66" s="1437"/>
      <c r="AE66" s="1437"/>
      <c r="AF66" s="1437"/>
      <c r="AG66" s="1437"/>
      <c r="AH66" s="1437"/>
      <c r="AI66" s="1437"/>
      <c r="AJ66" s="1437"/>
      <c r="AK66" s="1437"/>
      <c r="AL66" s="1437"/>
      <c r="AM66" s="1437"/>
      <c r="AN66" s="1437"/>
      <c r="AO66" s="1437"/>
      <c r="AP66" s="1437"/>
      <c r="AQ66" s="1437"/>
      <c r="AR66" s="1637">
        <v>0</v>
      </c>
    </row>
    <row s="12119" customFormat="1" customHeight="1" ht="17.25" hidden="1">
      <c r="A67" s="491"/>
      <c r="C67" s="490"/>
      <c r="D67" s="2306"/>
      <c r="E67" s="2314"/>
      <c r="F67" s="2317"/>
      <c r="G67" s="2314"/>
      <c r="H67" s="1469"/>
      <c r="I67" s="2106"/>
      <c r="J67" s="2106"/>
      <c r="K67" s="2106"/>
      <c r="L67" s="2106"/>
      <c r="M67" s="2106"/>
      <c r="N67" s="2106"/>
      <c r="O67" s="2106"/>
      <c r="P67" s="2106"/>
      <c r="Q67" s="2106"/>
      <c r="R67" s="2106"/>
      <c r="S67" s="1471"/>
      <c r="T67" s="1471"/>
      <c r="U67" s="1471"/>
      <c r="V67" s="1471"/>
      <c r="W67" s="2107"/>
      <c r="X67" s="1436"/>
      <c r="Y67" s="1436"/>
      <c r="Z67" s="1436"/>
      <c r="AA67" s="1436"/>
      <c r="AB67" s="1436"/>
      <c r="AC67" s="1436"/>
      <c r="AD67" s="1436"/>
      <c r="AE67" s="1436"/>
      <c r="AF67" s="1436"/>
      <c r="AG67" s="1436"/>
      <c r="AH67" s="1436"/>
      <c r="AI67" s="1436"/>
      <c r="AJ67" s="1436"/>
      <c r="AK67" s="1436"/>
      <c r="AL67" s="1436"/>
      <c r="AM67" s="1436"/>
      <c r="AN67" s="1436"/>
      <c r="AO67" s="1436"/>
      <c r="AP67" s="1436"/>
      <c r="AQ67" s="1436"/>
      <c r="AR67" s="1637">
        <v>0</v>
      </c>
    </row>
    <row customHeight="1" ht="11.25">
      <c r="AR68" s="274">
        <v>0</v>
      </c>
    </row>
    <row customHeight="1" ht="11.25">
      <c r="E69" s="2344" t="s">
        <v>228</v>
      </c>
      <c r="F69" s="2344"/>
      <c r="G69" s="2344"/>
      <c r="H69" s="2344"/>
      <c r="I69" s="2344"/>
      <c r="J69" s="2344"/>
      <c r="K69" s="2344"/>
      <c r="L69" s="2344"/>
      <c r="M69" s="2344"/>
      <c r="N69" s="2344"/>
      <c r="O69" s="2344"/>
      <c r="P69" s="2344"/>
      <c r="Q69" s="2344"/>
      <c r="R69" s="2344"/>
      <c r="S69" s="2344"/>
      <c r="T69" s="2344"/>
      <c r="U69" s="2344"/>
      <c r="V69" s="2344"/>
      <c r="W69" s="2344"/>
      <c r="AR69" s="274">
        <v>0</v>
      </c>
    </row>
    <row customHeight="1" ht="36.75">
      <c r="E70" s="2342" t="s">
        <v>229</v>
      </c>
      <c r="F70" s="2342"/>
      <c r="G70" s="2343"/>
      <c r="H70" s="2343"/>
      <c r="I70" s="2343"/>
      <c r="J70" s="2343"/>
      <c r="K70" s="2343"/>
      <c r="L70" s="2343"/>
      <c r="M70" s="2343"/>
      <c r="N70" s="2343"/>
      <c r="O70" s="2343"/>
      <c r="P70" s="2343"/>
      <c r="Q70" s="2343"/>
      <c r="R70" s="2343"/>
      <c r="S70" s="2343"/>
      <c r="T70" s="2343"/>
      <c r="U70" s="2343"/>
      <c r="V70" s="2343"/>
      <c r="W70" s="2343"/>
      <c r="AR70" s="274">
        <v>0</v>
      </c>
    </row>
    <row customHeight="1" ht="28.5">
      <c r="E71" s="2342" t="s">
        <v>230</v>
      </c>
      <c r="F71" s="2342"/>
      <c r="G71" s="2343"/>
      <c r="H71" s="2343"/>
      <c r="I71" s="2343"/>
      <c r="J71" s="2343"/>
      <c r="K71" s="2343"/>
      <c r="L71" s="2343"/>
      <c r="M71" s="2343"/>
      <c r="N71" s="2343"/>
      <c r="O71" s="2343"/>
      <c r="P71" s="2343"/>
      <c r="Q71" s="2343"/>
      <c r="R71" s="2343"/>
      <c r="S71" s="2343"/>
      <c r="T71" s="2343"/>
      <c r="U71" s="2343"/>
      <c r="V71" s="2343"/>
      <c r="W71" s="2343"/>
      <c r="AR71" s="274">
        <v>0</v>
      </c>
    </row>
    <row customHeight="1" ht="27">
      <c r="E72" s="2342" t="s">
        <v>231</v>
      </c>
      <c r="F72" s="2342"/>
      <c r="G72" s="2343"/>
      <c r="H72" s="2343"/>
      <c r="I72" s="2343"/>
      <c r="J72" s="2343"/>
      <c r="K72" s="2343"/>
      <c r="L72" s="2343"/>
      <c r="M72" s="2343"/>
      <c r="N72" s="2343"/>
      <c r="O72" s="2343"/>
      <c r="P72" s="2343"/>
      <c r="Q72" s="2343"/>
      <c r="R72" s="2343"/>
      <c r="S72" s="2343"/>
      <c r="T72" s="2343"/>
      <c r="U72" s="2343"/>
      <c r="V72" s="2343"/>
      <c r="W72" s="2343"/>
      <c r="AR72" s="274">
        <v>0</v>
      </c>
    </row>
    <row customHeight="1" ht="17.25">
      <c r="E73" s="2342" t="s">
        <v>232</v>
      </c>
      <c r="F73" s="2342"/>
      <c r="G73" s="2343"/>
      <c r="H73" s="2343"/>
      <c r="I73" s="2343"/>
      <c r="J73" s="2343"/>
      <c r="K73" s="2343"/>
      <c r="L73" s="2343"/>
      <c r="M73" s="2343"/>
      <c r="N73" s="2343"/>
      <c r="O73" s="2343"/>
      <c r="P73" s="2343"/>
      <c r="Q73" s="2343"/>
      <c r="R73" s="2343"/>
      <c r="S73" s="2343"/>
      <c r="T73" s="2343"/>
      <c r="U73" s="2343"/>
      <c r="V73" s="2343"/>
      <c r="W73" s="2343"/>
      <c r="AR73" s="274">
        <v>0</v>
      </c>
    </row>
    <row customHeight="1" ht="15">
      <c r="E74" s="510"/>
      <c r="F74" s="1455"/>
      <c r="G74" s="327"/>
      <c r="H74" s="327"/>
      <c r="I74" s="327"/>
      <c r="J74" s="327"/>
      <c r="K74" s="327"/>
      <c r="L74" s="327"/>
      <c r="M74" s="327"/>
      <c r="N74" s="327"/>
      <c r="O74" s="327"/>
      <c r="P74" s="327"/>
      <c r="Q74" s="327"/>
      <c r="R74" s="327"/>
      <c r="S74" s="327"/>
      <c r="T74" s="327"/>
      <c r="U74" s="327"/>
      <c r="V74" s="327"/>
      <c r="W74" s="327"/>
      <c r="AR74" s="274">
        <v>0</v>
      </c>
    </row>
    <row customHeight="1" ht="15">
      <c r="E75" s="2344" t="s">
        <v>233</v>
      </c>
      <c r="F75" s="2344"/>
      <c r="G75" s="2344"/>
      <c r="H75" s="2344"/>
      <c r="I75" s="2344"/>
      <c r="J75" s="2344"/>
      <c r="K75" s="2344"/>
      <c r="L75" s="2344"/>
      <c r="M75" s="2344"/>
      <c r="N75" s="2344"/>
      <c r="O75" s="2344"/>
      <c r="P75" s="2344"/>
      <c r="Q75" s="2344"/>
      <c r="R75" s="2344"/>
      <c r="S75" s="2344"/>
      <c r="T75" s="2344"/>
      <c r="U75" s="2344"/>
      <c r="V75" s="2344"/>
      <c r="W75" s="2344"/>
      <c r="AR75" s="274">
        <v>0</v>
      </c>
    </row>
    <row customHeight="1" ht="17.25">
      <c r="E76" s="2342" t="s">
        <v>234</v>
      </c>
      <c r="F76" s="2342"/>
      <c r="G76" s="2343"/>
      <c r="H76" s="2343"/>
      <c r="I76" s="2343"/>
      <c r="J76" s="2343"/>
      <c r="K76" s="2343"/>
      <c r="L76" s="2343"/>
      <c r="M76" s="2343"/>
      <c r="N76" s="2343"/>
      <c r="O76" s="2343"/>
      <c r="P76" s="2343"/>
      <c r="Q76" s="2343"/>
      <c r="R76" s="2343"/>
      <c r="S76" s="2343"/>
      <c r="T76" s="2343"/>
      <c r="U76" s="2343"/>
      <c r="V76" s="2343"/>
      <c r="W76" s="2343"/>
      <c r="AR76" s="274">
        <v>0</v>
      </c>
    </row>
    <row customHeight="1" ht="17.25">
      <c r="E77" s="2342" t="s">
        <v>235</v>
      </c>
      <c r="F77" s="2342"/>
      <c r="G77" s="2343"/>
      <c r="H77" s="2343"/>
      <c r="I77" s="2343"/>
      <c r="J77" s="2343"/>
      <c r="K77" s="2343"/>
      <c r="L77" s="2343"/>
      <c r="M77" s="2343"/>
      <c r="N77" s="2343"/>
      <c r="O77" s="2343"/>
      <c r="P77" s="2343"/>
      <c r="Q77" s="2343"/>
      <c r="R77" s="2343"/>
      <c r="S77" s="2343"/>
      <c r="T77" s="2343"/>
      <c r="U77" s="2343"/>
      <c r="V77" s="2343"/>
      <c r="W77" s="2343"/>
      <c r="AR77" s="274">
        <v>0</v>
      </c>
    </row>
    <row s="12119" customFormat="1" customHeight="1" ht="11.25" hidden="1">
      <c r="A78" s="447"/>
      <c r="B78" s="447"/>
      <c r="Y78" s="1429"/>
      <c r="Z78" s="1429"/>
      <c r="AA78" s="1429"/>
      <c r="AB78" s="1429"/>
      <c r="AC78" s="1429"/>
      <c r="AD78" s="1429"/>
      <c r="AE78" s="1429"/>
      <c r="AF78" s="1429"/>
      <c r="AG78" s="1429"/>
      <c r="AH78" s="1429"/>
      <c r="AI78" s="1429"/>
      <c r="AJ78" s="1429"/>
      <c r="AK78" s="1429"/>
      <c r="AL78" s="1429"/>
      <c r="AM78" s="1429"/>
      <c r="AN78" s="1429"/>
      <c r="AO78" s="1429"/>
      <c r="AP78" s="1429"/>
      <c r="AQ78" s="1429"/>
      <c r="AR78" s="1520">
        <v>0</v>
      </c>
    </row>
    <row s="12119" customFormat="1" customHeight="1" ht="17.25" hidden="1">
      <c r="A79" s="491"/>
      <c r="C79" s="379"/>
      <c r="D79" s="2305">
        <v>1</v>
      </c>
      <c r="E79" s="2313" t="s">
        <v>236</v>
      </c>
      <c r="F79" s="2315" t="s">
        <v>19</v>
      </c>
      <c r="G79" s="2313"/>
      <c r="H79" s="2318"/>
      <c r="I79" s="2320"/>
      <c r="J79" s="2322"/>
      <c r="K79" s="2307"/>
      <c r="L79" s="2307"/>
      <c r="M79" s="2307"/>
      <c r="N79" s="2309"/>
      <c r="O79" s="2307"/>
      <c r="P79" s="2307"/>
      <c r="Q79" s="2307"/>
      <c r="R79" s="2312"/>
      <c r="S79" s="2307"/>
      <c r="T79" s="1640"/>
      <c r="U79" s="1640"/>
      <c r="V79" s="1642"/>
      <c r="W79" s="1466"/>
      <c r="Y79" s="1437"/>
      <c r="Z79" s="1437"/>
      <c r="AA79" s="1437"/>
      <c r="AB79" s="1437"/>
      <c r="AC79" s="1437" t="s">
        <v>237</v>
      </c>
      <c r="AD79" s="1437" t="s">
        <v>238</v>
      </c>
      <c r="AE79" s="1437" t="s">
        <v>239</v>
      </c>
      <c r="AF79" s="1437" t="s">
        <v>240</v>
      </c>
      <c r="AG79" s="1437"/>
      <c r="AH79" s="1437" t="str">
        <f>IF($E$79=0,"",$E$79)</f>
        <v>Тариф на питьевую воду (питьевое водоснабжение)</v>
      </c>
      <c r="AI79" s="1437" t="str">
        <f>IF($G$79=0,"",$G$79)</f>
        <v/>
      </c>
      <c r="AJ79" s="1437" t="str">
        <f>IF($J$79=0,"",$J$79)</f>
        <v/>
      </c>
      <c r="AK79" s="1437" t="str">
        <f>IF($K$79="нет","без дифференциации",IF($N$79=0,"",$N$79))</f>
        <v/>
      </c>
      <c r="AL79" s="1437" t="str">
        <f>IF($O$79="нет","без дифференциации",IF($R$79=0,"",$R$79))</f>
        <v/>
      </c>
      <c r="AM79" s="1437" t="str">
        <f>IF($S$79="нет","без дифференциации",IF($V$79=0,"",$V$79))</f>
        <v/>
      </c>
      <c r="AN79" s="1437">
        <f>$I$79</f>
        <v>0</v>
      </c>
      <c r="AO79" s="1437" t="str">
        <f>$I$79&amp;"."&amp;$M$79</f>
        <v>.</v>
      </c>
      <c r="AP79" s="1437" t="str">
        <f>$I$79&amp;"."&amp;$M$79&amp;"."&amp;$Q$79</f>
        <v>..</v>
      </c>
      <c r="AQ79" s="1437" t="str">
        <f>$I$79&amp;"."&amp;$M$79&amp;"."&amp;$Q$79&amp;"."&amp;$U$79</f>
        <v>...</v>
      </c>
      <c r="AR79" s="1520">
        <v>0</v>
      </c>
    </row>
    <row s="12119" customFormat="1" customHeight="1" ht="17.25" hidden="1">
      <c r="A80" s="491"/>
      <c r="C80" s="490"/>
      <c r="D80" s="2305"/>
      <c r="E80" s="2313"/>
      <c r="F80" s="2316"/>
      <c r="G80" s="2313"/>
      <c r="H80" s="2319"/>
      <c r="I80" s="2321"/>
      <c r="J80" s="2323"/>
      <c r="K80" s="2308"/>
      <c r="L80" s="2308"/>
      <c r="M80" s="2308"/>
      <c r="N80" s="2310"/>
      <c r="O80" s="2308"/>
      <c r="P80" s="2308"/>
      <c r="Q80" s="2308"/>
      <c r="R80" s="2311"/>
      <c r="S80" s="2308"/>
      <c r="T80" s="1467"/>
      <c r="U80" s="1467"/>
      <c r="V80" s="1467"/>
      <c r="W80" s="1468"/>
      <c r="Y80" s="1429"/>
      <c r="Z80" s="1429"/>
      <c r="AA80" s="1429"/>
      <c r="AB80" s="1429"/>
      <c r="AC80" s="1429"/>
      <c r="AD80" s="1429"/>
      <c r="AE80" s="1429"/>
      <c r="AF80" s="1429"/>
      <c r="AG80" s="1429"/>
      <c r="AH80" s="1429"/>
      <c r="AI80" s="1429"/>
      <c r="AJ80" s="1429"/>
      <c r="AK80" s="1429"/>
      <c r="AL80" s="1429"/>
      <c r="AM80" s="1429"/>
      <c r="AN80" s="1429"/>
      <c r="AO80" s="1429"/>
      <c r="AP80" s="1429"/>
      <c r="AQ80" s="1429"/>
      <c r="AR80" s="1520">
        <v>0</v>
      </c>
    </row>
    <row s="12119" customFormat="1" customHeight="1" ht="17.25" hidden="1">
      <c r="A81" s="491"/>
      <c r="C81" s="379"/>
      <c r="D81" s="2305"/>
      <c r="E81" s="2313"/>
      <c r="F81" s="2316"/>
      <c r="G81" s="2313"/>
      <c r="H81" s="2319"/>
      <c r="I81" s="2321"/>
      <c r="J81" s="2324"/>
      <c r="K81" s="2308"/>
      <c r="L81" s="2308"/>
      <c r="M81" s="2308"/>
      <c r="N81" s="2311"/>
      <c r="O81" s="2308"/>
      <c r="P81" s="1641"/>
      <c r="Q81" s="1467"/>
      <c r="R81" s="1467"/>
      <c r="S81" s="499"/>
      <c r="T81" s="499"/>
      <c r="U81" s="499"/>
      <c r="V81" s="499"/>
      <c r="W81" s="1468"/>
      <c r="Y81" s="1437"/>
      <c r="Z81" s="1437"/>
      <c r="AA81" s="1437"/>
      <c r="AB81" s="1437"/>
      <c r="AC81" s="1437"/>
      <c r="AD81" s="1437"/>
      <c r="AE81" s="1437"/>
      <c r="AF81" s="1437"/>
      <c r="AG81" s="1437"/>
      <c r="AH81" s="1437"/>
      <c r="AI81" s="1437"/>
      <c r="AJ81" s="1437"/>
      <c r="AK81" s="1437"/>
      <c r="AL81" s="1437"/>
      <c r="AM81" s="1437"/>
      <c r="AN81" s="1437"/>
      <c r="AO81" s="1437"/>
      <c r="AP81" s="1437"/>
      <c r="AQ81" s="1437"/>
      <c r="AR81" s="1611">
        <v>0</v>
      </c>
    </row>
    <row s="12119" customFormat="1" customHeight="1" ht="17.25" hidden="1">
      <c r="A82" s="491"/>
      <c r="C82" s="490"/>
      <c r="D82" s="2305"/>
      <c r="E82" s="2313"/>
      <c r="F82" s="2316"/>
      <c r="G82" s="2313"/>
      <c r="H82" s="2319"/>
      <c r="I82" s="2321"/>
      <c r="J82" s="2324"/>
      <c r="K82" s="2308"/>
      <c r="L82" s="1467"/>
      <c r="M82" s="1467"/>
      <c r="N82" s="1467"/>
      <c r="O82" s="1467"/>
      <c r="P82" s="1467"/>
      <c r="Q82" s="1467"/>
      <c r="R82" s="1467"/>
      <c r="S82" s="499"/>
      <c r="T82" s="499"/>
      <c r="U82" s="499"/>
      <c r="V82" s="499"/>
      <c r="W82" s="1468"/>
      <c r="Y82" s="1429"/>
      <c r="Z82" s="1429"/>
      <c r="AA82" s="1429"/>
      <c r="AB82" s="1429"/>
      <c r="AC82" s="1429"/>
      <c r="AD82" s="1429"/>
      <c r="AE82" s="1429"/>
      <c r="AF82" s="1429"/>
      <c r="AG82" s="1429"/>
      <c r="AH82" s="1429"/>
      <c r="AI82" s="1429"/>
      <c r="AJ82" s="1429"/>
      <c r="AK82" s="1429"/>
      <c r="AL82" s="1429"/>
      <c r="AM82" s="1429"/>
      <c r="AN82" s="1429"/>
      <c r="AO82" s="1429"/>
      <c r="AP82" s="1429"/>
      <c r="AQ82" s="1429"/>
      <c r="AR82" s="1611">
        <v>0</v>
      </c>
    </row>
    <row s="12119" customFormat="1" customHeight="1" ht="17.25" hidden="1">
      <c r="A83" s="491"/>
      <c r="C83" s="490"/>
      <c r="D83" s="2306"/>
      <c r="E83" s="2314"/>
      <c r="F83" s="2317"/>
      <c r="G83" s="2314"/>
      <c r="H83" s="1469"/>
      <c r="I83" s="1470"/>
      <c r="J83" s="1470"/>
      <c r="K83" s="1470"/>
      <c r="L83" s="1470"/>
      <c r="M83" s="1470"/>
      <c r="N83" s="1470"/>
      <c r="O83" s="1470"/>
      <c r="P83" s="1470"/>
      <c r="Q83" s="1470"/>
      <c r="R83" s="1470"/>
      <c r="S83" s="1471"/>
      <c r="T83" s="1471"/>
      <c r="U83" s="1471"/>
      <c r="V83" s="1471"/>
      <c r="W83" s="1472"/>
      <c r="Y83" s="1429"/>
      <c r="Z83" s="1429"/>
      <c r="AA83" s="1429"/>
      <c r="AB83" s="1429"/>
      <c r="AC83" s="1429"/>
      <c r="AD83" s="1429"/>
      <c r="AE83" s="1429"/>
      <c r="AF83" s="1429"/>
      <c r="AG83" s="1429"/>
      <c r="AH83" s="1429"/>
      <c r="AI83" s="1429"/>
      <c r="AJ83" s="1429"/>
      <c r="AK83" s="1429"/>
      <c r="AL83" s="1429"/>
      <c r="AM83" s="1429"/>
      <c r="AN83" s="1429"/>
      <c r="AO83" s="1429"/>
      <c r="AP83" s="1429"/>
      <c r="AQ83" s="1429"/>
      <c r="AR83" s="1520">
        <v>0</v>
      </c>
    </row>
    <row s="12119" customFormat="1" customHeight="1" ht="17.25" hidden="1">
      <c r="A84" s="491"/>
      <c r="C84" s="379"/>
      <c r="D84" s="2305">
        <v>2</v>
      </c>
      <c r="E84" s="2313" t="s">
        <v>241</v>
      </c>
      <c r="F84" s="2315" t="s">
        <v>19</v>
      </c>
      <c r="G84" s="2313"/>
      <c r="H84" s="2318"/>
      <c r="I84" s="2320"/>
      <c r="J84" s="2322"/>
      <c r="K84" s="2307"/>
      <c r="L84" s="2307"/>
      <c r="M84" s="2307"/>
      <c r="N84" s="2309"/>
      <c r="O84" s="2307"/>
      <c r="P84" s="2307"/>
      <c r="Q84" s="2307"/>
      <c r="R84" s="2312"/>
      <c r="S84" s="2307"/>
      <c r="T84" s="1613"/>
      <c r="U84" s="1613"/>
      <c r="V84" s="1615"/>
      <c r="W84" s="1466"/>
      <c r="X84" s="1437"/>
      <c r="Y84" s="1437"/>
      <c r="Z84" s="1437"/>
      <c r="AA84" s="1437"/>
      <c r="AB84" s="1437"/>
      <c r="AC84" s="1437" t="s">
        <v>242</v>
      </c>
      <c r="AD84" s="1437" t="s">
        <v>243</v>
      </c>
      <c r="AE84" s="1437" t="s">
        <v>244</v>
      </c>
      <c r="AF84" s="1437" t="s">
        <v>245</v>
      </c>
      <c r="AG84" s="1437"/>
      <c r="AH84" s="1437" t="str">
        <f>IF($E$84=0,"",$E$84)</f>
        <v>Тариф на техническую воду</v>
      </c>
      <c r="AI84" s="1437" t="str">
        <f>IF($G$84=0,"",$G$84)</f>
        <v/>
      </c>
      <c r="AJ84" s="1437" t="str">
        <f>IF($J$84=0,"",$J$84)</f>
        <v/>
      </c>
      <c r="AK84" s="1437" t="str">
        <f>IF($K$84="нет","без дифференциации",IF($N$84=0,"",$N$84))</f>
        <v/>
      </c>
      <c r="AL84" s="1437" t="str">
        <f>IF($O$84="нет","без дифференциации",IF($R$84=0,"",$R$84))</f>
        <v/>
      </c>
      <c r="AM84" s="1437" t="str">
        <f>IF($S$84="нет","без дифференциации",IF($V$84=0,"",$V$84))</f>
        <v/>
      </c>
      <c r="AN84" s="1942">
        <f>$I$84</f>
        <v>0</v>
      </c>
      <c r="AO84" s="1437" t="str">
        <f>$I$84&amp;"."&amp;$M$84</f>
        <v>.</v>
      </c>
      <c r="AP84" s="1429" t="str">
        <f>$I$84&amp;"."&amp;$M$84&amp;"."&amp;$Q$84</f>
        <v>..</v>
      </c>
      <c r="AQ84" s="1429" t="str">
        <f>$I$84&amp;"."&amp;$M$84&amp;"."&amp;$Q$84&amp;"."&amp;$U$84</f>
        <v>...</v>
      </c>
      <c r="AR84" s="1520">
        <v>0</v>
      </c>
    </row>
    <row s="12119" customFormat="1" customHeight="1" ht="17.25" hidden="1">
      <c r="A85" s="491"/>
      <c r="C85" s="490"/>
      <c r="D85" s="2305"/>
      <c r="E85" s="2313"/>
      <c r="F85" s="2316"/>
      <c r="G85" s="2313"/>
      <c r="H85" s="2319"/>
      <c r="I85" s="2321"/>
      <c r="J85" s="2323"/>
      <c r="K85" s="2308"/>
      <c r="L85" s="2308"/>
      <c r="M85" s="2308"/>
      <c r="N85" s="2310"/>
      <c r="O85" s="2308"/>
      <c r="P85" s="2308"/>
      <c r="Q85" s="2308"/>
      <c r="R85" s="2311"/>
      <c r="S85" s="2308"/>
      <c r="T85" s="1467"/>
      <c r="U85" s="1467"/>
      <c r="V85" s="1467"/>
      <c r="W85" s="1468"/>
      <c r="X85" s="1429"/>
      <c r="Y85" s="1429"/>
      <c r="Z85" s="1429"/>
      <c r="AA85" s="1429"/>
      <c r="AB85" s="1429"/>
      <c r="AC85" s="1429"/>
      <c r="AD85" s="1429"/>
      <c r="AE85" s="1429"/>
      <c r="AF85" s="1429"/>
      <c r="AG85" s="1429"/>
      <c r="AH85" s="1429"/>
      <c r="AI85" s="1429"/>
      <c r="AJ85" s="1429"/>
      <c r="AK85" s="1429"/>
      <c r="AL85" s="1429"/>
      <c r="AM85" s="1429"/>
      <c r="AN85" s="1429"/>
      <c r="AO85" s="1429"/>
      <c r="AP85" s="1429"/>
      <c r="AQ85" s="1429"/>
      <c r="AR85" s="1520">
        <v>0</v>
      </c>
    </row>
    <row s="12119" customFormat="1" customHeight="1" ht="17.25" hidden="1">
      <c r="A86" s="491"/>
      <c r="C86" s="490"/>
      <c r="D86" s="2306"/>
      <c r="E86" s="2314"/>
      <c r="F86" s="2316"/>
      <c r="G86" s="2314"/>
      <c r="H86" s="2319"/>
      <c r="I86" s="2321"/>
      <c r="J86" s="2324"/>
      <c r="K86" s="2308"/>
      <c r="L86" s="2308"/>
      <c r="M86" s="2308"/>
      <c r="N86" s="2311"/>
      <c r="O86" s="2308"/>
      <c r="P86" s="1614"/>
      <c r="Q86" s="1467"/>
      <c r="R86" s="1467"/>
      <c r="S86" s="499"/>
      <c r="T86" s="499"/>
      <c r="U86" s="499"/>
      <c r="V86" s="499"/>
      <c r="W86" s="1468"/>
      <c r="X86" s="1429"/>
      <c r="Y86" s="1429"/>
      <c r="Z86" s="1429"/>
      <c r="AA86" s="1429"/>
      <c r="AB86" s="1429"/>
      <c r="AC86" s="1429"/>
      <c r="AD86" s="1429"/>
      <c r="AE86" s="1429"/>
      <c r="AF86" s="1429"/>
      <c r="AG86" s="1429"/>
      <c r="AH86" s="1429"/>
      <c r="AI86" s="1429"/>
      <c r="AJ86" s="1429"/>
      <c r="AK86" s="1429"/>
      <c r="AL86" s="1429"/>
      <c r="AM86" s="1429"/>
      <c r="AN86" s="1429"/>
      <c r="AO86" s="1429"/>
      <c r="AP86" s="1429"/>
      <c r="AQ86" s="1429"/>
      <c r="AR86" s="1520">
        <v>0</v>
      </c>
    </row>
    <row s="12119" customFormat="1" customHeight="1" ht="17.25" hidden="1">
      <c r="A87" s="491"/>
      <c r="C87" s="490"/>
      <c r="D87" s="2306"/>
      <c r="E87" s="2314"/>
      <c r="F87" s="2316"/>
      <c r="G87" s="2314"/>
      <c r="H87" s="2319"/>
      <c r="I87" s="2321"/>
      <c r="J87" s="2324"/>
      <c r="K87" s="2308"/>
      <c r="L87" s="1467"/>
      <c r="M87" s="1467"/>
      <c r="N87" s="1467"/>
      <c r="O87" s="1467"/>
      <c r="P87" s="1467"/>
      <c r="Q87" s="1467"/>
      <c r="R87" s="1467"/>
      <c r="S87" s="499"/>
      <c r="T87" s="499"/>
      <c r="U87" s="499"/>
      <c r="V87" s="499"/>
      <c r="W87" s="1468"/>
      <c r="X87" s="1429"/>
      <c r="Y87" s="1429"/>
      <c r="Z87" s="1429"/>
      <c r="AA87" s="1429"/>
      <c r="AB87" s="1429"/>
      <c r="AC87" s="1429"/>
      <c r="AD87" s="1429"/>
      <c r="AE87" s="1429"/>
      <c r="AF87" s="1429"/>
      <c r="AG87" s="1429"/>
      <c r="AH87" s="1429"/>
      <c r="AI87" s="1429"/>
      <c r="AJ87" s="1429"/>
      <c r="AK87" s="1429"/>
      <c r="AL87" s="1429"/>
      <c r="AM87" s="1429"/>
      <c r="AN87" s="1429"/>
      <c r="AO87" s="1429"/>
      <c r="AP87" s="1429"/>
      <c r="AQ87" s="1429"/>
      <c r="AR87" s="1520">
        <v>0</v>
      </c>
    </row>
    <row s="12119" customFormat="1" customHeight="1" ht="17.25" hidden="1">
      <c r="A88" s="491"/>
      <c r="C88" s="490"/>
      <c r="D88" s="2306"/>
      <c r="E88" s="2314"/>
      <c r="F88" s="2317"/>
      <c r="G88" s="2314"/>
      <c r="H88" s="1469"/>
      <c r="I88" s="1470"/>
      <c r="J88" s="1470"/>
      <c r="K88" s="1470"/>
      <c r="L88" s="1470"/>
      <c r="M88" s="1470"/>
      <c r="N88" s="1470"/>
      <c r="O88" s="1470"/>
      <c r="P88" s="1470"/>
      <c r="Q88" s="1470"/>
      <c r="R88" s="1470"/>
      <c r="S88" s="1471"/>
      <c r="T88" s="1471"/>
      <c r="U88" s="1471"/>
      <c r="V88" s="1471"/>
      <c r="W88" s="1472"/>
      <c r="X88" s="1429"/>
      <c r="Y88" s="1429"/>
      <c r="Z88" s="1429"/>
      <c r="AA88" s="1429"/>
      <c r="AB88" s="1429"/>
      <c r="AC88" s="1429"/>
      <c r="AD88" s="1429"/>
      <c r="AE88" s="1429"/>
      <c r="AF88" s="1429"/>
      <c r="AG88" s="1429"/>
      <c r="AH88" s="1429"/>
      <c r="AI88" s="1429"/>
      <c r="AJ88" s="1429"/>
      <c r="AK88" s="1429"/>
      <c r="AL88" s="1429"/>
      <c r="AM88" s="1429"/>
      <c r="AN88" s="1429"/>
      <c r="AO88" s="1429"/>
      <c r="AP88" s="1429"/>
      <c r="AQ88" s="1429"/>
      <c r="AR88" s="1520">
        <v>0</v>
      </c>
    </row>
    <row s="12119" customFormat="1" customHeight="1" ht="17.25" hidden="1">
      <c r="A89" s="491"/>
      <c r="C89" s="379"/>
      <c r="D89" s="2305">
        <v>3</v>
      </c>
      <c r="E89" s="2313" t="s">
        <v>246</v>
      </c>
      <c r="F89" s="2315" t="s">
        <v>19</v>
      </c>
      <c r="G89" s="2313"/>
      <c r="H89" s="2318"/>
      <c r="I89" s="2320"/>
      <c r="J89" s="2322"/>
      <c r="K89" s="2307"/>
      <c r="L89" s="2307"/>
      <c r="M89" s="2307"/>
      <c r="N89" s="2309"/>
      <c r="O89" s="2307"/>
      <c r="P89" s="2307"/>
      <c r="Q89" s="2307"/>
      <c r="R89" s="2312"/>
      <c r="S89" s="2307"/>
      <c r="T89" s="1613"/>
      <c r="U89" s="1613"/>
      <c r="V89" s="1615"/>
      <c r="W89" s="1466"/>
      <c r="X89" s="1437"/>
      <c r="Y89" s="1437"/>
      <c r="Z89" s="1437"/>
      <c r="AA89" s="1437"/>
      <c r="AB89" s="1437"/>
      <c r="AC89" s="1437" t="s">
        <v>247</v>
      </c>
      <c r="AD89" s="1437" t="s">
        <v>248</v>
      </c>
      <c r="AE89" s="1437" t="s">
        <v>249</v>
      </c>
      <c r="AF89" s="1437" t="s">
        <v>250</v>
      </c>
      <c r="AG89" s="1437"/>
      <c r="AH89" s="1437" t="str">
        <f>IF($E$89=0,"",$E$89)</f>
        <v>Тариф на транспортировку воды</v>
      </c>
      <c r="AI89" s="1437" t="str">
        <f>IF($G$89=0,"",$G$89)</f>
        <v/>
      </c>
      <c r="AJ89" s="1437" t="str">
        <f>IF($J$89=0,"",$J$89)</f>
        <v/>
      </c>
      <c r="AK89" s="1437" t="str">
        <f>IF($K$89="нет","без дифференциации",IF($N$89=0,"",$N$89))</f>
        <v/>
      </c>
      <c r="AL89" s="1437" t="str">
        <f>IF($O$89="нет","без дифференциации",IF($R$89=0,"",$R$89))</f>
        <v/>
      </c>
      <c r="AM89" s="1437" t="str">
        <f>IF($S$89="нет","без дифференциации",IF($V$89=0,"",$V$89))</f>
        <v/>
      </c>
      <c r="AN89" s="1942">
        <f>$I$89</f>
        <v>0</v>
      </c>
      <c r="AO89" s="1437" t="str">
        <f>$I$89&amp;"."&amp;$M$89</f>
        <v>.</v>
      </c>
      <c r="AP89" s="1429" t="str">
        <f>$I$89&amp;"."&amp;$M$89&amp;"."&amp;$Q$89</f>
        <v>..</v>
      </c>
      <c r="AQ89" s="1429" t="str">
        <f>$I$89&amp;"."&amp;$M$89&amp;"."&amp;$Q$89&amp;"."&amp;$U$89</f>
        <v>...</v>
      </c>
      <c r="AR89" s="1520">
        <v>0</v>
      </c>
    </row>
    <row s="12119" customFormat="1" customHeight="1" ht="17.25" hidden="1">
      <c r="A90" s="491"/>
      <c r="C90" s="490"/>
      <c r="D90" s="2305"/>
      <c r="E90" s="2313"/>
      <c r="F90" s="2316"/>
      <c r="G90" s="2313"/>
      <c r="H90" s="2319"/>
      <c r="I90" s="2321"/>
      <c r="J90" s="2323"/>
      <c r="K90" s="2308"/>
      <c r="L90" s="2308"/>
      <c r="M90" s="2308"/>
      <c r="N90" s="2310"/>
      <c r="O90" s="2308"/>
      <c r="P90" s="2308"/>
      <c r="Q90" s="2308"/>
      <c r="R90" s="2311"/>
      <c r="S90" s="2308"/>
      <c r="T90" s="1467"/>
      <c r="U90" s="1467"/>
      <c r="V90" s="1467"/>
      <c r="W90" s="1468"/>
      <c r="X90" s="1429"/>
      <c r="Y90" s="1429"/>
      <c r="Z90" s="1429"/>
      <c r="AA90" s="1429"/>
      <c r="AB90" s="1429"/>
      <c r="AC90" s="1429"/>
      <c r="AD90" s="1429"/>
      <c r="AE90" s="1429"/>
      <c r="AF90" s="1429"/>
      <c r="AG90" s="1429"/>
      <c r="AH90" s="1429"/>
      <c r="AI90" s="1429"/>
      <c r="AJ90" s="1429"/>
      <c r="AK90" s="1429"/>
      <c r="AL90" s="1429"/>
      <c r="AM90" s="1429"/>
      <c r="AN90" s="1429"/>
      <c r="AO90" s="1429"/>
      <c r="AP90" s="1429"/>
      <c r="AQ90" s="1429"/>
      <c r="AR90" s="1520">
        <v>0</v>
      </c>
    </row>
    <row s="12119" customFormat="1" customHeight="1" ht="17.25" hidden="1">
      <c r="A91" s="491"/>
      <c r="C91" s="490"/>
      <c r="D91" s="2306"/>
      <c r="E91" s="2314"/>
      <c r="F91" s="2316"/>
      <c r="G91" s="2314"/>
      <c r="H91" s="2319"/>
      <c r="I91" s="2321"/>
      <c r="J91" s="2324"/>
      <c r="K91" s="2308"/>
      <c r="L91" s="2308"/>
      <c r="M91" s="2308"/>
      <c r="N91" s="2311"/>
      <c r="O91" s="2308"/>
      <c r="P91" s="1614"/>
      <c r="Q91" s="1467"/>
      <c r="R91" s="1467"/>
      <c r="S91" s="499"/>
      <c r="T91" s="499"/>
      <c r="U91" s="499"/>
      <c r="V91" s="499"/>
      <c r="W91" s="1468"/>
      <c r="X91" s="1429"/>
      <c r="Y91" s="1429"/>
      <c r="Z91" s="1429"/>
      <c r="AA91" s="1429"/>
      <c r="AB91" s="1429"/>
      <c r="AC91" s="1429"/>
      <c r="AD91" s="1429"/>
      <c r="AE91" s="1429"/>
      <c r="AF91" s="1429"/>
      <c r="AG91" s="1429"/>
      <c r="AH91" s="1429"/>
      <c r="AI91" s="1429"/>
      <c r="AJ91" s="1429"/>
      <c r="AK91" s="1429"/>
      <c r="AL91" s="1429"/>
      <c r="AM91" s="1429"/>
      <c r="AN91" s="1429"/>
      <c r="AO91" s="1429"/>
      <c r="AP91" s="1429"/>
      <c r="AQ91" s="1429"/>
      <c r="AR91" s="1520">
        <v>0</v>
      </c>
    </row>
    <row s="12119" customFormat="1" customHeight="1" ht="17.25" hidden="1">
      <c r="A92" s="491"/>
      <c r="C92" s="490"/>
      <c r="D92" s="2306"/>
      <c r="E92" s="2314"/>
      <c r="F92" s="2316"/>
      <c r="G92" s="2314"/>
      <c r="H92" s="2319"/>
      <c r="I92" s="2321"/>
      <c r="J92" s="2324"/>
      <c r="K92" s="2308"/>
      <c r="L92" s="1467"/>
      <c r="M92" s="1467"/>
      <c r="N92" s="1467"/>
      <c r="O92" s="1467"/>
      <c r="P92" s="1467"/>
      <c r="Q92" s="1467"/>
      <c r="R92" s="1467"/>
      <c r="S92" s="499"/>
      <c r="T92" s="499"/>
      <c r="U92" s="499"/>
      <c r="V92" s="499"/>
      <c r="W92" s="1468"/>
      <c r="X92" s="1429"/>
      <c r="Y92" s="1429"/>
      <c r="Z92" s="1429"/>
      <c r="AA92" s="1429"/>
      <c r="AB92" s="1429"/>
      <c r="AC92" s="1429"/>
      <c r="AD92" s="1429"/>
      <c r="AE92" s="1429"/>
      <c r="AF92" s="1429"/>
      <c r="AG92" s="1429"/>
      <c r="AH92" s="1429"/>
      <c r="AI92" s="1429"/>
      <c r="AJ92" s="1429"/>
      <c r="AK92" s="1429"/>
      <c r="AL92" s="1429"/>
      <c r="AM92" s="1429"/>
      <c r="AN92" s="1429"/>
      <c r="AO92" s="1429"/>
      <c r="AP92" s="1429"/>
      <c r="AQ92" s="1429"/>
      <c r="AR92" s="1520">
        <v>0</v>
      </c>
    </row>
    <row s="12119" customFormat="1" customHeight="1" ht="17.25" hidden="1">
      <c r="A93" s="491"/>
      <c r="C93" s="490"/>
      <c r="D93" s="2306"/>
      <c r="E93" s="2314"/>
      <c r="F93" s="2317"/>
      <c r="G93" s="2314"/>
      <c r="H93" s="1469"/>
      <c r="I93" s="1470"/>
      <c r="J93" s="1470"/>
      <c r="K93" s="1470"/>
      <c r="L93" s="1470"/>
      <c r="M93" s="1470"/>
      <c r="N93" s="1470"/>
      <c r="O93" s="1470"/>
      <c r="P93" s="1470"/>
      <c r="Q93" s="1470"/>
      <c r="R93" s="1470"/>
      <c r="S93" s="1471"/>
      <c r="T93" s="1471"/>
      <c r="U93" s="1471"/>
      <c r="V93" s="1471"/>
      <c r="W93" s="1472"/>
      <c r="X93" s="1429"/>
      <c r="Y93" s="1429"/>
      <c r="Z93" s="1429"/>
      <c r="AA93" s="1429"/>
      <c r="AB93" s="1429"/>
      <c r="AC93" s="1429"/>
      <c r="AD93" s="1429"/>
      <c r="AE93" s="1429"/>
      <c r="AF93" s="1429"/>
      <c r="AG93" s="1429"/>
      <c r="AH93" s="1429"/>
      <c r="AI93" s="1429"/>
      <c r="AJ93" s="1429"/>
      <c r="AK93" s="1429"/>
      <c r="AL93" s="1429"/>
      <c r="AM93" s="1429"/>
      <c r="AN93" s="1429"/>
      <c r="AO93" s="1429"/>
      <c r="AP93" s="1429"/>
      <c r="AQ93" s="1429"/>
      <c r="AR93" s="1520">
        <v>0</v>
      </c>
    </row>
    <row s="12119" customFormat="1" customHeight="1" ht="17.25" hidden="1">
      <c r="A94" s="491"/>
      <c r="C94" s="379"/>
      <c r="D94" s="2305">
        <v>4</v>
      </c>
      <c r="E94" s="2313" t="s">
        <v>251</v>
      </c>
      <c r="F94" s="2315" t="s">
        <v>19</v>
      </c>
      <c r="G94" s="2313"/>
      <c r="H94" s="2318"/>
      <c r="I94" s="2320"/>
      <c r="J94" s="2322"/>
      <c r="K94" s="2307"/>
      <c r="L94" s="2307"/>
      <c r="M94" s="2307"/>
      <c r="N94" s="2309"/>
      <c r="O94" s="2307"/>
      <c r="P94" s="2307"/>
      <c r="Q94" s="2307"/>
      <c r="R94" s="2312"/>
      <c r="S94" s="2307"/>
      <c r="T94" s="1613"/>
      <c r="U94" s="1613"/>
      <c r="V94" s="1615"/>
      <c r="W94" s="1466"/>
      <c r="X94" s="1437"/>
      <c r="Y94" s="1437"/>
      <c r="Z94" s="1437"/>
      <c r="AA94" s="1437"/>
      <c r="AB94" s="1437"/>
      <c r="AC94" s="1437" t="s">
        <v>252</v>
      </c>
      <c r="AD94" s="1437" t="s">
        <v>253</v>
      </c>
      <c r="AE94" s="1437" t="s">
        <v>254</v>
      </c>
      <c r="AF94" s="1437" t="s">
        <v>255</v>
      </c>
      <c r="AG94" s="1437"/>
      <c r="AH94" s="1437" t="str">
        <f>IF($E$94=0,"",$E$94)</f>
        <v>Тариф на подвоз воды</v>
      </c>
      <c r="AI94" s="1437" t="str">
        <f>IF($G$94=0,"",$G$94)</f>
        <v/>
      </c>
      <c r="AJ94" s="1437" t="str">
        <f>IF($J$94=0,"",$J$94)</f>
        <v/>
      </c>
      <c r="AK94" s="1437" t="str">
        <f>IF($K$94="нет","без дифференциации",IF($N$94=0,"",$N$94))</f>
        <v/>
      </c>
      <c r="AL94" s="1437" t="str">
        <f>IF($O$94="нет","без дифференциации",IF($R$94=0,"",$R$94))</f>
        <v/>
      </c>
      <c r="AM94" s="1437" t="str">
        <f>IF($S$94="нет","без дифференциации",IF($V$94=0,"",$V$94))</f>
        <v/>
      </c>
      <c r="AN94" s="1942">
        <f>$I$94</f>
        <v>0</v>
      </c>
      <c r="AO94" s="1437" t="str">
        <f>$I$94&amp;"."&amp;$M$94</f>
        <v>.</v>
      </c>
      <c r="AP94" s="1429" t="str">
        <f>$I$94&amp;"."&amp;$M$94&amp;"."&amp;$Q$94</f>
        <v>..</v>
      </c>
      <c r="AQ94" s="1429" t="str">
        <f>$I$94&amp;"."&amp;$M$94&amp;"."&amp;$Q$94&amp;"."&amp;$U$94</f>
        <v>...</v>
      </c>
      <c r="AR94" s="1520">
        <v>0</v>
      </c>
    </row>
    <row s="12119" customFormat="1" customHeight="1" ht="17.25" hidden="1">
      <c r="A95" s="491"/>
      <c r="C95" s="490"/>
      <c r="D95" s="2305"/>
      <c r="E95" s="2313"/>
      <c r="F95" s="2316"/>
      <c r="G95" s="2313"/>
      <c r="H95" s="2319"/>
      <c r="I95" s="2321"/>
      <c r="J95" s="2323"/>
      <c r="K95" s="2308"/>
      <c r="L95" s="2308"/>
      <c r="M95" s="2308"/>
      <c r="N95" s="2310"/>
      <c r="O95" s="2308"/>
      <c r="P95" s="2308"/>
      <c r="Q95" s="2308"/>
      <c r="R95" s="2311"/>
      <c r="S95" s="2308"/>
      <c r="T95" s="1467"/>
      <c r="U95" s="1467"/>
      <c r="V95" s="1467"/>
      <c r="W95" s="1468"/>
      <c r="X95" s="1429"/>
      <c r="Y95" s="1429"/>
      <c r="Z95" s="1429"/>
      <c r="AA95" s="1429"/>
      <c r="AB95" s="1429"/>
      <c r="AC95" s="1429"/>
      <c r="AD95" s="1429"/>
      <c r="AE95" s="1429"/>
      <c r="AF95" s="1429"/>
      <c r="AG95" s="1429"/>
      <c r="AH95" s="1429"/>
      <c r="AI95" s="1429"/>
      <c r="AJ95" s="1429"/>
      <c r="AK95" s="1429"/>
      <c r="AL95" s="1429"/>
      <c r="AM95" s="1429"/>
      <c r="AN95" s="1429"/>
      <c r="AO95" s="1429"/>
      <c r="AP95" s="1429"/>
      <c r="AQ95" s="1429"/>
      <c r="AR95" s="1520">
        <v>0</v>
      </c>
    </row>
    <row s="12119" customFormat="1" customHeight="1" ht="17.25" hidden="1">
      <c r="A96" s="491"/>
      <c r="C96" s="490"/>
      <c r="D96" s="2306"/>
      <c r="E96" s="2314"/>
      <c r="F96" s="2316"/>
      <c r="G96" s="2314"/>
      <c r="H96" s="2319"/>
      <c r="I96" s="2321"/>
      <c r="J96" s="2324"/>
      <c r="K96" s="2308"/>
      <c r="L96" s="2308"/>
      <c r="M96" s="2308"/>
      <c r="N96" s="2311"/>
      <c r="O96" s="2308"/>
      <c r="P96" s="1614"/>
      <c r="Q96" s="1467"/>
      <c r="R96" s="1467"/>
      <c r="S96" s="499"/>
      <c r="T96" s="499"/>
      <c r="U96" s="499"/>
      <c r="V96" s="499"/>
      <c r="W96" s="1468"/>
      <c r="X96" s="1429"/>
      <c r="Y96" s="1429"/>
      <c r="Z96" s="1429"/>
      <c r="AA96" s="1429"/>
      <c r="AB96" s="1429"/>
      <c r="AC96" s="1429"/>
      <c r="AD96" s="1429"/>
      <c r="AE96" s="1429"/>
      <c r="AF96" s="1429"/>
      <c r="AG96" s="1429"/>
      <c r="AH96" s="1429"/>
      <c r="AI96" s="1429"/>
      <c r="AJ96" s="1429"/>
      <c r="AK96" s="1429"/>
      <c r="AL96" s="1429"/>
      <c r="AM96" s="1429"/>
      <c r="AN96" s="1429"/>
      <c r="AO96" s="1429"/>
      <c r="AP96" s="1429"/>
      <c r="AQ96" s="1429"/>
      <c r="AR96" s="1520">
        <v>0</v>
      </c>
    </row>
    <row s="12119" customFormat="1" customHeight="1" ht="17.25" hidden="1">
      <c r="A97" s="491"/>
      <c r="C97" s="490"/>
      <c r="D97" s="2306"/>
      <c r="E97" s="2314"/>
      <c r="F97" s="2316"/>
      <c r="G97" s="2314"/>
      <c r="H97" s="2319"/>
      <c r="I97" s="2321"/>
      <c r="J97" s="2324"/>
      <c r="K97" s="2308"/>
      <c r="L97" s="1467"/>
      <c r="M97" s="1467"/>
      <c r="N97" s="1467"/>
      <c r="O97" s="1467"/>
      <c r="P97" s="1467"/>
      <c r="Q97" s="1467"/>
      <c r="R97" s="1467"/>
      <c r="S97" s="499"/>
      <c r="T97" s="499"/>
      <c r="U97" s="499"/>
      <c r="V97" s="499"/>
      <c r="W97" s="1468"/>
      <c r="X97" s="1429"/>
      <c r="Y97" s="1429"/>
      <c r="Z97" s="1429"/>
      <c r="AA97" s="1429"/>
      <c r="AB97" s="1429"/>
      <c r="AC97" s="1429"/>
      <c r="AD97" s="1429"/>
      <c r="AE97" s="1429"/>
      <c r="AF97" s="1429"/>
      <c r="AG97" s="1429"/>
      <c r="AH97" s="1429"/>
      <c r="AI97" s="1429"/>
      <c r="AJ97" s="1429"/>
      <c r="AK97" s="1429"/>
      <c r="AL97" s="1429"/>
      <c r="AM97" s="1429"/>
      <c r="AN97" s="1429"/>
      <c r="AO97" s="1429"/>
      <c r="AP97" s="1429"/>
      <c r="AQ97" s="1429"/>
      <c r="AR97" s="1520">
        <v>0</v>
      </c>
    </row>
    <row s="12119" customFormat="1" customHeight="1" ht="17.25" hidden="1">
      <c r="A98" s="491"/>
      <c r="C98" s="490"/>
      <c r="D98" s="2306"/>
      <c r="E98" s="2314"/>
      <c r="F98" s="2317"/>
      <c r="G98" s="2314"/>
      <c r="H98" s="1469"/>
      <c r="I98" s="1470"/>
      <c r="J98" s="1470"/>
      <c r="K98" s="1470"/>
      <c r="L98" s="1470"/>
      <c r="M98" s="1470"/>
      <c r="N98" s="1470"/>
      <c r="O98" s="1470"/>
      <c r="P98" s="1470"/>
      <c r="Q98" s="1470"/>
      <c r="R98" s="1470"/>
      <c r="S98" s="1471"/>
      <c r="T98" s="1471"/>
      <c r="U98" s="1471"/>
      <c r="V98" s="1471"/>
      <c r="W98" s="1472"/>
      <c r="X98" s="1429"/>
      <c r="Y98" s="1429"/>
      <c r="Z98" s="1429"/>
      <c r="AA98" s="1429"/>
      <c r="AB98" s="1429"/>
      <c r="AC98" s="1429"/>
      <c r="AD98" s="1429"/>
      <c r="AE98" s="1429"/>
      <c r="AF98" s="1429"/>
      <c r="AG98" s="1429"/>
      <c r="AH98" s="1429"/>
      <c r="AI98" s="1429"/>
      <c r="AJ98" s="1429"/>
      <c r="AK98" s="1429"/>
      <c r="AL98" s="1429"/>
      <c r="AM98" s="1429"/>
      <c r="AN98" s="1429"/>
      <c r="AO98" s="1429"/>
      <c r="AP98" s="1429"/>
      <c r="AQ98" s="1429"/>
      <c r="AR98" s="1520">
        <v>0</v>
      </c>
    </row>
    <row s="12119" customFormat="1" customHeight="1" ht="17.25" hidden="1">
      <c r="A99" s="491"/>
      <c r="C99" s="379"/>
      <c r="D99" s="2305">
        <v>5</v>
      </c>
      <c r="E99" s="2313" t="s">
        <v>256</v>
      </c>
      <c r="F99" s="2315" t="s">
        <v>19</v>
      </c>
      <c r="G99" s="2313"/>
      <c r="H99" s="2318"/>
      <c r="I99" s="2320"/>
      <c r="J99" s="2322"/>
      <c r="K99" s="2307"/>
      <c r="L99" s="2307"/>
      <c r="M99" s="2307"/>
      <c r="N99" s="2309"/>
      <c r="O99" s="2307"/>
      <c r="P99" s="2307"/>
      <c r="Q99" s="2307"/>
      <c r="R99" s="2312"/>
      <c r="S99" s="2307"/>
      <c r="T99" s="2113"/>
      <c r="U99" s="2113"/>
      <c r="V99" s="2115"/>
      <c r="W99" s="1466"/>
      <c r="X99" s="1437"/>
      <c r="Y99" s="1437"/>
      <c r="Z99" s="1437"/>
      <c r="AA99" s="1437"/>
      <c r="AB99" s="1437"/>
      <c r="AC99" s="1437" t="s">
        <v>257</v>
      </c>
      <c r="AD99" s="1437" t="s">
        <v>258</v>
      </c>
      <c r="AE99" s="1437" t="s">
        <v>259</v>
      </c>
      <c r="AF99" s="1437" t="s">
        <v>260</v>
      </c>
      <c r="AG99" s="1437"/>
      <c r="AH99" s="1437" t="str">
        <f>IF($E$99=0,"",$E$99)</f>
        <v>Тариф на подключение (технологическое присоединение) к централизованной системе холодного водоснабжения</v>
      </c>
      <c r="AI99" s="1437" t="str">
        <f>IF($G$99=0,"",$G$99)</f>
        <v/>
      </c>
      <c r="AJ99" s="1437" t="str">
        <f>IF($J$99=0,"",$J$99)</f>
        <v/>
      </c>
      <c r="AK99" s="1437" t="str">
        <f>IF($K$99="нет","без дифференциации",IF($N$99=0,"",$N$99))</f>
        <v/>
      </c>
      <c r="AL99" s="1437" t="str">
        <f>IF($O$99="нет","без дифференциации",IF($R$99=0,"",$R$99))</f>
        <v/>
      </c>
      <c r="AM99" s="1437" t="str">
        <f>IF($S$99="нет","без дифференциации",IF($V$99=0,"",$V$99))</f>
        <v/>
      </c>
      <c r="AN99" s="1942">
        <f>$I$99</f>
        <v>0</v>
      </c>
      <c r="AO99" s="1437" t="str">
        <f>$I$99&amp;"."&amp;$M$99</f>
        <v>.</v>
      </c>
      <c r="AP99" s="1436" t="str">
        <f>$I$99&amp;"."&amp;$M$99&amp;"."&amp;$Q$99</f>
        <v>..</v>
      </c>
      <c r="AQ99" s="1436" t="str">
        <f>$I$99&amp;"."&amp;$M$99&amp;"."&amp;$Q$99&amp;"."&amp;$U$99</f>
        <v>...</v>
      </c>
      <c r="AR99" s="1637">
        <v>0</v>
      </c>
    </row>
    <row s="12119" customFormat="1" customHeight="1" ht="17.25" hidden="1">
      <c r="A100" s="491"/>
      <c r="C100" s="490"/>
      <c r="D100" s="2305"/>
      <c r="E100" s="2313"/>
      <c r="F100" s="2316"/>
      <c r="G100" s="2313"/>
      <c r="H100" s="2319"/>
      <c r="I100" s="2321"/>
      <c r="J100" s="2323"/>
      <c r="K100" s="2308"/>
      <c r="L100" s="2308"/>
      <c r="M100" s="2308"/>
      <c r="N100" s="2310"/>
      <c r="O100" s="2308"/>
      <c r="P100" s="2308"/>
      <c r="Q100" s="2308"/>
      <c r="R100" s="2311"/>
      <c r="S100" s="2308"/>
      <c r="T100" s="2118"/>
      <c r="U100" s="2118"/>
      <c r="V100" s="2118"/>
      <c r="W100" s="2119"/>
      <c r="X100" s="1436"/>
      <c r="Y100" s="1436"/>
      <c r="Z100" s="1436"/>
      <c r="AA100" s="1436"/>
      <c r="AB100" s="1436"/>
      <c r="AC100" s="1436"/>
      <c r="AD100" s="1436"/>
      <c r="AE100" s="1436"/>
      <c r="AF100" s="1436"/>
      <c r="AG100" s="1436"/>
      <c r="AH100" s="1436"/>
      <c r="AI100" s="1436"/>
      <c r="AJ100" s="1436"/>
      <c r="AK100" s="1436"/>
      <c r="AL100" s="1436"/>
      <c r="AM100" s="1436"/>
      <c r="AN100" s="1436"/>
      <c r="AO100" s="1436"/>
      <c r="AP100" s="1436"/>
      <c r="AQ100" s="1436"/>
      <c r="AR100" s="1637">
        <v>0</v>
      </c>
    </row>
    <row s="12119" customFormat="1" customHeight="1" ht="17.25" hidden="1">
      <c r="A101" s="491"/>
      <c r="C101" s="490"/>
      <c r="D101" s="2306"/>
      <c r="E101" s="2314"/>
      <c r="F101" s="2316"/>
      <c r="G101" s="2314"/>
      <c r="H101" s="2319"/>
      <c r="I101" s="2321"/>
      <c r="J101" s="2324"/>
      <c r="K101" s="2308"/>
      <c r="L101" s="2308"/>
      <c r="M101" s="2308"/>
      <c r="N101" s="2311"/>
      <c r="O101" s="2308"/>
      <c r="P101" s="2114"/>
      <c r="Q101" s="2118"/>
      <c r="R101" s="2118"/>
      <c r="S101" s="499"/>
      <c r="T101" s="499"/>
      <c r="U101" s="499"/>
      <c r="V101" s="499"/>
      <c r="W101" s="2119"/>
      <c r="X101" s="1436"/>
      <c r="Y101" s="1436"/>
      <c r="Z101" s="1436"/>
      <c r="AA101" s="1436"/>
      <c r="AB101" s="1436"/>
      <c r="AC101" s="1436"/>
      <c r="AD101" s="1436"/>
      <c r="AE101" s="1436"/>
      <c r="AF101" s="1436"/>
      <c r="AG101" s="1436"/>
      <c r="AH101" s="1436"/>
      <c r="AI101" s="1436"/>
      <c r="AJ101" s="1436"/>
      <c r="AK101" s="1436"/>
      <c r="AL101" s="1436"/>
      <c r="AM101" s="1436"/>
      <c r="AN101" s="1436"/>
      <c r="AO101" s="1436"/>
      <c r="AP101" s="1436"/>
      <c r="AQ101" s="1436"/>
      <c r="AR101" s="1637">
        <v>0</v>
      </c>
    </row>
    <row s="12119" customFormat="1" customHeight="1" ht="17.25" hidden="1">
      <c r="A102" s="491"/>
      <c r="C102" s="490"/>
      <c r="D102" s="2306"/>
      <c r="E102" s="2314"/>
      <c r="F102" s="2316"/>
      <c r="G102" s="2314"/>
      <c r="H102" s="2319"/>
      <c r="I102" s="2321"/>
      <c r="J102" s="2324"/>
      <c r="K102" s="2308"/>
      <c r="L102" s="2118"/>
      <c r="M102" s="2118"/>
      <c r="N102" s="2118"/>
      <c r="O102" s="2118"/>
      <c r="P102" s="2118"/>
      <c r="Q102" s="2118"/>
      <c r="R102" s="2118"/>
      <c r="S102" s="499"/>
      <c r="T102" s="499"/>
      <c r="U102" s="499"/>
      <c r="V102" s="499"/>
      <c r="W102" s="2119"/>
      <c r="X102" s="1436"/>
      <c r="Y102" s="1436"/>
      <c r="Z102" s="1436"/>
      <c r="AA102" s="1436"/>
      <c r="AB102" s="1436"/>
      <c r="AC102" s="1436"/>
      <c r="AD102" s="1436"/>
      <c r="AE102" s="1436"/>
      <c r="AF102" s="1436"/>
      <c r="AG102" s="1436"/>
      <c r="AH102" s="1436"/>
      <c r="AI102" s="1436"/>
      <c r="AJ102" s="1436"/>
      <c r="AK102" s="1436"/>
      <c r="AL102" s="1436"/>
      <c r="AM102" s="1436"/>
      <c r="AN102" s="1436"/>
      <c r="AO102" s="1436"/>
      <c r="AP102" s="1436"/>
      <c r="AQ102" s="1436"/>
      <c r="AR102" s="1637">
        <v>0</v>
      </c>
    </row>
    <row s="12119" customFormat="1" customHeight="1" ht="17.25" hidden="1">
      <c r="A103" s="491"/>
      <c r="C103" s="490"/>
      <c r="D103" s="2306"/>
      <c r="E103" s="2314"/>
      <c r="F103" s="2317"/>
      <c r="G103" s="2314"/>
      <c r="H103" s="1469"/>
      <c r="I103" s="2116"/>
      <c r="J103" s="2116"/>
      <c r="K103" s="2116"/>
      <c r="L103" s="2116"/>
      <c r="M103" s="2116"/>
      <c r="N103" s="2116"/>
      <c r="O103" s="2116"/>
      <c r="P103" s="2116"/>
      <c r="Q103" s="2116"/>
      <c r="R103" s="2116"/>
      <c r="S103" s="1471"/>
      <c r="T103" s="1471"/>
      <c r="U103" s="1471"/>
      <c r="V103" s="1471"/>
      <c r="W103" s="2117"/>
      <c r="X103" s="1436"/>
      <c r="Y103" s="1436"/>
      <c r="Z103" s="1436"/>
      <c r="AA103" s="1436"/>
      <c r="AB103" s="1436"/>
      <c r="AC103" s="1436"/>
      <c r="AD103" s="1436"/>
      <c r="AE103" s="1436"/>
      <c r="AF103" s="1436"/>
      <c r="AG103" s="1436"/>
      <c r="AH103" s="1436"/>
      <c r="AI103" s="1436"/>
      <c r="AJ103" s="1436"/>
      <c r="AK103" s="1436"/>
      <c r="AL103" s="1436"/>
      <c r="AM103" s="1436"/>
      <c r="AN103" s="1436"/>
      <c r="AO103" s="1436"/>
      <c r="AP103" s="1436"/>
      <c r="AQ103" s="1436"/>
      <c r="AR103" s="1637">
        <v>0</v>
      </c>
    </row>
    <row s="12119" customFormat="1" customHeight="1" ht="11.25" hidden="1">
      <c r="A104" s="447"/>
      <c r="B104" s="447"/>
      <c r="Y104" s="1429"/>
      <c r="Z104" s="1429"/>
      <c r="AA104" s="1429"/>
      <c r="AB104" s="1429"/>
      <c r="AC104" s="1429"/>
      <c r="AD104" s="1429"/>
      <c r="AE104" s="1429"/>
      <c r="AF104" s="1429"/>
      <c r="AG104" s="1429"/>
      <c r="AH104" s="1429"/>
      <c r="AI104" s="1429"/>
      <c r="AJ104" s="1429"/>
      <c r="AK104" s="1429"/>
      <c r="AL104" s="1429"/>
      <c r="AM104" s="1429"/>
      <c r="AN104" s="1429"/>
      <c r="AO104" s="1429"/>
      <c r="AP104" s="1429"/>
      <c r="AQ104" s="1429"/>
      <c r="AR104" s="1637">
        <v>0</v>
      </c>
    </row>
    <row s="12119" customFormat="1" customHeight="1" ht="17.25" hidden="1">
      <c r="A105" s="491"/>
      <c r="C105" s="379"/>
      <c r="D105" s="2305">
        <v>1</v>
      </c>
      <c r="E105" s="2313" t="s">
        <v>261</v>
      </c>
      <c r="F105" s="2315" t="s">
        <v>19</v>
      </c>
      <c r="G105" s="2313"/>
      <c r="H105" s="2318"/>
      <c r="I105" s="2320"/>
      <c r="J105" s="2322"/>
      <c r="K105" s="2307"/>
      <c r="L105" s="2307"/>
      <c r="M105" s="2307"/>
      <c r="N105" s="2309"/>
      <c r="O105" s="2307"/>
      <c r="P105" s="2307"/>
      <c r="Q105" s="2307"/>
      <c r="R105" s="2312"/>
      <c r="S105" s="2307"/>
      <c r="T105" s="1640"/>
      <c r="U105" s="1640"/>
      <c r="V105" s="1642"/>
      <c r="W105" s="1466"/>
      <c r="Y105" s="1437"/>
      <c r="Z105" s="1437"/>
      <c r="AA105" s="1437"/>
      <c r="AB105" s="1437"/>
      <c r="AC105" s="1437" t="s">
        <v>262</v>
      </c>
      <c r="AD105" s="1437" t="s">
        <v>263</v>
      </c>
      <c r="AE105" s="1437" t="s">
        <v>264</v>
      </c>
      <c r="AF105" s="1437" t="s">
        <v>265</v>
      </c>
      <c r="AG105" s="1437"/>
      <c r="AH105" s="1437" t="str">
        <f>IF($E$105=0,"",$E$105)</f>
        <v>Тариф на горячую воду (горячее водоснабжение)</v>
      </c>
      <c r="AI105" s="1437" t="str">
        <f>IF($G$105=0,"",$G$105)</f>
        <v/>
      </c>
      <c r="AJ105" s="1437" t="str">
        <f>IF($J$105=0,"",$J$105)</f>
        <v/>
      </c>
      <c r="AK105" s="1437" t="str">
        <f>IF($K$105="нет","без дифференциации",IF($N$105=0,"",$N$105))</f>
        <v/>
      </c>
      <c r="AL105" s="1437" t="str">
        <f>IF($O$105="нет","без дифференциации",IF($R$105=0,"",$R$105))</f>
        <v/>
      </c>
      <c r="AM105" s="1437" t="str">
        <f>IF($S$105="нет","без дифференциации",IF($V$105=0,"",$V$105))</f>
        <v/>
      </c>
      <c r="AN105" s="1437">
        <f>$I$105</f>
        <v>0</v>
      </c>
      <c r="AO105" s="1437" t="str">
        <f>$I$105&amp;"."&amp;$M$105</f>
        <v>.</v>
      </c>
      <c r="AP105" s="1437" t="str">
        <f>$I$105&amp;"."&amp;$M$105&amp;"."&amp;$Q$105</f>
        <v>..</v>
      </c>
      <c r="AQ105" s="1437" t="str">
        <f>$I$105&amp;"."&amp;$M$105&amp;"."&amp;$Q$105&amp;"."&amp;$U$105</f>
        <v>...</v>
      </c>
      <c r="AR105" s="1637">
        <v>0</v>
      </c>
    </row>
    <row s="12119" customFormat="1" customHeight="1" ht="17.25" hidden="1">
      <c r="A106" s="491"/>
      <c r="C106" s="490"/>
      <c r="D106" s="2305"/>
      <c r="E106" s="2313"/>
      <c r="F106" s="2316"/>
      <c r="G106" s="2313"/>
      <c r="H106" s="2319"/>
      <c r="I106" s="2321"/>
      <c r="J106" s="2323"/>
      <c r="K106" s="2308"/>
      <c r="L106" s="2308"/>
      <c r="M106" s="2308"/>
      <c r="N106" s="2310"/>
      <c r="O106" s="2308"/>
      <c r="P106" s="2308"/>
      <c r="Q106" s="2308"/>
      <c r="R106" s="2311"/>
      <c r="S106" s="2308"/>
      <c r="T106" s="1467"/>
      <c r="U106" s="1467"/>
      <c r="V106" s="1467"/>
      <c r="W106" s="1468"/>
      <c r="Y106" s="1429"/>
      <c r="Z106" s="1429"/>
      <c r="AA106" s="1429"/>
      <c r="AB106" s="1429"/>
      <c r="AC106" s="1429"/>
      <c r="AD106" s="1429"/>
      <c r="AE106" s="1429"/>
      <c r="AF106" s="1429"/>
      <c r="AG106" s="1429"/>
      <c r="AH106" s="1429"/>
      <c r="AI106" s="1429"/>
      <c r="AJ106" s="1429"/>
      <c r="AK106" s="1429"/>
      <c r="AL106" s="1429"/>
      <c r="AM106" s="1429"/>
      <c r="AN106" s="1429"/>
      <c r="AO106" s="1429"/>
      <c r="AP106" s="1429"/>
      <c r="AQ106" s="1429"/>
      <c r="AR106" s="1637">
        <v>0</v>
      </c>
    </row>
    <row s="12119" customFormat="1" customHeight="1" ht="17.25" hidden="1">
      <c r="A107" s="491"/>
      <c r="C107" s="379"/>
      <c r="D107" s="2305"/>
      <c r="E107" s="2313"/>
      <c r="F107" s="2316"/>
      <c r="G107" s="2313"/>
      <c r="H107" s="2319"/>
      <c r="I107" s="2321"/>
      <c r="J107" s="2324"/>
      <c r="K107" s="2308"/>
      <c r="L107" s="2308"/>
      <c r="M107" s="2308"/>
      <c r="N107" s="2311"/>
      <c r="O107" s="2308"/>
      <c r="P107" s="1641"/>
      <c r="Q107" s="1467"/>
      <c r="R107" s="1467"/>
      <c r="S107" s="499"/>
      <c r="T107" s="499"/>
      <c r="U107" s="499"/>
      <c r="V107" s="499"/>
      <c r="W107" s="1468"/>
      <c r="Y107" s="1437"/>
      <c r="Z107" s="1437"/>
      <c r="AA107" s="1437"/>
      <c r="AB107" s="1437"/>
      <c r="AC107" s="1437"/>
      <c r="AD107" s="1437"/>
      <c r="AE107" s="1437"/>
      <c r="AF107" s="1437"/>
      <c r="AG107" s="1437"/>
      <c r="AH107" s="1437"/>
      <c r="AI107" s="1437"/>
      <c r="AJ107" s="1437"/>
      <c r="AK107" s="1437"/>
      <c r="AL107" s="1437"/>
      <c r="AM107" s="1437"/>
      <c r="AN107" s="1437"/>
      <c r="AO107" s="1437"/>
      <c r="AP107" s="1437"/>
      <c r="AQ107" s="1437"/>
      <c r="AR107" s="1637">
        <v>0</v>
      </c>
    </row>
    <row s="12119" customFormat="1" customHeight="1" ht="17.25" hidden="1">
      <c r="A108" s="491"/>
      <c r="C108" s="490"/>
      <c r="D108" s="2305"/>
      <c r="E108" s="2313"/>
      <c r="F108" s="2316"/>
      <c r="G108" s="2313"/>
      <c r="H108" s="2319"/>
      <c r="I108" s="2321"/>
      <c r="J108" s="2324"/>
      <c r="K108" s="2308"/>
      <c r="L108" s="1467"/>
      <c r="M108" s="1467"/>
      <c r="N108" s="1467"/>
      <c r="O108" s="1467"/>
      <c r="P108" s="1467"/>
      <c r="Q108" s="1467"/>
      <c r="R108" s="1467"/>
      <c r="S108" s="499"/>
      <c r="T108" s="499"/>
      <c r="U108" s="499"/>
      <c r="V108" s="499"/>
      <c r="W108" s="1468"/>
      <c r="Y108" s="1429"/>
      <c r="Z108" s="1429"/>
      <c r="AA108" s="1429"/>
      <c r="AB108" s="1429"/>
      <c r="AC108" s="1429"/>
      <c r="AD108" s="1429"/>
      <c r="AE108" s="1429"/>
      <c r="AF108" s="1429"/>
      <c r="AG108" s="1429"/>
      <c r="AH108" s="1429"/>
      <c r="AI108" s="1429"/>
      <c r="AJ108" s="1429"/>
      <c r="AK108" s="1429"/>
      <c r="AL108" s="1429"/>
      <c r="AM108" s="1429"/>
      <c r="AN108" s="1429"/>
      <c r="AO108" s="1429"/>
      <c r="AP108" s="1429"/>
      <c r="AQ108" s="1429"/>
      <c r="AR108" s="1637">
        <v>0</v>
      </c>
    </row>
    <row s="12119" customFormat="1" customHeight="1" ht="17.25" hidden="1">
      <c r="A109" s="491"/>
      <c r="C109" s="490"/>
      <c r="D109" s="2306"/>
      <c r="E109" s="2314"/>
      <c r="F109" s="2317"/>
      <c r="G109" s="2314"/>
      <c r="H109" s="1469"/>
      <c r="I109" s="1470"/>
      <c r="J109" s="1470"/>
      <c r="K109" s="1470"/>
      <c r="L109" s="1470"/>
      <c r="M109" s="1470"/>
      <c r="N109" s="1470"/>
      <c r="O109" s="1470"/>
      <c r="P109" s="1470"/>
      <c r="Q109" s="1470"/>
      <c r="R109" s="1470"/>
      <c r="S109" s="1471"/>
      <c r="T109" s="1471"/>
      <c r="U109" s="1471"/>
      <c r="V109" s="1471"/>
      <c r="W109" s="1472"/>
      <c r="Y109" s="1429"/>
      <c r="Z109" s="1429"/>
      <c r="AA109" s="1429"/>
      <c r="AB109" s="1429"/>
      <c r="AC109" s="1429"/>
      <c r="AD109" s="1429"/>
      <c r="AE109" s="1429"/>
      <c r="AF109" s="1429"/>
      <c r="AG109" s="1429"/>
      <c r="AH109" s="1429"/>
      <c r="AI109" s="1429"/>
      <c r="AJ109" s="1429"/>
      <c r="AK109" s="1429"/>
      <c r="AL109" s="1429"/>
      <c r="AM109" s="1429"/>
      <c r="AN109" s="1429"/>
      <c r="AO109" s="1429"/>
      <c r="AP109" s="1429"/>
      <c r="AQ109" s="1429"/>
      <c r="AR109" s="1637">
        <v>0</v>
      </c>
    </row>
    <row s="12119" customFormat="1" customHeight="1" ht="17.25" hidden="1">
      <c r="A110" s="491"/>
      <c r="C110" s="379"/>
      <c r="D110" s="2305">
        <v>2</v>
      </c>
      <c r="E110" s="2313" t="s">
        <v>266</v>
      </c>
      <c r="F110" s="2315" t="s">
        <v>19</v>
      </c>
      <c r="G110" s="2313"/>
      <c r="H110" s="2318"/>
      <c r="I110" s="2320"/>
      <c r="J110" s="2322"/>
      <c r="K110" s="2307"/>
      <c r="L110" s="2307"/>
      <c r="M110" s="2307"/>
      <c r="N110" s="2309"/>
      <c r="O110" s="2307"/>
      <c r="P110" s="2307"/>
      <c r="Q110" s="2307"/>
      <c r="R110" s="2312"/>
      <c r="S110" s="2307"/>
      <c r="T110" s="1640"/>
      <c r="U110" s="1640"/>
      <c r="V110" s="1642"/>
      <c r="W110" s="1466"/>
      <c r="X110" s="1437"/>
      <c r="Y110" s="1437"/>
      <c r="Z110" s="1437"/>
      <c r="AA110" s="1437"/>
      <c r="AB110" s="1437"/>
      <c r="AC110" s="1437" t="s">
        <v>267</v>
      </c>
      <c r="AD110" s="1437" t="s">
        <v>268</v>
      </c>
      <c r="AE110" s="1437" t="s">
        <v>269</v>
      </c>
      <c r="AF110" s="1437" t="s">
        <v>270</v>
      </c>
      <c r="AG110" s="1437"/>
      <c r="AH110" s="1437" t="str">
        <f>IF($E$110=0,"",$E$110)</f>
        <v>Тариф на транспортировку горячей воды</v>
      </c>
      <c r="AI110" s="1437" t="str">
        <f>IF($G$110=0,"",$G$110)</f>
        <v/>
      </c>
      <c r="AJ110" s="1437" t="str">
        <f>IF($J$110=0,"",$J$110)</f>
        <v/>
      </c>
      <c r="AK110" s="1437" t="str">
        <f>IF($K$110="нет","без дифференциации",IF($N$110=0,"",$N$110))</f>
        <v/>
      </c>
      <c r="AL110" s="1437" t="str">
        <f>IF($O$110="нет","без дифференциации",IF($R$110=0,"",$R$110))</f>
        <v/>
      </c>
      <c r="AM110" s="1437" t="str">
        <f>IF($S$110="нет","без дифференциации",IF($V$110=0,"",$V$110))</f>
        <v/>
      </c>
      <c r="AN110" s="1942">
        <f>$I$110</f>
        <v>0</v>
      </c>
      <c r="AO110" s="1437" t="str">
        <f>$I$110&amp;"."&amp;$M$110</f>
        <v>.</v>
      </c>
      <c r="AP110" s="1429" t="str">
        <f>$I$110&amp;"."&amp;$M$110&amp;"."&amp;$Q$110</f>
        <v>..</v>
      </c>
      <c r="AQ110" s="1429" t="str">
        <f>$I$110&amp;"."&amp;$M$110&amp;"."&amp;$Q$110&amp;"."&amp;$U$110</f>
        <v>...</v>
      </c>
      <c r="AR110" s="1637">
        <v>0</v>
      </c>
    </row>
    <row s="12119" customFormat="1" customHeight="1" ht="17.25" hidden="1">
      <c r="A111" s="491"/>
      <c r="C111" s="490"/>
      <c r="D111" s="2305"/>
      <c r="E111" s="2313"/>
      <c r="F111" s="2316"/>
      <c r="G111" s="2313"/>
      <c r="H111" s="2319"/>
      <c r="I111" s="2321"/>
      <c r="J111" s="2323"/>
      <c r="K111" s="2308"/>
      <c r="L111" s="2308"/>
      <c r="M111" s="2308"/>
      <c r="N111" s="2310"/>
      <c r="O111" s="2308"/>
      <c r="P111" s="2308"/>
      <c r="Q111" s="2308"/>
      <c r="R111" s="2311"/>
      <c r="S111" s="2308"/>
      <c r="T111" s="1467"/>
      <c r="U111" s="1467"/>
      <c r="V111" s="1467"/>
      <c r="W111" s="1468"/>
      <c r="X111" s="1429"/>
      <c r="Y111" s="1429"/>
      <c r="Z111" s="1429"/>
      <c r="AA111" s="1429"/>
      <c r="AB111" s="1429"/>
      <c r="AC111" s="1429"/>
      <c r="AD111" s="1429"/>
      <c r="AE111" s="1429"/>
      <c r="AF111" s="1429"/>
      <c r="AG111" s="1429"/>
      <c r="AH111" s="1429"/>
      <c r="AI111" s="1429"/>
      <c r="AJ111" s="1429"/>
      <c r="AK111" s="1429"/>
      <c r="AL111" s="1429"/>
      <c r="AM111" s="1429"/>
      <c r="AN111" s="1429"/>
      <c r="AO111" s="1429"/>
      <c r="AP111" s="1429"/>
      <c r="AQ111" s="1429"/>
      <c r="AR111" s="1637">
        <v>0</v>
      </c>
    </row>
    <row s="12119" customFormat="1" customHeight="1" ht="17.25" hidden="1">
      <c r="A112" s="491"/>
      <c r="C112" s="490"/>
      <c r="D112" s="2306"/>
      <c r="E112" s="2314"/>
      <c r="F112" s="2316"/>
      <c r="G112" s="2314"/>
      <c r="H112" s="2319"/>
      <c r="I112" s="2321"/>
      <c r="J112" s="2324"/>
      <c r="K112" s="2308"/>
      <c r="L112" s="2308"/>
      <c r="M112" s="2308"/>
      <c r="N112" s="2311"/>
      <c r="O112" s="2308"/>
      <c r="P112" s="1641"/>
      <c r="Q112" s="1467"/>
      <c r="R112" s="1467"/>
      <c r="S112" s="499"/>
      <c r="T112" s="499"/>
      <c r="U112" s="499"/>
      <c r="V112" s="499"/>
      <c r="W112" s="1468"/>
      <c r="X112" s="1429"/>
      <c r="Y112" s="1429"/>
      <c r="Z112" s="1429"/>
      <c r="AA112" s="1429"/>
      <c r="AB112" s="1429"/>
      <c r="AC112" s="1429"/>
      <c r="AD112" s="1429"/>
      <c r="AE112" s="1429"/>
      <c r="AF112" s="1429"/>
      <c r="AG112" s="1429"/>
      <c r="AH112" s="1429"/>
      <c r="AI112" s="1429"/>
      <c r="AJ112" s="1429"/>
      <c r="AK112" s="1429"/>
      <c r="AL112" s="1429"/>
      <c r="AM112" s="1429"/>
      <c r="AN112" s="1429"/>
      <c r="AO112" s="1429"/>
      <c r="AP112" s="1429"/>
      <c r="AQ112" s="1429"/>
      <c r="AR112" s="1637">
        <v>0</v>
      </c>
    </row>
    <row s="12119" customFormat="1" customHeight="1" ht="17.25" hidden="1">
      <c r="A113" s="491"/>
      <c r="C113" s="490"/>
      <c r="D113" s="2306"/>
      <c r="E113" s="2314"/>
      <c r="F113" s="2316"/>
      <c r="G113" s="2314"/>
      <c r="H113" s="2319"/>
      <c r="I113" s="2321"/>
      <c r="J113" s="2324"/>
      <c r="K113" s="2308"/>
      <c r="L113" s="1467"/>
      <c r="M113" s="1467"/>
      <c r="N113" s="1467"/>
      <c r="O113" s="1467"/>
      <c r="P113" s="1467"/>
      <c r="Q113" s="1467"/>
      <c r="R113" s="1467"/>
      <c r="S113" s="499"/>
      <c r="T113" s="499"/>
      <c r="U113" s="499"/>
      <c r="V113" s="499"/>
      <c r="W113" s="1468"/>
      <c r="X113" s="1429"/>
      <c r="Y113" s="1429"/>
      <c r="Z113" s="1429"/>
      <c r="AA113" s="1429"/>
      <c r="AB113" s="1429"/>
      <c r="AC113" s="1429"/>
      <c r="AD113" s="1429"/>
      <c r="AE113" s="1429"/>
      <c r="AF113" s="1429"/>
      <c r="AG113" s="1429"/>
      <c r="AH113" s="1429"/>
      <c r="AI113" s="1429"/>
      <c r="AJ113" s="1429"/>
      <c r="AK113" s="1429"/>
      <c r="AL113" s="1429"/>
      <c r="AM113" s="1429"/>
      <c r="AN113" s="1429"/>
      <c r="AO113" s="1429"/>
      <c r="AP113" s="1429"/>
      <c r="AQ113" s="1429"/>
      <c r="AR113" s="1637">
        <v>0</v>
      </c>
    </row>
    <row s="12119" customFormat="1" customHeight="1" ht="17.25" hidden="1">
      <c r="A114" s="491"/>
      <c r="C114" s="490"/>
      <c r="D114" s="2306"/>
      <c r="E114" s="2314"/>
      <c r="F114" s="2317"/>
      <c r="G114" s="2314"/>
      <c r="H114" s="1469"/>
      <c r="I114" s="1470"/>
      <c r="J114" s="1470"/>
      <c r="K114" s="1470"/>
      <c r="L114" s="1470"/>
      <c r="M114" s="1470"/>
      <c r="N114" s="1470"/>
      <c r="O114" s="1470"/>
      <c r="P114" s="1470"/>
      <c r="Q114" s="1470"/>
      <c r="R114" s="1470"/>
      <c r="S114" s="1471"/>
      <c r="T114" s="1471"/>
      <c r="U114" s="1471"/>
      <c r="V114" s="1471"/>
      <c r="W114" s="1472"/>
      <c r="X114" s="1429"/>
      <c r="Y114" s="1429"/>
      <c r="Z114" s="1429"/>
      <c r="AA114" s="1429"/>
      <c r="AB114" s="1429"/>
      <c r="AC114" s="1429"/>
      <c r="AD114" s="1429"/>
      <c r="AE114" s="1429"/>
      <c r="AF114" s="1429"/>
      <c r="AG114" s="1429"/>
      <c r="AH114" s="1429"/>
      <c r="AI114" s="1429"/>
      <c r="AJ114" s="1429"/>
      <c r="AK114" s="1429"/>
      <c r="AL114" s="1429"/>
      <c r="AM114" s="1429"/>
      <c r="AN114" s="1429"/>
      <c r="AO114" s="1429"/>
      <c r="AP114" s="1429"/>
      <c r="AQ114" s="1429"/>
      <c r="AR114" s="1637">
        <v>0</v>
      </c>
    </row>
    <row s="12119" customFormat="1" customHeight="1" ht="17.25" hidden="1">
      <c r="A115" s="491"/>
      <c r="C115" s="379"/>
      <c r="D115" s="2305">
        <v>3</v>
      </c>
      <c r="E115" s="2313" t="s">
        <v>271</v>
      </c>
      <c r="F115" s="2315" t="s">
        <v>19</v>
      </c>
      <c r="G115" s="2313"/>
      <c r="H115" s="2318"/>
      <c r="I115" s="2320"/>
      <c r="J115" s="2322"/>
      <c r="K115" s="2307"/>
      <c r="L115" s="2307"/>
      <c r="M115" s="2307"/>
      <c r="N115" s="2309"/>
      <c r="O115" s="2307"/>
      <c r="P115" s="2307"/>
      <c r="Q115" s="2307"/>
      <c r="R115" s="2312"/>
      <c r="S115" s="2307"/>
      <c r="T115" s="2113"/>
      <c r="U115" s="2113"/>
      <c r="V115" s="2115"/>
      <c r="W115" s="1466"/>
      <c r="X115" s="1437"/>
      <c r="Y115" s="1437"/>
      <c r="Z115" s="1437"/>
      <c r="AA115" s="1437"/>
      <c r="AB115" s="1437"/>
      <c r="AC115" s="1437" t="s">
        <v>272</v>
      </c>
      <c r="AD115" s="1437" t="s">
        <v>273</v>
      </c>
      <c r="AE115" s="1437" t="s">
        <v>274</v>
      </c>
      <c r="AF115" s="1437" t="s">
        <v>275</v>
      </c>
      <c r="AG115" s="1437"/>
      <c r="AH115" s="1437" t="str">
        <f>IF($E$115=0,"",$E$115)</f>
        <v>Тариф на подключение (технологическое присоединение) к централизованной системе горячего водоснабжения</v>
      </c>
      <c r="AI115" s="1437" t="str">
        <f>IF($G$115=0,"",$G$115)</f>
        <v/>
      </c>
      <c r="AJ115" s="1437" t="str">
        <f>IF($J$115=0,"",$J$115)</f>
        <v/>
      </c>
      <c r="AK115" s="1437" t="str">
        <f>IF($K$115="нет","без дифференциации",IF($N$115=0,"",$N$115))</f>
        <v/>
      </c>
      <c r="AL115" s="1437" t="str">
        <f>IF($O$115="нет","без дифференциации",IF($R$115=0,"",$R$115))</f>
        <v/>
      </c>
      <c r="AM115" s="1437" t="str">
        <f>IF($S$115="нет","без дифференциации",IF($V$115=0,"",$V$115))</f>
        <v/>
      </c>
      <c r="AN115" s="1942">
        <f>$I$115</f>
        <v>0</v>
      </c>
      <c r="AO115" s="1437" t="str">
        <f>$I$115&amp;"."&amp;$M$115</f>
        <v>.</v>
      </c>
      <c r="AP115" s="1436" t="str">
        <f>$I$115&amp;"."&amp;$M$115&amp;"."&amp;$Q$115</f>
        <v>..</v>
      </c>
      <c r="AQ115" s="1436" t="str">
        <f>$I$115&amp;"."&amp;$M$115&amp;"."&amp;$Q$115&amp;"."&amp;$U$115</f>
        <v>...</v>
      </c>
      <c r="AR115" s="1637">
        <v>0</v>
      </c>
    </row>
    <row s="12119" customFormat="1" customHeight="1" ht="17.25" hidden="1">
      <c r="A116" s="491"/>
      <c r="C116" s="490"/>
      <c r="D116" s="2305"/>
      <c r="E116" s="2313"/>
      <c r="F116" s="2316"/>
      <c r="G116" s="2313"/>
      <c r="H116" s="2319"/>
      <c r="I116" s="2321"/>
      <c r="J116" s="2323"/>
      <c r="K116" s="2308"/>
      <c r="L116" s="2308"/>
      <c r="M116" s="2308"/>
      <c r="N116" s="2310"/>
      <c r="O116" s="2308"/>
      <c r="P116" s="2308"/>
      <c r="Q116" s="2308"/>
      <c r="R116" s="2311"/>
      <c r="S116" s="2308"/>
      <c r="T116" s="2118"/>
      <c r="U116" s="2118"/>
      <c r="V116" s="2118"/>
      <c r="W116" s="2119"/>
      <c r="X116" s="1436"/>
      <c r="Y116" s="1436"/>
      <c r="Z116" s="1436"/>
      <c r="AA116" s="1436"/>
      <c r="AB116" s="1436"/>
      <c r="AC116" s="1436"/>
      <c r="AD116" s="1436"/>
      <c r="AE116" s="1436"/>
      <c r="AF116" s="1436"/>
      <c r="AG116" s="1436"/>
      <c r="AH116" s="1436"/>
      <c r="AI116" s="1436"/>
      <c r="AJ116" s="1436"/>
      <c r="AK116" s="1436"/>
      <c r="AL116" s="1436"/>
      <c r="AM116" s="1436"/>
      <c r="AN116" s="1436"/>
      <c r="AO116" s="1436"/>
      <c r="AP116" s="1436"/>
      <c r="AQ116" s="1436"/>
      <c r="AR116" s="1637">
        <v>0</v>
      </c>
    </row>
    <row s="12119" customFormat="1" customHeight="1" ht="17.25" hidden="1">
      <c r="A117" s="491"/>
      <c r="C117" s="490"/>
      <c r="D117" s="2306"/>
      <c r="E117" s="2314"/>
      <c r="F117" s="2316"/>
      <c r="G117" s="2314"/>
      <c r="H117" s="2319"/>
      <c r="I117" s="2321"/>
      <c r="J117" s="2324"/>
      <c r="K117" s="2308"/>
      <c r="L117" s="2308"/>
      <c r="M117" s="2308"/>
      <c r="N117" s="2311"/>
      <c r="O117" s="2308"/>
      <c r="P117" s="2114"/>
      <c r="Q117" s="2118"/>
      <c r="R117" s="2118"/>
      <c r="S117" s="499"/>
      <c r="T117" s="499"/>
      <c r="U117" s="499"/>
      <c r="V117" s="499"/>
      <c r="W117" s="2119"/>
      <c r="X117" s="1436"/>
      <c r="Y117" s="1436"/>
      <c r="Z117" s="1436"/>
      <c r="AA117" s="1436"/>
      <c r="AB117" s="1436"/>
      <c r="AC117" s="1436"/>
      <c r="AD117" s="1436"/>
      <c r="AE117" s="1436"/>
      <c r="AF117" s="1436"/>
      <c r="AG117" s="1436"/>
      <c r="AH117" s="1436"/>
      <c r="AI117" s="1436"/>
      <c r="AJ117" s="1436"/>
      <c r="AK117" s="1436"/>
      <c r="AL117" s="1436"/>
      <c r="AM117" s="1436"/>
      <c r="AN117" s="1436"/>
      <c r="AO117" s="1436"/>
      <c r="AP117" s="1436"/>
      <c r="AQ117" s="1436"/>
      <c r="AR117" s="1637">
        <v>0</v>
      </c>
    </row>
    <row s="12119" customFormat="1" customHeight="1" ht="17.25" hidden="1">
      <c r="A118" s="491"/>
      <c r="C118" s="490"/>
      <c r="D118" s="2306"/>
      <c r="E118" s="2314"/>
      <c r="F118" s="2316"/>
      <c r="G118" s="2314"/>
      <c r="H118" s="2319"/>
      <c r="I118" s="2321"/>
      <c r="J118" s="2324"/>
      <c r="K118" s="2308"/>
      <c r="L118" s="2118"/>
      <c r="M118" s="2118"/>
      <c r="N118" s="2118"/>
      <c r="O118" s="2118"/>
      <c r="P118" s="2118"/>
      <c r="Q118" s="2118"/>
      <c r="R118" s="2118"/>
      <c r="S118" s="499"/>
      <c r="T118" s="499"/>
      <c r="U118" s="499"/>
      <c r="V118" s="499"/>
      <c r="W118" s="2119"/>
      <c r="X118" s="1436"/>
      <c r="Y118" s="1436"/>
      <c r="Z118" s="1436"/>
      <c r="AA118" s="1436"/>
      <c r="AB118" s="1436"/>
      <c r="AC118" s="1436"/>
      <c r="AD118" s="1436"/>
      <c r="AE118" s="1436"/>
      <c r="AF118" s="1436"/>
      <c r="AG118" s="1436"/>
      <c r="AH118" s="1436"/>
      <c r="AI118" s="1436"/>
      <c r="AJ118" s="1436"/>
      <c r="AK118" s="1436"/>
      <c r="AL118" s="1436"/>
      <c r="AM118" s="1436"/>
      <c r="AN118" s="1436"/>
      <c r="AO118" s="1436"/>
      <c r="AP118" s="1436"/>
      <c r="AQ118" s="1436"/>
      <c r="AR118" s="1637">
        <v>0</v>
      </c>
    </row>
    <row s="12119" customFormat="1" customHeight="1" ht="17.25" hidden="1">
      <c r="A119" s="491"/>
      <c r="C119" s="490"/>
      <c r="D119" s="2306"/>
      <c r="E119" s="2314"/>
      <c r="F119" s="2317"/>
      <c r="G119" s="2314"/>
      <c r="H119" s="1469"/>
      <c r="I119" s="2116"/>
      <c r="J119" s="2116"/>
      <c r="K119" s="2116"/>
      <c r="L119" s="2116"/>
      <c r="M119" s="2116"/>
      <c r="N119" s="2116"/>
      <c r="O119" s="2116"/>
      <c r="P119" s="2116"/>
      <c r="Q119" s="2116"/>
      <c r="R119" s="2116"/>
      <c r="S119" s="1471"/>
      <c r="T119" s="1471"/>
      <c r="U119" s="1471"/>
      <c r="V119" s="1471"/>
      <c r="W119" s="2117"/>
      <c r="X119" s="1436"/>
      <c r="Y119" s="1436"/>
      <c r="Z119" s="1436"/>
      <c r="AA119" s="1436"/>
      <c r="AB119" s="1436"/>
      <c r="AC119" s="1436"/>
      <c r="AD119" s="1436"/>
      <c r="AE119" s="1436"/>
      <c r="AF119" s="1436"/>
      <c r="AG119" s="1436"/>
      <c r="AH119" s="1436"/>
      <c r="AI119" s="1436"/>
      <c r="AJ119" s="1436"/>
      <c r="AK119" s="1436"/>
      <c r="AL119" s="1436"/>
      <c r="AM119" s="1436"/>
      <c r="AN119" s="1436"/>
      <c r="AO119" s="1436"/>
      <c r="AP119" s="1436"/>
      <c r="AQ119" s="1436"/>
      <c r="AR119" s="1637">
        <v>0</v>
      </c>
    </row>
    <row s="12119" customFormat="1" customHeight="1" ht="11.25" hidden="1">
      <c r="A120" s="447"/>
      <c r="B120" s="447"/>
      <c r="Y120" s="1429"/>
      <c r="Z120" s="1429"/>
      <c r="AA120" s="1429"/>
      <c r="AB120" s="1429"/>
      <c r="AC120" s="1429"/>
      <c r="AD120" s="1429"/>
      <c r="AE120" s="1429"/>
      <c r="AF120" s="1429"/>
      <c r="AG120" s="1429"/>
      <c r="AH120" s="1429"/>
      <c r="AI120" s="1429"/>
      <c r="AJ120" s="1429"/>
      <c r="AK120" s="1429"/>
      <c r="AL120" s="1429"/>
      <c r="AM120" s="1429"/>
      <c r="AN120" s="1429"/>
      <c r="AO120" s="1429"/>
      <c r="AP120" s="1429"/>
      <c r="AQ120" s="1429"/>
      <c r="AR120" s="1637">
        <v>0</v>
      </c>
    </row>
    <row s="12119" customFormat="1" customHeight="1" ht="17.25" hidden="1">
      <c r="A121" s="491"/>
      <c r="C121" s="379"/>
      <c r="D121" s="2305">
        <v>1</v>
      </c>
      <c r="E121" s="2313" t="s">
        <v>276</v>
      </c>
      <c r="F121" s="2315" t="s">
        <v>19</v>
      </c>
      <c r="G121" s="2313"/>
      <c r="H121" s="2318"/>
      <c r="I121" s="2320"/>
      <c r="J121" s="2322"/>
      <c r="K121" s="2307"/>
      <c r="L121" s="2307"/>
      <c r="M121" s="2307"/>
      <c r="N121" s="2309"/>
      <c r="O121" s="2307"/>
      <c r="P121" s="2307"/>
      <c r="Q121" s="2307"/>
      <c r="R121" s="2312"/>
      <c r="S121" s="2307"/>
      <c r="T121" s="1640"/>
      <c r="U121" s="1640"/>
      <c r="V121" s="1642"/>
      <c r="W121" s="1466"/>
      <c r="Y121" s="1437"/>
      <c r="Z121" s="1437"/>
      <c r="AA121" s="1437"/>
      <c r="AB121" s="1437"/>
      <c r="AC121" s="1437" t="s">
        <v>277</v>
      </c>
      <c r="AD121" s="1437" t="s">
        <v>278</v>
      </c>
      <c r="AE121" s="1437" t="s">
        <v>279</v>
      </c>
      <c r="AF121" s="1437" t="s">
        <v>280</v>
      </c>
      <c r="AG121" s="1437"/>
      <c r="AH121" s="1437" t="str">
        <f>IF($E$121=0,"",$E$121)</f>
        <v>Тариф на водоотведение</v>
      </c>
      <c r="AI121" s="1437" t="str">
        <f>IF($G$121=0,"",$G$121)</f>
        <v/>
      </c>
      <c r="AJ121" s="1437" t="str">
        <f>IF($J$121=0,"",$J$121)</f>
        <v/>
      </c>
      <c r="AK121" s="1437" t="str">
        <f>IF($K$121="нет","без дифференциации",IF($N$121=0,"",$N$121))</f>
        <v/>
      </c>
      <c r="AL121" s="1437" t="str">
        <f>IF($O$121="нет","без дифференциации",IF($R$121=0,"",$R$121))</f>
        <v/>
      </c>
      <c r="AM121" s="1437" t="str">
        <f>IF($S$121="нет","без дифференциации",IF($V$121=0,"",$V$121))</f>
        <v/>
      </c>
      <c r="AN121" s="1437">
        <f>$I$121</f>
        <v>0</v>
      </c>
      <c r="AO121" s="1437" t="str">
        <f>$I$121&amp;"."&amp;$M$121</f>
        <v>.</v>
      </c>
      <c r="AP121" s="1437" t="str">
        <f>$I$121&amp;"."&amp;$M$121&amp;"."&amp;$Q$121</f>
        <v>..</v>
      </c>
      <c r="AQ121" s="1437" t="str">
        <f>$I$121&amp;"."&amp;$M$121&amp;"."&amp;$Q$121&amp;"."&amp;$U$121</f>
        <v>...</v>
      </c>
      <c r="AR121" s="1637">
        <v>0</v>
      </c>
    </row>
    <row s="12119" customFormat="1" customHeight="1" ht="17.25" hidden="1">
      <c r="A122" s="491"/>
      <c r="C122" s="490"/>
      <c r="D122" s="2305"/>
      <c r="E122" s="2313"/>
      <c r="F122" s="2316"/>
      <c r="G122" s="2313"/>
      <c r="H122" s="2319"/>
      <c r="I122" s="2321"/>
      <c r="J122" s="2323"/>
      <c r="K122" s="2308"/>
      <c r="L122" s="2308"/>
      <c r="M122" s="2308"/>
      <c r="N122" s="2310"/>
      <c r="O122" s="2308"/>
      <c r="P122" s="2308"/>
      <c r="Q122" s="2308"/>
      <c r="R122" s="2311"/>
      <c r="S122" s="2308"/>
      <c r="T122" s="1467"/>
      <c r="U122" s="1467"/>
      <c r="V122" s="1467"/>
      <c r="W122" s="1468"/>
      <c r="Y122" s="1429"/>
      <c r="Z122" s="1429"/>
      <c r="AA122" s="1429"/>
      <c r="AB122" s="1429"/>
      <c r="AC122" s="1429"/>
      <c r="AD122" s="1429"/>
      <c r="AE122" s="1429"/>
      <c r="AF122" s="1429"/>
      <c r="AG122" s="1429"/>
      <c r="AH122" s="1429"/>
      <c r="AI122" s="1429"/>
      <c r="AJ122" s="1429"/>
      <c r="AK122" s="1429"/>
      <c r="AL122" s="1429"/>
      <c r="AM122" s="1429"/>
      <c r="AN122" s="1429"/>
      <c r="AO122" s="1429"/>
      <c r="AP122" s="1429"/>
      <c r="AQ122" s="1429"/>
      <c r="AR122" s="1637">
        <v>0</v>
      </c>
    </row>
    <row s="12119" customFormat="1" customHeight="1" ht="17.25" hidden="1">
      <c r="A123" s="491"/>
      <c r="C123" s="379"/>
      <c r="D123" s="2305"/>
      <c r="E123" s="2313"/>
      <c r="F123" s="2316"/>
      <c r="G123" s="2313"/>
      <c r="H123" s="2319"/>
      <c r="I123" s="2321"/>
      <c r="J123" s="2324"/>
      <c r="K123" s="2308"/>
      <c r="L123" s="2308"/>
      <c r="M123" s="2308"/>
      <c r="N123" s="2311"/>
      <c r="O123" s="2308"/>
      <c r="P123" s="1641"/>
      <c r="Q123" s="1467"/>
      <c r="R123" s="1467"/>
      <c r="S123" s="499"/>
      <c r="T123" s="499"/>
      <c r="U123" s="499"/>
      <c r="V123" s="499"/>
      <c r="W123" s="1468"/>
      <c r="Y123" s="1437"/>
      <c r="Z123" s="1437"/>
      <c r="AA123" s="1437"/>
      <c r="AB123" s="1437"/>
      <c r="AC123" s="1437"/>
      <c r="AD123" s="1437"/>
      <c r="AE123" s="1437"/>
      <c r="AF123" s="1437"/>
      <c r="AG123" s="1437"/>
      <c r="AH123" s="1437"/>
      <c r="AI123" s="1437"/>
      <c r="AJ123" s="1437"/>
      <c r="AK123" s="1437"/>
      <c r="AL123" s="1437"/>
      <c r="AM123" s="1437"/>
      <c r="AN123" s="1437"/>
      <c r="AO123" s="1437"/>
      <c r="AP123" s="1437"/>
      <c r="AQ123" s="1437"/>
      <c r="AR123" s="1637">
        <v>0</v>
      </c>
    </row>
    <row s="12119" customFormat="1" customHeight="1" ht="17.25" hidden="1">
      <c r="A124" s="491"/>
      <c r="C124" s="490"/>
      <c r="D124" s="2305"/>
      <c r="E124" s="2313"/>
      <c r="F124" s="2316"/>
      <c r="G124" s="2313"/>
      <c r="H124" s="2319"/>
      <c r="I124" s="2321"/>
      <c r="J124" s="2324"/>
      <c r="K124" s="2308"/>
      <c r="L124" s="1467"/>
      <c r="M124" s="1467"/>
      <c r="N124" s="1467"/>
      <c r="O124" s="1467"/>
      <c r="P124" s="1467"/>
      <c r="Q124" s="1467"/>
      <c r="R124" s="1467"/>
      <c r="S124" s="499"/>
      <c r="T124" s="499"/>
      <c r="U124" s="499"/>
      <c r="V124" s="499"/>
      <c r="W124" s="1468"/>
      <c r="Y124" s="1429"/>
      <c r="Z124" s="1429"/>
      <c r="AA124" s="1429"/>
      <c r="AB124" s="1429"/>
      <c r="AC124" s="1429"/>
      <c r="AD124" s="1429"/>
      <c r="AE124" s="1429"/>
      <c r="AF124" s="1429"/>
      <c r="AG124" s="1429"/>
      <c r="AH124" s="1429"/>
      <c r="AI124" s="1429"/>
      <c r="AJ124" s="1429"/>
      <c r="AK124" s="1429"/>
      <c r="AL124" s="1429"/>
      <c r="AM124" s="1429"/>
      <c r="AN124" s="1429"/>
      <c r="AO124" s="1429"/>
      <c r="AP124" s="1429"/>
      <c r="AQ124" s="1429"/>
      <c r="AR124" s="1637">
        <v>0</v>
      </c>
    </row>
    <row s="12119" customFormat="1" customHeight="1" ht="17.25" hidden="1">
      <c r="A125" s="491"/>
      <c r="C125" s="490"/>
      <c r="D125" s="2306"/>
      <c r="E125" s="2314"/>
      <c r="F125" s="2317"/>
      <c r="G125" s="2314"/>
      <c r="H125" s="1469"/>
      <c r="I125" s="1470"/>
      <c r="J125" s="1470"/>
      <c r="K125" s="1470"/>
      <c r="L125" s="1470"/>
      <c r="M125" s="1470"/>
      <c r="N125" s="1470"/>
      <c r="O125" s="1470"/>
      <c r="P125" s="1470"/>
      <c r="Q125" s="1470"/>
      <c r="R125" s="1470"/>
      <c r="S125" s="1471"/>
      <c r="T125" s="1471"/>
      <c r="U125" s="1471"/>
      <c r="V125" s="1471"/>
      <c r="W125" s="1472"/>
      <c r="Y125" s="1429"/>
      <c r="Z125" s="1429"/>
      <c r="AA125" s="1429"/>
      <c r="AB125" s="1429"/>
      <c r="AC125" s="1429"/>
      <c r="AD125" s="1429"/>
      <c r="AE125" s="1429"/>
      <c r="AF125" s="1429"/>
      <c r="AG125" s="1429"/>
      <c r="AH125" s="1429"/>
      <c r="AI125" s="1429"/>
      <c r="AJ125" s="1429"/>
      <c r="AK125" s="1429"/>
      <c r="AL125" s="1429"/>
      <c r="AM125" s="1429"/>
      <c r="AN125" s="1429"/>
      <c r="AO125" s="1429"/>
      <c r="AP125" s="1429"/>
      <c r="AQ125" s="1429"/>
      <c r="AR125" s="1637">
        <v>0</v>
      </c>
    </row>
    <row s="12119" customFormat="1" customHeight="1" ht="17.25" hidden="1">
      <c r="A126" s="491"/>
      <c r="C126" s="379"/>
      <c r="D126" s="2305">
        <v>2</v>
      </c>
      <c r="E126" s="2313" t="s">
        <v>281</v>
      </c>
      <c r="F126" s="2315" t="s">
        <v>19</v>
      </c>
      <c r="G126" s="2313"/>
      <c r="H126" s="2318"/>
      <c r="I126" s="2320"/>
      <c r="J126" s="2322"/>
      <c r="K126" s="2307"/>
      <c r="L126" s="2307"/>
      <c r="M126" s="2307"/>
      <c r="N126" s="2309"/>
      <c r="O126" s="2307"/>
      <c r="P126" s="2307"/>
      <c r="Q126" s="2307"/>
      <c r="R126" s="2312"/>
      <c r="S126" s="2307"/>
      <c r="T126" s="1640"/>
      <c r="U126" s="1640"/>
      <c r="V126" s="1642"/>
      <c r="W126" s="1466"/>
      <c r="X126" s="1437"/>
      <c r="Y126" s="1437"/>
      <c r="Z126" s="1437"/>
      <c r="AA126" s="1437"/>
      <c r="AB126" s="1437"/>
      <c r="AC126" s="1437" t="s">
        <v>282</v>
      </c>
      <c r="AD126" s="1437" t="s">
        <v>283</v>
      </c>
      <c r="AE126" s="1437" t="s">
        <v>284</v>
      </c>
      <c r="AF126" s="1437" t="s">
        <v>285</v>
      </c>
      <c r="AG126" s="1437"/>
      <c r="AH126" s="1437" t="str">
        <f>IF($E$126=0,"",$E$126)</f>
        <v>Тариф на транспортировку сточных вод</v>
      </c>
      <c r="AI126" s="1437" t="str">
        <f>IF($G$126=0,"",$G$126)</f>
        <v/>
      </c>
      <c r="AJ126" s="1437" t="str">
        <f>IF($J$126=0,"",$J$126)</f>
        <v/>
      </c>
      <c r="AK126" s="1437" t="str">
        <f>IF($K$126="нет","без дифференциации",IF($N$126=0,"",$N$126))</f>
        <v/>
      </c>
      <c r="AL126" s="1437" t="str">
        <f>IF($O$126="нет","без дифференциации",IF($R$126=0,"",$R$126))</f>
        <v/>
      </c>
      <c r="AM126" s="1437" t="str">
        <f>IF($S$126="нет","без дифференциации",IF($V$126=0,"",$V$126))</f>
        <v/>
      </c>
      <c r="AN126" s="1942">
        <f>$I$126</f>
        <v>0</v>
      </c>
      <c r="AO126" s="1437" t="str">
        <f>$I$126&amp;"."&amp;$M$126</f>
        <v>.</v>
      </c>
      <c r="AP126" s="1429" t="str">
        <f>$I$126&amp;"."&amp;$M$126&amp;"."&amp;$Q$126</f>
        <v>..</v>
      </c>
      <c r="AQ126" s="1429" t="str">
        <f>$I$126&amp;"."&amp;$M$126&amp;"."&amp;$Q$126&amp;"."&amp;$U$126</f>
        <v>...</v>
      </c>
      <c r="AR126" s="1637">
        <v>0</v>
      </c>
    </row>
    <row s="12119" customFormat="1" customHeight="1" ht="17.25" hidden="1">
      <c r="A127" s="491"/>
      <c r="C127" s="490"/>
      <c r="D127" s="2305"/>
      <c r="E127" s="2313"/>
      <c r="F127" s="2316"/>
      <c r="G127" s="2313"/>
      <c r="H127" s="2319"/>
      <c r="I127" s="2321"/>
      <c r="J127" s="2323"/>
      <c r="K127" s="2308"/>
      <c r="L127" s="2308"/>
      <c r="M127" s="2308"/>
      <c r="N127" s="2310"/>
      <c r="O127" s="2308"/>
      <c r="P127" s="2308"/>
      <c r="Q127" s="2308"/>
      <c r="R127" s="2311"/>
      <c r="S127" s="2308"/>
      <c r="T127" s="1467"/>
      <c r="U127" s="1467"/>
      <c r="V127" s="1467"/>
      <c r="W127" s="1468"/>
      <c r="X127" s="1429"/>
      <c r="Y127" s="1429"/>
      <c r="Z127" s="1429"/>
      <c r="AA127" s="1429"/>
      <c r="AB127" s="1429"/>
      <c r="AC127" s="1429"/>
      <c r="AD127" s="1429"/>
      <c r="AE127" s="1429"/>
      <c r="AF127" s="1429"/>
      <c r="AG127" s="1429"/>
      <c r="AH127" s="1429"/>
      <c r="AI127" s="1429"/>
      <c r="AJ127" s="1429"/>
      <c r="AK127" s="1429"/>
      <c r="AL127" s="1429"/>
      <c r="AM127" s="1429"/>
      <c r="AN127" s="1429"/>
      <c r="AO127" s="1429"/>
      <c r="AP127" s="1429"/>
      <c r="AQ127" s="1429"/>
      <c r="AR127" s="1637">
        <v>0</v>
      </c>
    </row>
    <row s="12119" customFormat="1" customHeight="1" ht="17.25" hidden="1">
      <c r="A128" s="491"/>
      <c r="C128" s="490"/>
      <c r="D128" s="2306"/>
      <c r="E128" s="2314"/>
      <c r="F128" s="2316"/>
      <c r="G128" s="2314"/>
      <c r="H128" s="2319"/>
      <c r="I128" s="2321"/>
      <c r="J128" s="2324"/>
      <c r="K128" s="2308"/>
      <c r="L128" s="2308"/>
      <c r="M128" s="2308"/>
      <c r="N128" s="2311"/>
      <c r="O128" s="2308"/>
      <c r="P128" s="1641"/>
      <c r="Q128" s="1467"/>
      <c r="R128" s="1467"/>
      <c r="S128" s="499"/>
      <c r="T128" s="499"/>
      <c r="U128" s="499"/>
      <c r="V128" s="499"/>
      <c r="W128" s="1468"/>
      <c r="X128" s="1429"/>
      <c r="Y128" s="1429"/>
      <c r="Z128" s="1429"/>
      <c r="AA128" s="1429"/>
      <c r="AB128" s="1429"/>
      <c r="AC128" s="1429"/>
      <c r="AD128" s="1429"/>
      <c r="AE128" s="1429"/>
      <c r="AF128" s="1429"/>
      <c r="AG128" s="1429"/>
      <c r="AH128" s="1429"/>
      <c r="AI128" s="1429"/>
      <c r="AJ128" s="1429"/>
      <c r="AK128" s="1429"/>
      <c r="AL128" s="1429"/>
      <c r="AM128" s="1429"/>
      <c r="AN128" s="1429"/>
      <c r="AO128" s="1429"/>
      <c r="AP128" s="1429"/>
      <c r="AQ128" s="1429"/>
      <c r="AR128" s="1637">
        <v>0</v>
      </c>
    </row>
    <row s="12119" customFormat="1" customHeight="1" ht="17.25" hidden="1">
      <c r="A129" s="491"/>
      <c r="C129" s="490"/>
      <c r="D129" s="2306"/>
      <c r="E129" s="2314"/>
      <c r="F129" s="2316"/>
      <c r="G129" s="2314"/>
      <c r="H129" s="2319"/>
      <c r="I129" s="2321"/>
      <c r="J129" s="2324"/>
      <c r="K129" s="2308"/>
      <c r="L129" s="1467"/>
      <c r="M129" s="1467"/>
      <c r="N129" s="1467"/>
      <c r="O129" s="1467"/>
      <c r="P129" s="1467"/>
      <c r="Q129" s="1467"/>
      <c r="R129" s="1467"/>
      <c r="S129" s="499"/>
      <c r="T129" s="499"/>
      <c r="U129" s="499"/>
      <c r="V129" s="499"/>
      <c r="W129" s="1468"/>
      <c r="X129" s="1429"/>
      <c r="Y129" s="1429"/>
      <c r="Z129" s="1429"/>
      <c r="AA129" s="1429"/>
      <c r="AB129" s="1429"/>
      <c r="AC129" s="1429"/>
      <c r="AD129" s="1429"/>
      <c r="AE129" s="1429"/>
      <c r="AF129" s="1429"/>
      <c r="AG129" s="1429"/>
      <c r="AH129" s="1429"/>
      <c r="AI129" s="1429"/>
      <c r="AJ129" s="1429"/>
      <c r="AK129" s="1429"/>
      <c r="AL129" s="1429"/>
      <c r="AM129" s="1429"/>
      <c r="AN129" s="1429"/>
      <c r="AO129" s="1429"/>
      <c r="AP129" s="1429"/>
      <c r="AQ129" s="1429"/>
      <c r="AR129" s="1637">
        <v>0</v>
      </c>
    </row>
    <row s="12119" customFormat="1" customHeight="1" ht="17.25" hidden="1">
      <c r="A130" s="491"/>
      <c r="C130" s="490"/>
      <c r="D130" s="2306"/>
      <c r="E130" s="2314"/>
      <c r="F130" s="2317"/>
      <c r="G130" s="2314"/>
      <c r="H130" s="1469"/>
      <c r="I130" s="1470"/>
      <c r="J130" s="1470"/>
      <c r="K130" s="1470"/>
      <c r="L130" s="1470"/>
      <c r="M130" s="1470"/>
      <c r="N130" s="1470"/>
      <c r="O130" s="1470"/>
      <c r="P130" s="1470"/>
      <c r="Q130" s="1470"/>
      <c r="R130" s="1470"/>
      <c r="S130" s="1471"/>
      <c r="T130" s="1471"/>
      <c r="U130" s="1471"/>
      <c r="V130" s="1471"/>
      <c r="W130" s="1472"/>
      <c r="X130" s="1429"/>
      <c r="Y130" s="1429"/>
      <c r="Z130" s="1429"/>
      <c r="AA130" s="1429"/>
      <c r="AB130" s="1429"/>
      <c r="AC130" s="1429"/>
      <c r="AD130" s="1429"/>
      <c r="AE130" s="1429"/>
      <c r="AF130" s="1429"/>
      <c r="AG130" s="1429"/>
      <c r="AH130" s="1429"/>
      <c r="AI130" s="1429"/>
      <c r="AJ130" s="1429"/>
      <c r="AK130" s="1429"/>
      <c r="AL130" s="1429"/>
      <c r="AM130" s="1429"/>
      <c r="AN130" s="1429"/>
      <c r="AO130" s="1429"/>
      <c r="AP130" s="1429"/>
      <c r="AQ130" s="1429"/>
      <c r="AR130" s="1637">
        <v>0</v>
      </c>
    </row>
    <row s="12119" customFormat="1" customHeight="1" ht="17.25" hidden="1">
      <c r="A131" s="491"/>
      <c r="C131" s="379"/>
      <c r="D131" s="2305">
        <v>3</v>
      </c>
      <c r="E131" s="2313" t="s">
        <v>286</v>
      </c>
      <c r="F131" s="2315" t="s">
        <v>19</v>
      </c>
      <c r="G131" s="2313"/>
      <c r="H131" s="2318"/>
      <c r="I131" s="2320"/>
      <c r="J131" s="2322"/>
      <c r="K131" s="2307"/>
      <c r="L131" s="2307"/>
      <c r="M131" s="2307"/>
      <c r="N131" s="2309"/>
      <c r="O131" s="2307"/>
      <c r="P131" s="2307"/>
      <c r="Q131" s="2307"/>
      <c r="R131" s="2312"/>
      <c r="S131" s="2307"/>
      <c r="T131" s="2113"/>
      <c r="U131" s="2113"/>
      <c r="V131" s="2115"/>
      <c r="W131" s="1466"/>
      <c r="X131" s="1437"/>
      <c r="Y131" s="1437"/>
      <c r="Z131" s="1437"/>
      <c r="AA131" s="1437"/>
      <c r="AB131" s="1437"/>
      <c r="AC131" s="1437" t="s">
        <v>287</v>
      </c>
      <c r="AD131" s="1437" t="s">
        <v>288</v>
      </c>
      <c r="AE131" s="1437" t="s">
        <v>289</v>
      </c>
      <c r="AF131" s="1437" t="s">
        <v>290</v>
      </c>
      <c r="AG131" s="1437"/>
      <c r="AH131" s="1437" t="str">
        <f>IF($E$131=0,"",$E$131)</f>
        <v>Тариф на подключение (технологическое присоединение) к централизованной системе водоотведения</v>
      </c>
      <c r="AI131" s="1437" t="str">
        <f>IF($G$131=0,"",$G$131)</f>
        <v/>
      </c>
      <c r="AJ131" s="1437" t="str">
        <f>IF($J$131=0,"",$J$131)</f>
        <v/>
      </c>
      <c r="AK131" s="1437" t="str">
        <f>IF($K$131="нет","без дифференциации",IF($N$131=0,"",$N$131))</f>
        <v/>
      </c>
      <c r="AL131" s="1437" t="str">
        <f>IF($O$131="нет","без дифференциации",IF($R$131=0,"",$R$131))</f>
        <v/>
      </c>
      <c r="AM131" s="1437" t="str">
        <f>IF($S$131="нет","без дифференциации",IF($V$131=0,"",$V$131))</f>
        <v/>
      </c>
      <c r="AN131" s="1942">
        <f>$I$131</f>
        <v>0</v>
      </c>
      <c r="AO131" s="1437" t="str">
        <f>$I$131&amp;"."&amp;$M$131</f>
        <v>.</v>
      </c>
      <c r="AP131" s="1436" t="str">
        <f>$I$131&amp;"."&amp;$M$131&amp;"."&amp;$Q$131</f>
        <v>..</v>
      </c>
      <c r="AQ131" s="1436" t="str">
        <f>$I$131&amp;"."&amp;$M$131&amp;"."&amp;$Q$131&amp;"."&amp;$U$131</f>
        <v>...</v>
      </c>
      <c r="AR131" s="1637">
        <v>0</v>
      </c>
    </row>
    <row s="12119" customFormat="1" customHeight="1" ht="17.25" hidden="1">
      <c r="A132" s="491"/>
      <c r="C132" s="490"/>
      <c r="D132" s="2305"/>
      <c r="E132" s="2313"/>
      <c r="F132" s="2316"/>
      <c r="G132" s="2313"/>
      <c r="H132" s="2319"/>
      <c r="I132" s="2321"/>
      <c r="J132" s="2323"/>
      <c r="K132" s="2308"/>
      <c r="L132" s="2308"/>
      <c r="M132" s="2308"/>
      <c r="N132" s="2310"/>
      <c r="O132" s="2308"/>
      <c r="P132" s="2308"/>
      <c r="Q132" s="2308"/>
      <c r="R132" s="2311"/>
      <c r="S132" s="2308"/>
      <c r="T132" s="2118"/>
      <c r="U132" s="2118"/>
      <c r="V132" s="2118"/>
      <c r="W132" s="2119"/>
      <c r="X132" s="1436"/>
      <c r="Y132" s="1436"/>
      <c r="Z132" s="1436"/>
      <c r="AA132" s="1436"/>
      <c r="AB132" s="1436"/>
      <c r="AC132" s="1436"/>
      <c r="AD132" s="1436"/>
      <c r="AE132" s="1436"/>
      <c r="AF132" s="1436"/>
      <c r="AG132" s="1436"/>
      <c r="AH132" s="1436"/>
      <c r="AI132" s="1436"/>
      <c r="AJ132" s="1436"/>
      <c r="AK132" s="1436"/>
      <c r="AL132" s="1436"/>
      <c r="AM132" s="1436"/>
      <c r="AN132" s="1436"/>
      <c r="AO132" s="1436"/>
      <c r="AP132" s="1436"/>
      <c r="AQ132" s="1436"/>
      <c r="AR132" s="1637">
        <v>0</v>
      </c>
    </row>
    <row s="12119" customFormat="1" customHeight="1" ht="17.25" hidden="1">
      <c r="A133" s="491"/>
      <c r="C133" s="490"/>
      <c r="D133" s="2306"/>
      <c r="E133" s="2314"/>
      <c r="F133" s="2316"/>
      <c r="G133" s="2314"/>
      <c r="H133" s="2319"/>
      <c r="I133" s="2321"/>
      <c r="J133" s="2324"/>
      <c r="K133" s="2308"/>
      <c r="L133" s="2308"/>
      <c r="M133" s="2308"/>
      <c r="N133" s="2311"/>
      <c r="O133" s="2308"/>
      <c r="P133" s="2114"/>
      <c r="Q133" s="2118"/>
      <c r="R133" s="2118"/>
      <c r="S133" s="499"/>
      <c r="T133" s="499"/>
      <c r="U133" s="499"/>
      <c r="V133" s="499"/>
      <c r="W133" s="2119"/>
      <c r="X133" s="1436"/>
      <c r="Y133" s="1436"/>
      <c r="Z133" s="1436"/>
      <c r="AA133" s="1436"/>
      <c r="AB133" s="1436"/>
      <c r="AC133" s="1436"/>
      <c r="AD133" s="1436"/>
      <c r="AE133" s="1436"/>
      <c r="AF133" s="1436"/>
      <c r="AG133" s="1436"/>
      <c r="AH133" s="1436"/>
      <c r="AI133" s="1436"/>
      <c r="AJ133" s="1436"/>
      <c r="AK133" s="1436"/>
      <c r="AL133" s="1436"/>
      <c r="AM133" s="1436"/>
      <c r="AN133" s="1436"/>
      <c r="AO133" s="1436"/>
      <c r="AP133" s="1436"/>
      <c r="AQ133" s="1436"/>
      <c r="AR133" s="1637">
        <v>0</v>
      </c>
    </row>
    <row s="12119" customFormat="1" customHeight="1" ht="17.25" hidden="1">
      <c r="A134" s="491"/>
      <c r="C134" s="490"/>
      <c r="D134" s="2306"/>
      <c r="E134" s="2314"/>
      <c r="F134" s="2316"/>
      <c r="G134" s="2314"/>
      <c r="H134" s="2319"/>
      <c r="I134" s="2321"/>
      <c r="J134" s="2324"/>
      <c r="K134" s="2308"/>
      <c r="L134" s="2118"/>
      <c r="M134" s="2118"/>
      <c r="N134" s="2118"/>
      <c r="O134" s="2118"/>
      <c r="P134" s="2118"/>
      <c r="Q134" s="2118"/>
      <c r="R134" s="2118"/>
      <c r="S134" s="499"/>
      <c r="T134" s="499"/>
      <c r="U134" s="499"/>
      <c r="V134" s="499"/>
      <c r="W134" s="2119"/>
      <c r="X134" s="1436"/>
      <c r="Y134" s="1436"/>
      <c r="Z134" s="1436"/>
      <c r="AA134" s="1436"/>
      <c r="AB134" s="1436"/>
      <c r="AC134" s="1436"/>
      <c r="AD134" s="1436"/>
      <c r="AE134" s="1436"/>
      <c r="AF134" s="1436"/>
      <c r="AG134" s="1436"/>
      <c r="AH134" s="1436"/>
      <c r="AI134" s="1436"/>
      <c r="AJ134" s="1436"/>
      <c r="AK134" s="1436"/>
      <c r="AL134" s="1436"/>
      <c r="AM134" s="1436"/>
      <c r="AN134" s="1436"/>
      <c r="AO134" s="1436"/>
      <c r="AP134" s="1436"/>
      <c r="AQ134" s="1436"/>
      <c r="AR134" s="1637">
        <v>0</v>
      </c>
    </row>
    <row s="12119" customFormat="1" customHeight="1" ht="17.25" hidden="1">
      <c r="A135" s="491"/>
      <c r="C135" s="490"/>
      <c r="D135" s="2306"/>
      <c r="E135" s="2314"/>
      <c r="F135" s="2317"/>
      <c r="G135" s="2314"/>
      <c r="H135" s="1469"/>
      <c r="I135" s="2116"/>
      <c r="J135" s="2116"/>
      <c r="K135" s="2116"/>
      <c r="L135" s="2116"/>
      <c r="M135" s="2116"/>
      <c r="N135" s="2116"/>
      <c r="O135" s="2116"/>
      <c r="P135" s="2116"/>
      <c r="Q135" s="2116"/>
      <c r="R135" s="2116"/>
      <c r="S135" s="1471"/>
      <c r="T135" s="1471"/>
      <c r="U135" s="1471"/>
      <c r="V135" s="1471"/>
      <c r="W135" s="2117"/>
      <c r="X135" s="1436"/>
      <c r="Y135" s="1436"/>
      <c r="Z135" s="1436"/>
      <c r="AA135" s="1436"/>
      <c r="AB135" s="1436"/>
      <c r="AC135" s="1436"/>
      <c r="AD135" s="1436"/>
      <c r="AE135" s="1436"/>
      <c r="AF135" s="1436"/>
      <c r="AG135" s="1436"/>
      <c r="AH135" s="1436"/>
      <c r="AI135" s="1436"/>
      <c r="AJ135" s="1436"/>
      <c r="AK135" s="1436"/>
      <c r="AL135" s="1436"/>
      <c r="AM135" s="1436"/>
      <c r="AN135" s="1436"/>
      <c r="AO135" s="1436"/>
      <c r="AP135" s="1436"/>
      <c r="AQ135" s="1436"/>
      <c r="AR135" s="1637">
        <v>0</v>
      </c>
    </row>
    <row customHeight="1" ht="11.549999999999999">
      <c r="AR136" s="274">
        <v>11</v>
      </c>
    </row>
    <row customHeight="1" ht="11.549999999999999">
      <c r="AR137" s="274">
        <v>11</v>
      </c>
    </row>
    <row customHeight="1" ht="11.549999999999999">
      <c r="AR138" s="274">
        <v>11</v>
      </c>
    </row>
    <row customHeight="1" ht="11.549999999999999">
      <c r="E139" s="1520"/>
      <c r="AR139" s="274">
        <v>11</v>
      </c>
    </row>
    <row customHeight="1" ht="11.549999999999999">
      <c r="E140" s="1520"/>
      <c r="AR140" s="274">
        <v>11</v>
      </c>
    </row>
    <row customHeight="1" ht="11.549999999999999">
      <c r="E141" s="1520"/>
      <c r="AR141" s="274">
        <v>11</v>
      </c>
    </row>
    <row customHeight="1" ht="11.549999999999999">
      <c r="E142" s="1520"/>
      <c r="AR142" s="274">
        <v>11</v>
      </c>
    </row>
    <row customHeight="1" ht="11.549999999999999">
      <c r="E143" s="1520"/>
      <c r="AR143" s="274">
        <v>11</v>
      </c>
    </row>
    <row customHeight="1" ht="11.549999999999999">
      <c r="E144" s="1520"/>
      <c r="AR144" s="274">
        <v>11</v>
      </c>
    </row>
    <row customHeight="1" ht="11.549999999999999">
      <c r="E145" s="1520"/>
      <c r="AR145" s="274">
        <v>11</v>
      </c>
    </row>
    <row customHeight="1" ht="11.25" hidden="1">
      <c r="A146" s="323" t="s">
        <v>85</v>
      </c>
      <c r="B146" s="323">
        <v>0</v>
      </c>
      <c r="C146" s="274">
        <v>3</v>
      </c>
      <c r="D146" s="274">
        <v>6</v>
      </c>
      <c r="E146" s="274">
        <v>42</v>
      </c>
      <c r="F146" s="1453">
        <v>14</v>
      </c>
      <c r="G146" s="274">
        <v>42</v>
      </c>
      <c r="H146" s="274">
        <v>3</v>
      </c>
      <c r="I146" s="274">
        <v>5</v>
      </c>
      <c r="J146" s="274">
        <v>47</v>
      </c>
      <c r="K146" s="274">
        <v>3</v>
      </c>
      <c r="L146" s="274">
        <v>3</v>
      </c>
      <c r="M146" s="274">
        <v>5</v>
      </c>
      <c r="N146" s="274">
        <v>28</v>
      </c>
      <c r="O146" s="274">
        <v>3</v>
      </c>
      <c r="P146" s="274">
        <v>3</v>
      </c>
      <c r="Q146" s="274">
        <v>5</v>
      </c>
      <c r="R146" s="274">
        <v>34</v>
      </c>
      <c r="S146" s="452">
        <v>0</v>
      </c>
      <c r="T146" s="452">
        <v>0</v>
      </c>
      <c r="U146" s="452">
        <v>0</v>
      </c>
      <c r="V146" s="452">
        <v>0</v>
      </c>
      <c r="W146" s="274">
        <v>30</v>
      </c>
      <c r="X146" s="274">
        <v>3</v>
      </c>
      <c r="Y146" s="1429">
        <v>0</v>
      </c>
      <c r="Z146" s="1429">
        <v>0</v>
      </c>
      <c r="AA146" s="1429">
        <v>0</v>
      </c>
      <c r="AB146" s="1429">
        <v>0</v>
      </c>
      <c r="AC146" s="1429">
        <v>0</v>
      </c>
      <c r="AD146" s="1429">
        <v>0</v>
      </c>
      <c r="AE146" s="1429">
        <v>0</v>
      </c>
      <c r="AF146" s="1429">
        <v>0</v>
      </c>
      <c r="AG146" s="1429">
        <v>0</v>
      </c>
      <c r="AH146" s="1429">
        <v>0</v>
      </c>
      <c r="AI146" s="1429">
        <v>0</v>
      </c>
      <c r="AJ146" s="1429">
        <v>0</v>
      </c>
      <c r="AK146" s="1429">
        <v>0</v>
      </c>
      <c r="AL146" s="1429">
        <v>0</v>
      </c>
      <c r="AM146" s="1429">
        <v>0</v>
      </c>
      <c r="AN146" s="1429">
        <v>0</v>
      </c>
      <c r="AO146" s="1429">
        <v>0</v>
      </c>
      <c r="AP146" s="1429">
        <v>0</v>
      </c>
      <c r="AQ146" s="1429">
        <v>0</v>
      </c>
      <c r="AR146" s="27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48:P49"/>
    <mergeCell ref="Q48:Q49"/>
    <mergeCell ref="R48:R49"/>
    <mergeCell ref="S48:S49"/>
    <mergeCell ref="M105:M107"/>
    <mergeCell ref="N105:N107"/>
    <mergeCell ref="O105:O107"/>
    <mergeCell ref="P105:P106"/>
    <mergeCell ref="Q105:Q106"/>
    <mergeCell ref="R105:R106"/>
    <mergeCell ref="S105:S106"/>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N43:N45"/>
    <mergeCell ref="G38:G42"/>
    <mergeCell ref="K38:K41"/>
    <mergeCell ref="G53:G57"/>
    <mergeCell ref="L43:L45"/>
    <mergeCell ref="M43:M45"/>
    <mergeCell ref="K43:K46"/>
    <mergeCell ref="D43:D47"/>
    <mergeCell ref="I43:I46"/>
    <mergeCell ref="J43:J46"/>
    <mergeCell ref="I38:I41"/>
    <mergeCell ref="J38:J41"/>
    <mergeCell ref="L38:L40"/>
    <mergeCell ref="M38:M40"/>
    <mergeCell ref="D18:D22"/>
    <mergeCell ref="E18:E22"/>
    <mergeCell ref="F18:F22"/>
    <mergeCell ref="D28:D32"/>
    <mergeCell ref="E28:E32"/>
    <mergeCell ref="F28:F32"/>
    <mergeCell ref="G28:G32"/>
    <mergeCell ref="D23:D27"/>
    <mergeCell ref="E23:E27"/>
    <mergeCell ref="F23:F27"/>
    <mergeCell ref="L10:M10"/>
    <mergeCell ref="P10:Q10"/>
    <mergeCell ref="L11:M11"/>
    <mergeCell ref="P11:Q11"/>
    <mergeCell ref="P23:P24"/>
    <mergeCell ref="Q23:Q24"/>
    <mergeCell ref="D5:J5"/>
    <mergeCell ref="D9:D10"/>
    <mergeCell ref="D7:J7"/>
    <mergeCell ref="G9:G10"/>
    <mergeCell ref="H9:I10"/>
    <mergeCell ref="D6:J6"/>
    <mergeCell ref="D13:D17"/>
    <mergeCell ref="E13:E17"/>
    <mergeCell ref="G13:G17"/>
    <mergeCell ref="J9:J10"/>
    <mergeCell ref="H11:I11"/>
    <mergeCell ref="E9:F9"/>
    <mergeCell ref="F13:F17"/>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G18:G2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3:O15"/>
    <mergeCell ref="S13:S14"/>
    <mergeCell ref="P13:P14"/>
    <mergeCell ref="Q13:Q14"/>
    <mergeCell ref="R13:R14"/>
    <mergeCell ref="K13:K16"/>
    <mergeCell ref="M13:M15"/>
    <mergeCell ref="L13:L15"/>
    <mergeCell ref="N13:N15"/>
    <mergeCell ref="J13:J16"/>
    <mergeCell ref="H13:H16"/>
    <mergeCell ref="I13:I16"/>
    <mergeCell ref="O18:O20"/>
    <mergeCell ref="S18:S19"/>
    <mergeCell ref="P18:P19"/>
    <mergeCell ref="Q18:Q19"/>
    <mergeCell ref="R18:R19"/>
    <mergeCell ref="K18:K21"/>
    <mergeCell ref="M18:M20"/>
    <mergeCell ref="L18:L20"/>
    <mergeCell ref="N18:N20"/>
    <mergeCell ref="J18:J21"/>
    <mergeCell ref="H18:H21"/>
    <mergeCell ref="I18:I21"/>
    <mergeCell ref="O28:O30"/>
    <mergeCell ref="S28:S29"/>
    <mergeCell ref="P28:P29"/>
    <mergeCell ref="Q28:Q29"/>
    <mergeCell ref="R28:R29"/>
    <mergeCell ref="K28:K31"/>
    <mergeCell ref="M28:M30"/>
    <mergeCell ref="L28:L30"/>
    <mergeCell ref="N28:N30"/>
    <mergeCell ref="J28:J31"/>
    <mergeCell ref="H28:H31"/>
    <mergeCell ref="I28:I31"/>
    <mergeCell ref="N53:N55"/>
    <mergeCell ref="I53:I56"/>
    <mergeCell ref="L53:L55"/>
    <mergeCell ref="Q53:Q54"/>
    <mergeCell ref="R53:R54"/>
    <mergeCell ref="S53:S54"/>
    <mergeCell ref="P53:P54"/>
    <mergeCell ref="H53:H56"/>
    <mergeCell ref="J53:J56"/>
    <mergeCell ref="K53:K56"/>
    <mergeCell ref="M53:M55"/>
    <mergeCell ref="O53:O55"/>
  </mergeCells>
  <dataValidations count="59">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5">
      <formula1>DESCRIPTION_TERRITORY</formula1>
    </dataValidation>
    <dataValidation allowBlank="1" showInputMessage="1" showErrorMessage="1" prompt="Для выбора выполните двойной щелчок левой клавиши мыши по соответствующей ячейке." sqref="S54"/>
    <dataValidation type="textLength" operator="lessThanOrEqual" allowBlank="1" showInputMessage="1" showErrorMessage="1" errorTitle="Ошибка" error="Допускается ввод не более 900 символов!" sqref="R54">
      <formula1>900</formula1>
    </dataValidation>
    <dataValidation allowBlank="1" showInputMessage="1" showErrorMessage="1" prompt="Для выбора выполните двойной щелчок левой клавиши мыши по соответствующей ячейке." sqref="O54"/>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4">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54"/>
    <dataValidation type="textLength" operator="lessThanOrEqual" allowBlank="1" showInputMessage="1" showErrorMessage="1" errorTitle="Ошибка" error="Допускается ввод не более 900 символов!" sqref="J54">
      <formula1>900</formula1>
    </dataValidation>
    <dataValidation type="textLength" operator="lessThanOrEqual" allowBlank="1" showInputMessage="1" showErrorMessage="1" errorTitle="Ошибка" error="Допускается ввод не более 900 символов!" sqref="W53">
      <formula1>900</formula1>
    </dataValidation>
    <dataValidation type="textLength" operator="lessThanOrEqual" allowBlank="1" showInputMessage="1" showErrorMessage="1" errorTitle="Ошибка" error="Допускается ввод не более 900 символов!" sqref="V53">
      <formula1>900</formula1>
    </dataValidation>
    <dataValidation allowBlank="1" showInputMessage="1" showErrorMessage="1" prompt="Для выбора выполните двойной щелчок левой клавиши мыши по соответствующей ячейке." sqref="S53"/>
    <dataValidation type="textLength" operator="lessThanOrEqual" allowBlank="1" showInputMessage="1" showErrorMessage="1" errorTitle="Ошибка" error="Допускается ввод не более 900 символов!" sqref="R53">
      <formula1>900</formula1>
    </dataValidation>
    <dataValidation allowBlank="1" showInputMessage="1" showErrorMessage="1" prompt="Для выбора выполните двойной щелчок левой клавиши мыши по соответствующей ячейке." sqref="O53"/>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3">
      <formula1>DESCRIPTION_TERRITORY</formula1>
    </dataValidation>
    <dataValidation allowBlank="1" showInputMessage="1" showErrorMessage="1" prompt="Для выбора выполните двойной щелчок левой клавиши мыши по соответствующей ячейке." sqref="K53"/>
    <dataValidation type="textLength" operator="lessThanOrEqual" allowBlank="1" showInputMessage="1" showErrorMessage="1" errorTitle="Ошибка" error="Допускается ввод не более 900 символов!" sqref="J5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0"/>
    <dataValidation allowBlank="1" showInputMessage="1" showErrorMessage="1" prompt="Для выбора выполните двойной щелчок левой клавиши мыши по соответствующей ячейке." sqref="S29"/>
    <dataValidation type="textLength" operator="lessThanOrEqual" allowBlank="1" showInputMessage="1" showErrorMessage="1" errorTitle="Ошибка" error="Допускается ввод не более 900 символов!" sqref="R2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9"/>
    <dataValidation type="textLength" operator="lessThanOrEqual" allowBlank="1" showInputMessage="1" showErrorMessage="1" errorTitle="Ошибка" error="Допускается ввод не более 900 символов!" sqref="J29">
      <formula1>900</formula1>
    </dataValidation>
    <dataValidation type="textLength" operator="lessThanOrEqual" allowBlank="1" showInputMessage="1" showErrorMessage="1" errorTitle="Ошибка" error="Допускается ввод не более 900 символов!" sqref="W28">
      <formula1>900</formula1>
    </dataValidation>
    <dataValidation type="textLength" operator="lessThanOrEqual" allowBlank="1" showInputMessage="1" showErrorMessage="1" errorTitle="Ошибка" error="Допускается ввод не более 900 символов!" sqref="V28">
      <formula1>900</formula1>
    </dataValidation>
    <dataValidation allowBlank="1" showInputMessage="1" showErrorMessage="1" prompt="Для выбора выполните двойной щелчок левой клавиши мыши по соответствующей ячейке." sqref="S28"/>
    <dataValidation type="textLength" operator="lessThanOrEqual" allowBlank="1" showInputMessage="1" showErrorMessage="1" errorTitle="Ошибка" error="Допускается ввод не более 900 символов!" sqref="R28">
      <formula1>900</formula1>
    </dataValidation>
    <dataValidation allowBlank="1" showInputMessage="1" showErrorMessage="1" prompt="Для выбора выполните двойной щелчок левой клавиши мыши по соответствующей ячейке." sqref="O2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8"/>
    <dataValidation allowBlank="1" showInputMessage="1" showErrorMessage="1" prompt="Для выбора выполните двойной щелчок левой клавиши мыши по соответствующей ячейке." sqref="K28"/>
    <dataValidation type="textLength" operator="lessThanOrEqual" allowBlank="1" showInputMessage="1" showErrorMessage="1" errorTitle="Ошибка" error="Допускается ввод не более 900 символов!" sqref="J28">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S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J19">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V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O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K18"/>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dataValidation allowBlank="1" showInputMessage="1" showErrorMessage="1" prompt="Для выбора выполните двойной щелчок левой клавиши мыши по соответствующей ячейке." sqref="S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dataValidation type="textLength" operator="lessThanOrEqual" allowBlank="1" showInputMessage="1" showErrorMessage="1" errorTitle="Ошибка" error="Допускается ввод не более 900 символов!" sqref="J14">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O1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dataValidation allowBlank="1" showInputMessage="1" showErrorMessage="1" prompt="Для выбора выполните двойной щелчок левой клавиши мыши по соответствующей ячейке." sqref="K13"/>
    <dataValidation type="textLength" operator="lessThanOrEqual" allowBlank="1" showInputMessage="1" showErrorMessage="1" errorTitle="Ошибка" error="Допускается ввод не более 900 символов!" sqref="J13">
      <formula1>900</formula1>
    </dataValidation>
    <dataValidation allowBlank="1" showInputMessage="1" showErrorMessage="1" prompt="Для выбора выполните двойной щелчок левой клавиши мыши по соответствующей ячейке." sqref="K38:K39 K48:K49 O48:O49 S48:S49 K43:K44 O38:O39 O43:O44 S38:S39 S43:S44 K33:K34 O33:O34 S33:S34 K79:K80 O79:O80 S79:S80 K84:K85 O84:O85 S84:S85 K94:K95 O94:O95 S94:S95 K89:K90 O89:O90 S89:S90 O131:O132 O105:O106 S105:S106 O110:O111 S110:S111 K105:K106 K110:K111 S99:S100 K126:K127 O126:O127 K121:K122 O121:O122 S126:S127 O115:O116 S121:S122 O58:O59 S58:S59 K58:K59 K63:K64 O63:O64 S63:S64 F79:F103 K99:K100 O99:O100 F105:F119 S115:S116 K115:K116 F121:F135 S131:S132 K131:K132 F13:F56 F57:F67 K23:K24 O23:O24 S23:S24"/>
    <dataValidation type="textLength" operator="lessThanOrEqual" allowBlank="1" showInputMessage="1" showErrorMessage="1" errorTitle="Ошибка" error="Допускается ввод не более 900 символов!" sqref="J38:J39 J48:J49 R48:R49 V48:W48 J43:J44 R38:R39 R43:R44 V38:W38 V43:W43 J33:J34 R33:R34 V33:W33 J79:J80 R79:R80 V79:W79 J84:J85 R84:R85 V84:W84 J94:J95 R94:R95 V94:W94 J89:J90 R89:R90 V89:W89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38:N40 N33:N35 N79:N81 N94:N96 N84:N86 N89:N91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56 G57: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B46B37-55B1-DD0D-69BB-13C2A091CAE5}"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1877" width="9.140625" hidden="1" customWidth="1"/>
    <col min="2" max="2" style="11913" width="9.140625" hidden="1" customWidth="1"/>
    <col min="3" max="3" style="14793" width="4.00390625" customWidth="1"/>
    <col min="4" max="4" style="11913" width="6.00390625" customWidth="1"/>
    <col min="5" max="5" style="11913" width="47.00390625" customWidth="1"/>
    <col min="6" max="6" style="11913" width="9.00390625" customWidth="1"/>
    <col min="7" max="7" style="11913" width="25.7109375" hidden="1" customWidth="1"/>
    <col min="8" max="8" style="11913" width="34.00390625" hidden="1" customWidth="1"/>
    <col min="9" max="9" style="11913" width="25.7109375" customWidth="1"/>
    <col min="10" max="10" style="11913" width="33.00390625" customWidth="1"/>
    <col min="11" max="11" style="11992" width="50.00390625" customWidth="1"/>
    <col min="12" max="20" style="11913" width="10.00390625" customWidth="1"/>
    <col min="21" max="21" style="14794" width="10.00390625" customWidth="1"/>
    <col min="22" max="22" style="11913" width="10.57421875" hidden="1"/>
  </cols>
  <sheetData>
    <row s="11992" customFormat="1" customHeight="1" ht="22.5" hidden="1">
      <c r="C1" s="842"/>
      <c r="G1" s="587">
        <v>4</v>
      </c>
      <c r="I1" s="587">
        <v>4</v>
      </c>
      <c r="U1" s="590"/>
      <c r="V1" s="587" t="s">
        <v>14</v>
      </c>
    </row>
    <row s="11913" customFormat="1" customHeight="1" ht="15" hidden="1">
      <c r="A2" s="532"/>
      <c r="C2" s="346"/>
      <c r="D2" s="516"/>
      <c r="E2" s="843"/>
      <c r="F2" s="692"/>
      <c r="G2" s="786"/>
      <c r="H2" s="786"/>
      <c r="I2" s="786"/>
      <c r="J2" s="786"/>
      <c r="U2" s="844"/>
      <c r="V2" s="679">
        <v>0</v>
      </c>
    </row>
    <row s="11992" customFormat="1" customHeight="1" ht="15" hidden="1">
      <c r="C3" s="842"/>
      <c r="U3" s="590"/>
      <c r="V3" s="587">
        <v>0</v>
      </c>
    </row>
    <row customHeight="1" ht="15.75">
      <c r="C4" s="346"/>
      <c r="D4" s="679"/>
      <c r="E4" s="679"/>
      <c r="F4" s="679"/>
      <c r="G4" s="679"/>
      <c r="H4" s="679"/>
      <c r="I4" s="679"/>
      <c r="J4" s="679"/>
      <c r="V4" s="675">
        <v>15</v>
      </c>
    </row>
    <row customHeight="1" ht="66">
      <c r="C5" s="346"/>
      <c r="D5" s="2407" t="s">
        <v>1181</v>
      </c>
      <c r="E5" s="2407"/>
      <c r="F5" s="2407"/>
      <c r="G5" s="2407"/>
      <c r="H5" s="2407"/>
      <c r="I5" s="2407"/>
      <c r="J5" s="2407"/>
      <c r="V5" s="675">
        <v>63</v>
      </c>
    </row>
    <row customHeight="1" ht="15.75">
      <c r="C6" s="346"/>
      <c r="D6" s="2346" t="str">
        <f>IF(org=0,"Не определено",org)</f>
        <v>Филиал "Шатурская ГРЭС" ПАО "Юнипро"</v>
      </c>
      <c r="E6" s="2346"/>
      <c r="F6" s="2346"/>
      <c r="G6" s="2346"/>
      <c r="H6" s="2346"/>
      <c r="I6" s="2346"/>
      <c r="J6" s="2346"/>
      <c r="K6" s="707"/>
      <c r="V6" s="675">
        <v>15</v>
      </c>
    </row>
    <row customHeight="1" ht="15.75">
      <c r="C7" s="346"/>
      <c r="D7" s="922"/>
      <c r="E7" s="679"/>
      <c r="F7" s="679"/>
      <c r="G7" s="707">
        <v>22</v>
      </c>
      <c r="I7" s="707">
        <v>1</v>
      </c>
      <c r="J7" s="922"/>
      <c r="V7" s="675">
        <v>15</v>
      </c>
    </row>
    <row s="11913" customFormat="1" customHeight="1" ht="1.05">
      <c r="A8" s="929"/>
      <c r="C8" s="346"/>
      <c r="D8" s="679"/>
      <c r="E8" s="679"/>
      <c r="F8" s="679"/>
      <c r="G8" s="707"/>
      <c r="H8" s="922"/>
      <c r="I8" s="707" t="s">
        <v>120</v>
      </c>
      <c r="J8" s="922"/>
      <c r="K8" s="587"/>
      <c r="U8" s="845"/>
      <c r="V8" s="928">
        <v>1</v>
      </c>
    </row>
    <row customHeight="1" ht="15.75">
      <c r="C9" s="346"/>
      <c r="D9" s="881"/>
      <c r="E9" s="2537" t="s">
        <v>108</v>
      </c>
      <c r="F9" s="2538"/>
      <c r="G9" s="2565" t="str">
        <f>IF(G8="","",INDEX(DIFFERENTIATION_UNMERGE_VD,MATCH(G8,DIFFERENTIATION_ID_DIFF,0)))</f>
        <v/>
      </c>
      <c r="H9" s="2566"/>
      <c r="I9" s="2565">
        <f>IF(I8="","",INDEX(DIFFERENTIATION_UNMERGE_VD,MATCH(I8,DIFFERENTIATION_ID_DIFF,0)))</f>
        <v>0</v>
      </c>
      <c r="J9" s="2566"/>
      <c r="K9" s="2345" t="s">
        <v>313</v>
      </c>
      <c r="V9" s="675">
        <v>15</v>
      </c>
    </row>
    <row s="11913" customFormat="1" customHeight="1" ht="15.75">
      <c r="A10" s="929"/>
      <c r="C10" s="346"/>
      <c r="D10" s="881"/>
      <c r="E10" s="2537" t="s">
        <v>579</v>
      </c>
      <c r="F10" s="2538"/>
      <c r="G10" s="2565" t="str">
        <f>IF(G8="","",INDEX(DIFFERENTIATION_UNMERGE_AREA,MATCH(G8,DIFFERENTIATION_ID_DIFF,0)))</f>
        <v/>
      </c>
      <c r="H10" s="2566"/>
      <c r="I10" s="2565" t="str">
        <f>IF(I8="","",INDEX(DIFFERENTIATION_UNMERGE_AREA,MATCH(I8,DIFFERENTIATION_ID_DIFF,0)))</f>
        <v/>
      </c>
      <c r="J10" s="2566"/>
      <c r="K10" s="2369"/>
      <c r="U10" s="845"/>
      <c r="V10" s="928">
        <v>15</v>
      </c>
    </row>
    <row s="11913" customFormat="1" customHeight="1" ht="15.75">
      <c r="A11" s="929"/>
      <c r="C11" s="346"/>
      <c r="D11" s="881"/>
      <c r="E11" s="2537" t="s">
        <v>580</v>
      </c>
      <c r="F11" s="2538"/>
      <c r="G11" s="2565" t="str">
        <f>IF(G8="","",INDEX(DIFFERENTIATION_UNMERGE_SYSTEM,MATCH(G8,DIFFERENTIATION_ID_DIFF,0)))</f>
        <v/>
      </c>
      <c r="H11" s="2566"/>
      <c r="I11" s="2565" t="str">
        <f>IF(I8="","",INDEX(DIFFERENTIATION_UNMERGE_SYSTEM,MATCH(I8,DIFFERENTIATION_ID_DIFF,0)))</f>
        <v>без дифференциации</v>
      </c>
      <c r="J11" s="2566"/>
      <c r="K11" s="2369"/>
      <c r="U11" s="845"/>
      <c r="V11" s="928">
        <v>15</v>
      </c>
    </row>
    <row s="11913" customFormat="1" customHeight="1" ht="15.75">
      <c r="A12" s="929"/>
      <c r="C12" s="346"/>
      <c r="D12" s="2539" t="s">
        <v>312</v>
      </c>
      <c r="E12" s="2540"/>
      <c r="F12" s="2540"/>
      <c r="G12" s="1057"/>
      <c r="H12" s="1057"/>
      <c r="I12" s="1057"/>
      <c r="J12" s="1057"/>
      <c r="K12" s="2369"/>
      <c r="U12" s="845"/>
      <c r="V12" s="928">
        <v>15</v>
      </c>
    </row>
    <row customHeight="1" ht="35.699999999999996">
      <c r="C13" s="346"/>
      <c r="D13" s="975" t="s">
        <v>91</v>
      </c>
      <c r="E13" s="977" t="s">
        <v>314</v>
      </c>
      <c r="F13" s="977" t="s">
        <v>581</v>
      </c>
      <c r="G13" s="978" t="s">
        <v>315</v>
      </c>
      <c r="H13" s="977" t="s">
        <v>402</v>
      </c>
      <c r="I13" s="978" t="s">
        <v>315</v>
      </c>
      <c r="J13" s="977" t="s">
        <v>402</v>
      </c>
      <c r="K13" s="2402"/>
      <c r="V13" s="675">
        <v>34</v>
      </c>
    </row>
    <row customHeight="1" ht="15" hidden="1">
      <c r="C14" s="346"/>
      <c r="D14" s="763" t="s">
        <v>112</v>
      </c>
      <c r="E14" s="763" t="s">
        <v>113</v>
      </c>
      <c r="F14" s="763" t="s">
        <v>93</v>
      </c>
      <c r="G14" s="829" t="str">
        <f>G1&amp;".1"</f>
        <v>4.1</v>
      </c>
      <c r="H14" s="829"/>
      <c r="I14" s="829" t="str">
        <f>I1&amp;".1"</f>
        <v>4.1</v>
      </c>
      <c r="J14" s="829"/>
      <c r="K14" s="459"/>
      <c r="V14" s="675">
        <v>0</v>
      </c>
    </row>
    <row customHeight="1" ht="22.5" hidden="1">
      <c r="A15" s="675"/>
      <c r="C15" s="696"/>
      <c r="D15" s="691">
        <v>1</v>
      </c>
      <c r="E15" s="847" t="s">
        <v>823</v>
      </c>
      <c r="F15" s="691" t="s">
        <v>824</v>
      </c>
      <c r="G15" s="848"/>
      <c r="H15" s="848"/>
      <c r="I15" s="848"/>
      <c r="J15" s="848"/>
      <c r="K15" s="459" t="s">
        <v>825</v>
      </c>
      <c r="V15" s="675">
        <v>0</v>
      </c>
    </row>
    <row customHeight="1" ht="22.5" hidden="1">
      <c r="A16" s="675"/>
      <c r="C16" s="696"/>
      <c r="D16" s="691">
        <v>2</v>
      </c>
      <c r="E16" s="449" t="s">
        <v>826</v>
      </c>
      <c r="F16" s="691" t="s">
        <v>827</v>
      </c>
      <c r="G16" s="848"/>
      <c r="H16" s="848"/>
      <c r="I16" s="848"/>
      <c r="J16" s="848"/>
      <c r="K16" s="459" t="s">
        <v>828</v>
      </c>
      <c r="V16" s="675">
        <v>0</v>
      </c>
    </row>
    <row customHeight="1" ht="123.75" hidden="1">
      <c r="A17" s="675"/>
      <c r="C17" s="696"/>
      <c r="D17" s="691">
        <v>3</v>
      </c>
      <c r="E17" s="449" t="s">
        <v>1182</v>
      </c>
      <c r="F17" s="691" t="s">
        <v>318</v>
      </c>
      <c r="G17" s="848"/>
      <c r="H17" s="848"/>
      <c r="I17" s="848"/>
      <c r="J17" s="848"/>
      <c r="K17" s="459" t="s">
        <v>1183</v>
      </c>
      <c r="V17" s="675">
        <v>0</v>
      </c>
    </row>
    <row customHeight="1" ht="48.29999999999999">
      <c r="A18" s="675"/>
      <c r="C18" s="696"/>
      <c r="D18" s="691">
        <v>3</v>
      </c>
      <c r="E18" s="449" t="s">
        <v>829</v>
      </c>
      <c r="F18" s="691" t="s">
        <v>318</v>
      </c>
      <c r="G18" s="979" t="s">
        <v>318</v>
      </c>
      <c r="H18" s="980" t="s">
        <v>318</v>
      </c>
      <c r="I18" s="691" t="s">
        <v>318</v>
      </c>
      <c r="J18" s="748" t="s">
        <v>318</v>
      </c>
      <c r="K18" s="459" t="s">
        <v>1184</v>
      </c>
      <c r="V18" s="675">
        <v>46</v>
      </c>
    </row>
    <row customHeight="1" ht="35.699999999999996">
      <c r="A19" s="675"/>
      <c r="C19" s="696"/>
      <c r="D19" s="709" t="s">
        <v>336</v>
      </c>
      <c r="E19" s="729" t="s">
        <v>831</v>
      </c>
      <c r="F19" s="691" t="s">
        <v>832</v>
      </c>
      <c r="G19" s="987"/>
      <c r="H19" s="276"/>
      <c r="I19" s="987"/>
      <c r="J19" s="988"/>
      <c r="K19" s="849"/>
      <c r="V19" s="675">
        <v>34</v>
      </c>
    </row>
    <row customHeight="1" ht="35.699999999999996">
      <c r="A20" s="675"/>
      <c r="C20" s="696"/>
      <c r="D20" s="2060" t="s">
        <v>344</v>
      </c>
      <c r="E20" s="729" t="s">
        <v>833</v>
      </c>
      <c r="F20" s="691" t="s">
        <v>834</v>
      </c>
      <c r="G20" s="987"/>
      <c r="H20" s="276"/>
      <c r="I20" s="987"/>
      <c r="J20" s="276"/>
      <c r="K20" s="849"/>
      <c r="V20" s="675">
        <v>34</v>
      </c>
    </row>
    <row customHeight="1" ht="48.29999999999999">
      <c r="A21" s="675"/>
      <c r="C21" s="696"/>
      <c r="D21" s="2060" t="s">
        <v>346</v>
      </c>
      <c r="E21" s="729" t="s">
        <v>835</v>
      </c>
      <c r="F21" s="691" t="s">
        <v>586</v>
      </c>
      <c r="G21" s="850"/>
      <c r="H21" s="276"/>
      <c r="I21" s="850"/>
      <c r="J21" s="276"/>
      <c r="K21" s="849"/>
      <c r="V21" s="675">
        <v>46</v>
      </c>
    </row>
    <row customHeight="1" ht="67.5" hidden="1">
      <c r="A22" s="675"/>
      <c r="C22" s="696"/>
      <c r="D22" s="691">
        <v>5</v>
      </c>
      <c r="E22" s="449" t="s">
        <v>1185</v>
      </c>
      <c r="F22" s="691" t="s">
        <v>573</v>
      </c>
      <c r="G22" s="851"/>
      <c r="H22" s="852"/>
      <c r="I22" s="851"/>
      <c r="J22" s="852"/>
      <c r="K22" s="459" t="s">
        <v>1186</v>
      </c>
      <c r="V22" s="675">
        <v>0</v>
      </c>
    </row>
    <row customHeight="1" ht="33.75" hidden="1">
      <c r="C23" s="621"/>
      <c r="D23" s="691">
        <v>6</v>
      </c>
      <c r="E23" s="449" t="s">
        <v>1187</v>
      </c>
      <c r="F23" s="691" t="s">
        <v>1188</v>
      </c>
      <c r="G23" s="851"/>
      <c r="H23" s="851"/>
      <c r="I23" s="851"/>
      <c r="J23" s="851"/>
      <c r="K23" s="459" t="s">
        <v>1189</v>
      </c>
      <c r="V23" s="675">
        <v>0</v>
      </c>
    </row>
    <row customHeight="1" ht="15.75">
      <c r="V24" s="675">
        <v>15</v>
      </c>
    </row>
    <row customHeight="1" ht="15.75">
      <c r="V25" s="675">
        <v>15</v>
      </c>
    </row>
    <row customHeight="1" ht="15.75">
      <c r="V26" s="675">
        <v>15</v>
      </c>
    </row>
    <row customHeight="1" ht="15.75">
      <c r="V27" s="675">
        <v>15</v>
      </c>
    </row>
    <row customHeight="1" ht="15.75">
      <c r="V28" s="675">
        <v>15</v>
      </c>
    </row>
    <row customHeight="1" ht="15.75">
      <c r="J29" s="989"/>
      <c r="V29" s="675">
        <v>15</v>
      </c>
    </row>
    <row customHeight="1" ht="22.5" hidden="1">
      <c r="A30" s="619" t="s">
        <v>85</v>
      </c>
      <c r="B30" s="675">
        <v>0</v>
      </c>
      <c r="C30" s="853">
        <v>4</v>
      </c>
      <c r="D30" s="675">
        <v>6</v>
      </c>
      <c r="E30" s="675">
        <v>47</v>
      </c>
      <c r="F30" s="675">
        <v>9</v>
      </c>
      <c r="G30" s="928">
        <v>0</v>
      </c>
      <c r="H30" s="928">
        <v>0</v>
      </c>
      <c r="I30" s="675">
        <v>25</v>
      </c>
      <c r="J30" s="675">
        <v>33</v>
      </c>
      <c r="K30" s="587">
        <v>50</v>
      </c>
      <c r="L30" s="675">
        <v>10</v>
      </c>
      <c r="M30" s="675">
        <v>10</v>
      </c>
      <c r="N30" s="675">
        <v>10</v>
      </c>
      <c r="O30" s="675">
        <v>10</v>
      </c>
      <c r="P30" s="675">
        <v>10</v>
      </c>
      <c r="Q30" s="675">
        <v>10</v>
      </c>
      <c r="R30" s="675">
        <v>10</v>
      </c>
      <c r="S30" s="675">
        <v>10</v>
      </c>
      <c r="T30" s="675">
        <v>10</v>
      </c>
      <c r="U30" s="845">
        <v>10</v>
      </c>
      <c r="V30" s="67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47FAC17-4E8E-7FA4-3B3E-4B3E71FBB6B4}"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5256" width="32.57421875" customWidth="1"/>
    <col min="2" max="2" style="12053" width="11.00390625" customWidth="1"/>
    <col min="3" max="3" style="12053" width="9.140625"/>
    <col min="4" max="4" style="12053" width="26.57421875" customWidth="1"/>
    <col min="5" max="5" style="15059" width="36.8515625" customWidth="1"/>
    <col min="6" max="6" style="15059" width="23.57421875" customWidth="1"/>
    <col min="7" max="7" style="15059" width="31.421875" customWidth="1"/>
    <col min="8" max="8" style="15059" width="40.8515625" customWidth="1"/>
    <col min="9" max="9" style="15059" width="14.57421875" customWidth="1"/>
    <col min="10" max="10" style="15059" width="26.8515625" customWidth="1"/>
    <col min="11" max="11" style="15059" width="50.00390625" customWidth="1"/>
    <col min="12" max="12" style="15059" width="52.421875" customWidth="1"/>
    <col min="13" max="13" style="15059" width="10.7109375" customWidth="1"/>
    <col min="14" max="14" style="15059" width="55.140625" customWidth="1"/>
    <col min="15" max="15" style="15059" width="31.8515625" customWidth="1"/>
    <col min="16" max="16" style="15059" width="23.8515625" customWidth="1"/>
    <col min="17" max="17" style="15059" width="46.57421875" customWidth="1"/>
    <col min="18" max="18" style="15059" width="24.00390625" customWidth="1"/>
    <col min="19" max="19" style="15059" width="20.57421875" customWidth="1"/>
    <col min="20" max="20" style="15059" width="22.00390625" customWidth="1"/>
    <col min="21" max="22" style="15059" width="26.421875" customWidth="1"/>
    <col min="23" max="23" style="15059" width="8.28125" hidden="1" customWidth="1"/>
    <col min="24" max="24" style="15059" width="59.7109375" customWidth="1"/>
    <col min="25" max="25" style="15059" width="49.140625" customWidth="1"/>
    <col min="26" max="26" style="15059" width="11.140625" customWidth="1"/>
    <col min="27" max="30" style="15059" width="29.00390625" customWidth="1"/>
    <col min="31" max="31" style="15059" width="9.140625"/>
    <col min="32" max="32" style="15059" width="34.7109375" customWidth="1"/>
    <col min="33" max="33" style="15059" width="9.140625"/>
    <col min="34" max="35" style="15059" width="34.421875" customWidth="1"/>
    <col min="36" max="36" style="15059" width="9.140625"/>
    <col min="37" max="37" style="15059" width="24.57421875" customWidth="1"/>
    <col min="38" max="38" style="15059" width="9.140625"/>
    <col min="39" max="39" style="15059" width="26.140625" customWidth="1"/>
    <col min="40" max="40" style="15059" width="1.7109375" customWidth="1"/>
    <col min="41" max="41" style="15059" width="9.140625"/>
    <col min="42" max="43" style="15059" width="47.8515625" customWidth="1"/>
    <col min="44" max="44" style="15059" width="1.7109375" customWidth="1"/>
    <col min="45" max="45" style="15059" width="21.421875" customWidth="1"/>
    <col min="46" max="46" style="15059" width="1.7109375" customWidth="1"/>
    <col min="47" max="47" style="15059" width="31.28125" customWidth="1"/>
    <col min="48" max="48" style="15059" width="1.7109375" customWidth="1"/>
    <col min="49" max="50" style="15059" width="9.140625"/>
    <col min="51" max="51" style="15059" width="3.7109375" customWidth="1"/>
    <col min="52" max="52" style="15059" width="60.8515625" customWidth="1"/>
    <col min="53" max="53" style="15059" width="49.28125" customWidth="1"/>
    <col min="54" max="54" style="15059" width="35.140625" customWidth="1"/>
    <col min="55" max="55" style="15059" width="9.140625"/>
    <col min="56" max="56" style="15059" width="1.7109375" customWidth="1"/>
    <col min="57" max="57" style="15257" width="12.57421875" customWidth="1"/>
    <col min="58" max="58" style="15257" width="14.28125" customWidth="1"/>
    <col min="59" max="59" style="15059" width="30.7109375" customWidth="1"/>
    <col min="60" max="60" style="15258" width="40.7109375" customWidth="1"/>
    <col min="61" max="61" style="15258" width="15.00390625" customWidth="1"/>
    <col min="62" max="62" style="15258" width="40.7109375" customWidth="1"/>
    <col min="63" max="63" style="15258" width="2.7109375" customWidth="1"/>
    <col min="64" max="64" style="15258" width="44.7109375" customWidth="1"/>
    <col min="65" max="65" style="15258" width="2.7109375" customWidth="1"/>
    <col min="66" max="66" style="15258" width="40.7109375" customWidth="1"/>
    <col min="67" max="68" style="15059" width="9.140625"/>
    <col min="69" max="69" style="15059" width="18.140625" customWidth="1"/>
    <col min="70" max="70" style="15059" width="57.8515625" customWidth="1"/>
    <col min="71" max="71" style="15059" width="1.7109375" customWidth="1"/>
    <col min="72" max="72" style="15059" width="22.57421875" customWidth="1"/>
    <col min="73" max="73" style="15059" width="57.8515625" customWidth="1"/>
    <col min="74" max="74" style="15059" width="1.7109375" customWidth="1"/>
    <col min="75" max="75" style="15059" width="22.57421875" customWidth="1"/>
    <col min="76" max="76" style="15059" width="57.8515625" customWidth="1"/>
    <col min="77" max="77" style="15059" width="1.7109375" customWidth="1"/>
    <col min="78" max="78" style="15059" width="22.57421875" customWidth="1"/>
    <col min="79" max="79" style="15059" width="57.8515625" customWidth="1"/>
    <col min="80" max="81" style="15059" width="9.140625"/>
    <col min="82" max="82" style="15059" width="49.57421875" customWidth="1"/>
  </cols>
  <sheetData>
    <row s="15159" customFormat="1" customHeight="1" ht="11.25">
      <c r="A1" s="1237" t="s">
        <v>1190</v>
      </c>
      <c r="B1" s="1237" t="s">
        <v>1191</v>
      </c>
      <c r="C1" s="1237" t="s">
        <v>1192</v>
      </c>
      <c r="D1" s="1237" t="s">
        <v>1193</v>
      </c>
      <c r="E1" s="1237" t="s">
        <v>1194</v>
      </c>
      <c r="F1" s="1237" t="s">
        <v>1195</v>
      </c>
      <c r="G1" s="1237" t="s">
        <v>1196</v>
      </c>
      <c r="H1" s="1237" t="s">
        <v>1197</v>
      </c>
      <c r="I1" s="1237" t="s">
        <v>1198</v>
      </c>
      <c r="J1" s="1237" t="s">
        <v>1199</v>
      </c>
      <c r="K1" s="1237" t="s">
        <v>1200</v>
      </c>
      <c r="L1" s="1237" t="s">
        <v>1201</v>
      </c>
      <c r="M1" s="1237"/>
      <c r="N1" s="1237" t="s">
        <v>1202</v>
      </c>
      <c r="O1" s="1237" t="s">
        <v>1203</v>
      </c>
      <c r="P1" s="1237" t="s">
        <v>1204</v>
      </c>
      <c r="Q1" s="1237" t="s">
        <v>1205</v>
      </c>
      <c r="R1" s="1237" t="s">
        <v>1206</v>
      </c>
      <c r="S1" s="1237" t="s">
        <v>1207</v>
      </c>
      <c r="T1" s="1237" t="s">
        <v>1208</v>
      </c>
      <c r="U1" s="1237" t="s">
        <v>1209</v>
      </c>
      <c r="V1" s="1237"/>
      <c r="W1" s="967" t="s">
        <v>1210</v>
      </c>
      <c r="X1" s="1237" t="s">
        <v>1211</v>
      </c>
      <c r="Y1" s="1237" t="s">
        <v>1212</v>
      </c>
      <c r="Z1" s="1237"/>
      <c r="AA1" s="1237" t="s">
        <v>1213</v>
      </c>
      <c r="AB1" s="1237"/>
      <c r="AC1" s="1237" t="s">
        <v>1214</v>
      </c>
      <c r="AD1" s="1237"/>
      <c r="AF1" s="1237" t="s">
        <v>1215</v>
      </c>
      <c r="AH1" s="1237" t="s">
        <v>1216</v>
      </c>
      <c r="AI1" s="1237" t="s">
        <v>1217</v>
      </c>
      <c r="AK1" s="1237" t="s">
        <v>1218</v>
      </c>
      <c r="AM1" s="1237" t="s">
        <v>1219</v>
      </c>
      <c r="AP1" s="1237" t="s">
        <v>1220</v>
      </c>
      <c r="AQ1" s="1237" t="s">
        <v>1221</v>
      </c>
      <c r="AS1" s="1237" t="s">
        <v>1222</v>
      </c>
      <c r="AU1" s="1237" t="s">
        <v>1223</v>
      </c>
      <c r="AW1" s="1237" t="s">
        <v>1224</v>
      </c>
      <c r="AX1" s="1237" t="s">
        <v>1225</v>
      </c>
      <c r="AZ1" s="1322" t="s">
        <v>1226</v>
      </c>
      <c r="BB1" s="1237" t="s">
        <v>1227</v>
      </c>
      <c r="BC1" s="1237"/>
      <c r="BE1" s="1237" t="s">
        <v>1228</v>
      </c>
      <c r="BF1" s="1237" t="s">
        <v>1229</v>
      </c>
      <c r="BH1" s="1239" t="s">
        <v>822</v>
      </c>
      <c r="BI1" s="1240"/>
      <c r="BJ1" s="1241" t="s">
        <v>1230</v>
      </c>
      <c r="BK1" s="1240"/>
      <c r="BL1" s="1242" t="s">
        <v>921</v>
      </c>
      <c r="BM1" s="1240"/>
      <c r="BN1" s="1243" t="s">
        <v>1231</v>
      </c>
      <c r="BS1" s="1597"/>
    </row>
    <row customHeight="1" ht="11.25">
      <c r="A2" s="1244" t="s">
        <v>1232</v>
      </c>
      <c r="B2" s="1245">
        <v>2000</v>
      </c>
      <c r="C2" s="1245">
        <v>2022</v>
      </c>
      <c r="D2" s="1245" t="s">
        <v>64</v>
      </c>
      <c r="E2" s="1246" t="s">
        <v>1233</v>
      </c>
      <c r="F2" s="1246" t="s">
        <v>1234</v>
      </c>
      <c r="G2" s="1246" t="s">
        <v>1235</v>
      </c>
      <c r="H2" s="1247" t="s">
        <v>58</v>
      </c>
      <c r="I2" s="1246" t="s">
        <v>112</v>
      </c>
      <c r="J2" s="1246" t="s">
        <v>1236</v>
      </c>
      <c r="K2" s="1248" t="s">
        <v>1237</v>
      </c>
      <c r="L2" s="1249"/>
      <c r="M2" s="1248">
        <v>1</v>
      </c>
      <c r="N2" s="1332" t="s">
        <v>1238</v>
      </c>
      <c r="O2" s="1247" t="s">
        <v>460</v>
      </c>
      <c r="P2" s="1250" t="s">
        <v>1239</v>
      </c>
      <c r="Q2" s="1251" t="s">
        <v>462</v>
      </c>
      <c r="R2" s="313" t="s">
        <v>1240</v>
      </c>
      <c r="S2" s="313" t="s">
        <v>1241</v>
      </c>
      <c r="T2" s="1252" t="s">
        <v>1242</v>
      </c>
      <c r="U2" s="1249" t="s">
        <v>1243</v>
      </c>
      <c r="V2" s="1253">
        <v>1</v>
      </c>
      <c r="W2" s="1254"/>
      <c r="X2" s="1254" t="s">
        <v>1244</v>
      </c>
      <c r="Y2" s="1245" t="s">
        <v>1245</v>
      </c>
      <c r="Z2" s="1255"/>
      <c r="AA2" s="1245" t="s">
        <v>179</v>
      </c>
      <c r="AB2" s="1256" t="s">
        <v>179</v>
      </c>
      <c r="AC2" s="1245" t="s">
        <v>1246</v>
      </c>
      <c r="AD2" s="1256" t="s">
        <v>1246</v>
      </c>
      <c r="AF2" s="1247" t="s">
        <v>1243</v>
      </c>
      <c r="AH2" s="1246" t="s">
        <v>1247</v>
      </c>
      <c r="AI2" s="1246" t="s">
        <v>1247</v>
      </c>
      <c r="AK2" s="1246" t="s">
        <v>1248</v>
      </c>
      <c r="AM2" s="1246" t="s">
        <v>1249</v>
      </c>
      <c r="AP2" s="1257" t="s">
        <v>1244</v>
      </c>
      <c r="AQ2" s="1258" t="s">
        <v>1244</v>
      </c>
      <c r="AS2" s="1245" t="s">
        <v>1250</v>
      </c>
      <c r="AU2" s="1290" t="s">
        <v>1251</v>
      </c>
      <c r="AW2" s="1290" t="s">
        <v>1252</v>
      </c>
      <c r="AX2" s="1290" t="s">
        <v>1252</v>
      </c>
      <c r="AZ2" s="1290" t="s">
        <v>56</v>
      </c>
      <c r="BB2" s="1290" t="s">
        <v>1253</v>
      </c>
      <c r="BC2" s="1290" t="s">
        <v>1254</v>
      </c>
      <c r="BE2" s="1290">
        <v>2000</v>
      </c>
      <c r="BF2" s="1290" t="s">
        <v>1255</v>
      </c>
    </row>
    <row customHeight="1" ht="11.25">
      <c r="A3" s="1244" t="s">
        <v>1256</v>
      </c>
      <c r="B3" s="1245">
        <v>2001</v>
      </c>
      <c r="C3" s="1245">
        <v>2023</v>
      </c>
      <c r="D3" s="1245" t="s">
        <v>19</v>
      </c>
      <c r="E3" s="1246" t="s">
        <v>1257</v>
      </c>
      <c r="F3" s="1246" t="s">
        <v>1258</v>
      </c>
      <c r="G3" s="1246" t="s">
        <v>1259</v>
      </c>
      <c r="H3" s="1247" t="s">
        <v>1260</v>
      </c>
      <c r="I3" s="1246" t="s">
        <v>113</v>
      </c>
      <c r="J3" s="1246" t="s">
        <v>571</v>
      </c>
      <c r="K3" s="1248" t="s">
        <v>1261</v>
      </c>
      <c r="L3" s="1249">
        <f>_xlfn.IFERROR(MATCH(K3,OFFER_METHOD,0),0)</f>
        <v>0</v>
      </c>
      <c r="M3" s="1248">
        <v>2</v>
      </c>
      <c r="N3" s="1332" t="s">
        <v>1262</v>
      </c>
      <c r="O3" s="1247" t="s">
        <v>1263</v>
      </c>
      <c r="P3" s="1250" t="s">
        <v>37</v>
      </c>
      <c r="Q3" s="1251" t="s">
        <v>458</v>
      </c>
      <c r="R3" s="313" t="s">
        <v>1264</v>
      </c>
      <c r="S3" s="313" t="s">
        <v>1265</v>
      </c>
      <c r="T3" s="1252" t="s">
        <v>1266</v>
      </c>
      <c r="U3" s="1249" t="s">
        <v>1267</v>
      </c>
      <c r="V3" s="1253">
        <v>2</v>
      </c>
      <c r="W3" s="1254"/>
      <c r="X3" s="1254" t="s">
        <v>1268</v>
      </c>
      <c r="Y3" s="1245" t="s">
        <v>1245</v>
      </c>
      <c r="Z3" s="1255"/>
      <c r="AA3" s="1245" t="s">
        <v>1269</v>
      </c>
      <c r="AB3" s="1256" t="s">
        <v>1269</v>
      </c>
      <c r="AC3" s="1245" t="s">
        <v>1270</v>
      </c>
      <c r="AD3" s="1256" t="s">
        <v>1270</v>
      </c>
      <c r="AF3" s="1247" t="s">
        <v>1267</v>
      </c>
      <c r="AH3" s="1246" t="s">
        <v>1271</v>
      </c>
      <c r="AI3" s="1246" t="s">
        <v>1272</v>
      </c>
      <c r="AK3" s="1246" t="s">
        <v>1273</v>
      </c>
      <c r="AM3" s="1246" t="s">
        <v>1274</v>
      </c>
      <c r="AP3" s="1257" t="s">
        <v>169</v>
      </c>
      <c r="AQ3" s="1258" t="s">
        <v>169</v>
      </c>
      <c r="AS3" s="1245" t="s">
        <v>1275</v>
      </c>
      <c r="AU3" s="1290" t="s">
        <v>1276</v>
      </c>
      <c r="AW3" s="1290" t="s">
        <v>1277</v>
      </c>
      <c r="AX3" s="1290" t="s">
        <v>1277</v>
      </c>
      <c r="AZ3" s="1290" t="s">
        <v>1278</v>
      </c>
      <c r="BB3" s="1290" t="s">
        <v>1279</v>
      </c>
      <c r="BC3" s="1290" t="s">
        <v>1254</v>
      </c>
      <c r="BE3" s="1290">
        <v>2001</v>
      </c>
      <c r="BF3" s="1290" t="s">
        <v>1280</v>
      </c>
      <c r="BH3" s="1237" t="s">
        <v>1281</v>
      </c>
      <c r="BJ3" s="1237" t="s">
        <v>1282</v>
      </c>
      <c r="BL3" s="1237" t="s">
        <v>1283</v>
      </c>
      <c r="BN3" s="1237" t="s">
        <v>1284</v>
      </c>
      <c r="BR3" s="1237" t="s">
        <v>1285</v>
      </c>
      <c r="BS3" s="1598"/>
      <c r="BT3" s="1240"/>
      <c r="BU3" s="1237" t="s">
        <v>1286</v>
      </c>
      <c r="BV3" s="1240"/>
      <c r="BW3" s="1860"/>
      <c r="BX3" s="1862" t="s">
        <v>1287</v>
      </c>
      <c r="CA3" s="1237" t="s">
        <v>1288</v>
      </c>
    </row>
    <row customHeight="1" ht="11.25">
      <c r="A4" s="1244" t="s">
        <v>1289</v>
      </c>
      <c r="B4" s="1245">
        <v>2002</v>
      </c>
      <c r="C4" s="1245">
        <v>2024</v>
      </c>
      <c r="E4" s="1246" t="s">
        <v>1290</v>
      </c>
      <c r="F4" s="1246" t="s">
        <v>1291</v>
      </c>
      <c r="H4" s="1247" t="s">
        <v>1292</v>
      </c>
      <c r="I4" s="1246" t="s">
        <v>93</v>
      </c>
      <c r="J4" s="1246" t="s">
        <v>1293</v>
      </c>
      <c r="K4" s="1248" t="s">
        <v>1294</v>
      </c>
      <c r="L4" s="1249">
        <f>_xlfn.IFERROR(MATCH(K4,OFFER_METHOD,0),0)</f>
        <v>0</v>
      </c>
      <c r="M4" s="1248">
        <v>3</v>
      </c>
      <c r="N4" s="1332" t="s">
        <v>1295</v>
      </c>
      <c r="O4" s="1246" t="s">
        <v>1296</v>
      </c>
      <c r="Q4" s="1251" t="s">
        <v>1297</v>
      </c>
      <c r="R4" s="313" t="s">
        <v>1298</v>
      </c>
      <c r="S4" s="313" t="s">
        <v>1299</v>
      </c>
      <c r="T4" s="1252" t="s">
        <v>1300</v>
      </c>
      <c r="U4" s="1249" t="s">
        <v>1301</v>
      </c>
      <c r="V4" s="1253">
        <v>3</v>
      </c>
      <c r="W4" s="1254"/>
      <c r="X4" s="1254" t="s">
        <v>1302</v>
      </c>
      <c r="Y4" s="1245" t="s">
        <v>1245</v>
      </c>
      <c r="Z4" s="1261"/>
      <c r="AC4" s="1245" t="s">
        <v>1303</v>
      </c>
      <c r="AD4" s="1256" t="s">
        <v>1303</v>
      </c>
      <c r="AF4" s="1247" t="s">
        <v>1301</v>
      </c>
      <c r="AH4" s="1247" t="s">
        <v>1304</v>
      </c>
      <c r="AK4" s="1246" t="s">
        <v>1305</v>
      </c>
      <c r="AM4" s="1246" t="s">
        <v>1306</v>
      </c>
      <c r="AP4" s="1257" t="s">
        <v>1268</v>
      </c>
      <c r="AQ4" s="1258" t="s">
        <v>1268</v>
      </c>
      <c r="AS4" s="1245" t="s">
        <v>1307</v>
      </c>
      <c r="AU4" s="1290" t="s">
        <v>1308</v>
      </c>
      <c r="AW4" s="1290" t="s">
        <v>1309</v>
      </c>
      <c r="AX4" s="1290" t="s">
        <v>1309</v>
      </c>
      <c r="AZ4" s="1290" t="s">
        <v>1310</v>
      </c>
      <c r="BB4" s="1290" t="s">
        <v>1311</v>
      </c>
      <c r="BC4" s="1290" t="s">
        <v>1312</v>
      </c>
      <c r="BE4" s="1290">
        <v>2002</v>
      </c>
      <c r="BF4" s="1290" t="s">
        <v>1313</v>
      </c>
      <c r="BH4" s="1238" t="s">
        <v>1314</v>
      </c>
      <c r="BJ4" s="1238" t="s">
        <v>1314</v>
      </c>
      <c r="BL4" s="1238" t="s">
        <v>1314</v>
      </c>
      <c r="BN4" s="1238" t="s">
        <v>1314</v>
      </c>
      <c r="BQ4" s="1602" t="s">
        <v>1315</v>
      </c>
      <c r="BR4" s="1329" t="s">
        <v>1316</v>
      </c>
      <c r="BS4" s="444"/>
      <c r="BT4" s="1602" t="s">
        <v>1317</v>
      </c>
      <c r="BU4" s="1329" t="s">
        <v>1318</v>
      </c>
      <c r="BV4" s="1240"/>
      <c r="BW4" s="1867" t="s">
        <v>1319</v>
      </c>
      <c r="BX4" s="1861" t="s">
        <v>1320</v>
      </c>
      <c r="BZ4" s="1602" t="s">
        <v>1321</v>
      </c>
      <c r="CA4" s="1329" t="s">
        <v>1322</v>
      </c>
    </row>
    <row customHeight="1" ht="11.25">
      <c r="A5" s="1244" t="s">
        <v>1323</v>
      </c>
      <c r="B5" s="1245">
        <v>2003</v>
      </c>
      <c r="C5" s="1245">
        <v>2025</v>
      </c>
      <c r="E5" s="1246" t="s">
        <v>1324</v>
      </c>
      <c r="F5" s="1246" t="s">
        <v>1325</v>
      </c>
      <c r="H5" s="1247" t="s">
        <v>1326</v>
      </c>
      <c r="I5" s="1246" t="s">
        <v>94</v>
      </c>
      <c r="K5" s="1248" t="s">
        <v>1327</v>
      </c>
      <c r="L5" s="1249">
        <f>_xlfn.IFERROR(MATCH(K5,OFFER_METHOD,0),0)</f>
        <v>0</v>
      </c>
      <c r="M5" s="1248">
        <v>4</v>
      </c>
      <c r="N5" s="1262" t="s">
        <v>1328</v>
      </c>
      <c r="O5" s="1246" t="s">
        <v>1329</v>
      </c>
      <c r="Q5" s="1251" t="s">
        <v>1330</v>
      </c>
      <c r="R5" s="313" t="s">
        <v>459</v>
      </c>
      <c r="T5" s="1247" t="s">
        <v>1331</v>
      </c>
      <c r="U5" s="1249" t="s">
        <v>1332</v>
      </c>
      <c r="V5" s="1253">
        <v>4</v>
      </c>
      <c r="W5" s="1254"/>
      <c r="X5" s="1254" t="s">
        <v>178</v>
      </c>
      <c r="Y5" s="1245" t="s">
        <v>1333</v>
      </c>
      <c r="Z5" s="1261">
        <v>1</v>
      </c>
      <c r="AF5" s="1247" t="s">
        <v>1334</v>
      </c>
      <c r="AH5" s="1246" t="s">
        <v>1335</v>
      </c>
      <c r="AK5" s="1246" t="s">
        <v>1336</v>
      </c>
      <c r="AM5" s="1246" t="s">
        <v>1337</v>
      </c>
      <c r="AP5" s="1257" t="s">
        <v>178</v>
      </c>
      <c r="AQ5" s="1258" t="s">
        <v>178</v>
      </c>
      <c r="AU5" s="1290" t="s">
        <v>1338</v>
      </c>
      <c r="AW5" s="1290" t="s">
        <v>1339</v>
      </c>
      <c r="AX5" s="1290" t="s">
        <v>1339</v>
      </c>
      <c r="AZ5" s="1290" t="s">
        <v>1340</v>
      </c>
      <c r="BB5" s="1290" t="s">
        <v>1341</v>
      </c>
      <c r="BC5" s="1290" t="s">
        <v>1342</v>
      </c>
      <c r="BE5" s="1290">
        <v>2003</v>
      </c>
      <c r="BF5" s="1290" t="s">
        <v>1343</v>
      </c>
      <c r="BH5" s="1238" t="s">
        <v>1344</v>
      </c>
      <c r="BJ5" s="1238" t="s">
        <v>1344</v>
      </c>
      <c r="BL5" s="1238" t="s">
        <v>1344</v>
      </c>
      <c r="BN5" s="1238" t="s">
        <v>1345</v>
      </c>
      <c r="BQ5" s="1451">
        <v>4213775</v>
      </c>
      <c r="BR5" s="1238" t="s">
        <v>1244</v>
      </c>
      <c r="BS5" s="1599"/>
      <c r="BT5" s="1451">
        <v>64236871</v>
      </c>
      <c r="BU5" s="1238" t="s">
        <v>241</v>
      </c>
      <c r="BV5" s="1240"/>
      <c r="BW5" s="1865">
        <v>4213767</v>
      </c>
      <c r="BX5" s="1863" t="s">
        <v>1346</v>
      </c>
      <c r="BZ5" s="1451">
        <v>64237509</v>
      </c>
      <c r="CA5" s="1465" t="s">
        <v>1347</v>
      </c>
    </row>
    <row customHeight="1" ht="11.25">
      <c r="A6" s="1244" t="s">
        <v>1348</v>
      </c>
      <c r="B6" s="1245">
        <v>2004</v>
      </c>
      <c r="C6" s="1245">
        <v>2026</v>
      </c>
      <c r="E6" s="1246" t="s">
        <v>1349</v>
      </c>
      <c r="F6" s="1263"/>
      <c r="H6" s="1247" t="s">
        <v>1350</v>
      </c>
      <c r="I6" s="1246" t="s">
        <v>114</v>
      </c>
      <c r="J6" s="1237" t="s">
        <v>1351</v>
      </c>
      <c r="L6" s="1249">
        <f>SUM(kind_of_control_method_filter)</f>
        <v>0</v>
      </c>
      <c r="N6" s="1262" t="s">
        <v>1352</v>
      </c>
      <c r="O6" s="1246" t="s">
        <v>1353</v>
      </c>
      <c r="R6" s="313" t="s">
        <v>462</v>
      </c>
      <c r="T6" s="1247" t="s">
        <v>1354</v>
      </c>
      <c r="U6" s="1249" t="s">
        <v>1334</v>
      </c>
      <c r="V6" s="1253">
        <v>5</v>
      </c>
      <c r="W6" s="1254"/>
      <c r="X6" s="1245" t="s">
        <v>186</v>
      </c>
      <c r="Y6" s="1245" t="s">
        <v>1355</v>
      </c>
      <c r="Z6" s="1261"/>
      <c r="AA6" s="1264"/>
      <c r="AH6" s="1246" t="s">
        <v>1356</v>
      </c>
      <c r="AK6" s="1246" t="s">
        <v>1357</v>
      </c>
      <c r="AM6" s="1246" t="s">
        <v>1358</v>
      </c>
      <c r="AP6" s="1257" t="s">
        <v>186</v>
      </c>
      <c r="AQ6" s="1258" t="s">
        <v>186</v>
      </c>
      <c r="AU6" s="1290" t="s">
        <v>1359</v>
      </c>
      <c r="AW6" s="1290" t="s">
        <v>1360</v>
      </c>
      <c r="AX6" s="1290" t="s">
        <v>1360</v>
      </c>
      <c r="BB6" s="1290" t="s">
        <v>1361</v>
      </c>
      <c r="BC6" s="1290" t="s">
        <v>1342</v>
      </c>
      <c r="BE6" s="1290">
        <v>2004</v>
      </c>
      <c r="BF6" s="1290" t="s">
        <v>1362</v>
      </c>
      <c r="BH6" s="1238" t="s">
        <v>1363</v>
      </c>
      <c r="BJ6" s="1238" t="s">
        <v>1364</v>
      </c>
      <c r="BL6" s="1238" t="s">
        <v>1364</v>
      </c>
      <c r="BN6" s="1238" t="s">
        <v>1365</v>
      </c>
      <c r="BQ6" s="1451">
        <v>4213784</v>
      </c>
      <c r="BR6" s="1465" t="s">
        <v>169</v>
      </c>
      <c r="BS6" s="1600"/>
      <c r="BT6" s="1451">
        <v>64236872</v>
      </c>
      <c r="BU6" s="1238" t="s">
        <v>246</v>
      </c>
      <c r="BV6" s="1240"/>
      <c r="BW6" s="1865">
        <v>4213768</v>
      </c>
      <c r="BX6" s="1863" t="s">
        <v>266</v>
      </c>
      <c r="BZ6" s="1451">
        <v>64237510</v>
      </c>
      <c r="CA6" s="1238" t="s">
        <v>1366</v>
      </c>
    </row>
    <row customHeight="1" ht="11.25">
      <c r="A7" s="1244" t="s">
        <v>1367</v>
      </c>
      <c r="B7" s="1245">
        <v>2005</v>
      </c>
      <c r="E7" s="1246" t="s">
        <v>1368</v>
      </c>
      <c r="F7" s="1263"/>
      <c r="H7" s="1247" t="s">
        <v>1369</v>
      </c>
      <c r="I7" s="1246" t="s">
        <v>95</v>
      </c>
      <c r="J7" s="1246" t="s">
        <v>1370</v>
      </c>
      <c r="N7" s="1266" t="s">
        <v>1371</v>
      </c>
      <c r="O7" s="1246" t="s">
        <v>1372</v>
      </c>
      <c r="U7" s="1249" t="s">
        <v>19</v>
      </c>
      <c r="V7" s="540" t="s">
        <v>95</v>
      </c>
      <c r="W7" s="1254"/>
      <c r="X7" s="1245" t="s">
        <v>192</v>
      </c>
      <c r="Y7" s="1245" t="s">
        <v>1333</v>
      </c>
      <c r="Z7" s="1261"/>
      <c r="AA7" s="1264"/>
      <c r="AH7" s="1246" t="s">
        <v>1373</v>
      </c>
      <c r="AK7" s="1246" t="s">
        <v>1374</v>
      </c>
      <c r="AM7" s="1246" t="s">
        <v>1375</v>
      </c>
      <c r="AP7" s="1257" t="s">
        <v>192</v>
      </c>
      <c r="AQ7" s="1258" t="s">
        <v>192</v>
      </c>
      <c r="AU7" s="1290" t="s">
        <v>1376</v>
      </c>
      <c r="AW7" s="1290" t="s">
        <v>1377</v>
      </c>
      <c r="AX7" s="1290" t="s">
        <v>1377</v>
      </c>
      <c r="AZ7" s="1237" t="s">
        <v>1378</v>
      </c>
      <c r="BB7" s="1290" t="s">
        <v>1379</v>
      </c>
      <c r="BC7" s="1290" t="s">
        <v>1342</v>
      </c>
      <c r="BE7" s="1290">
        <v>2005</v>
      </c>
      <c r="BF7" s="1290" t="s">
        <v>1380</v>
      </c>
      <c r="BH7" s="1238" t="s">
        <v>1381</v>
      </c>
      <c r="BJ7" s="1238" t="s">
        <v>1363</v>
      </c>
      <c r="BL7" s="1238" t="s">
        <v>1363</v>
      </c>
      <c r="BN7" s="1238" t="s">
        <v>1382</v>
      </c>
      <c r="BQ7" s="1451">
        <v>4213781</v>
      </c>
      <c r="BR7" s="1238" t="s">
        <v>1268</v>
      </c>
      <c r="BS7" s="1599"/>
      <c r="BT7" s="1451">
        <v>64236873</v>
      </c>
      <c r="BU7" s="1238" t="s">
        <v>251</v>
      </c>
      <c r="BV7" s="1240"/>
      <c r="BW7" s="1865">
        <v>4213769</v>
      </c>
      <c r="BX7" s="1863" t="s">
        <v>1383</v>
      </c>
      <c r="BZ7" s="1451">
        <v>64237511</v>
      </c>
      <c r="CA7" s="1238" t="s">
        <v>281</v>
      </c>
    </row>
    <row customHeight="1" ht="11.25">
      <c r="A8" s="1244" t="s">
        <v>1384</v>
      </c>
      <c r="B8" s="1245">
        <v>2006</v>
      </c>
      <c r="E8" s="1246" t="s">
        <v>1385</v>
      </c>
      <c r="F8" s="1263"/>
      <c r="H8" s="1247" t="s">
        <v>1386</v>
      </c>
      <c r="I8" s="1246" t="s">
        <v>96</v>
      </c>
      <c r="J8" s="1246" t="s">
        <v>1387</v>
      </c>
      <c r="N8" s="1333" t="s">
        <v>1388</v>
      </c>
      <c r="O8" s="1246" t="s">
        <v>1389</v>
      </c>
      <c r="V8" s="540" t="s">
        <v>96</v>
      </c>
      <c r="W8" s="1254"/>
      <c r="X8" s="1245" t="s">
        <v>198</v>
      </c>
      <c r="Y8" s="1245" t="s">
        <v>1333</v>
      </c>
      <c r="Z8" s="1261"/>
      <c r="AA8" s="1264"/>
      <c r="AK8" s="1246" t="s">
        <v>1390</v>
      </c>
      <c r="AP8" s="1257" t="s">
        <v>198</v>
      </c>
      <c r="AQ8" s="1258" t="s">
        <v>198</v>
      </c>
      <c r="AU8" s="1290" t="s">
        <v>1391</v>
      </c>
      <c r="AW8" s="1290" t="s">
        <v>1392</v>
      </c>
      <c r="AX8" s="1290" t="s">
        <v>1392</v>
      </c>
      <c r="AZ8" s="1290" t="s">
        <v>1393</v>
      </c>
      <c r="BB8" s="1290" t="s">
        <v>1394</v>
      </c>
      <c r="BC8" s="1290" t="s">
        <v>1342</v>
      </c>
      <c r="BE8" s="1290">
        <v>2006</v>
      </c>
      <c r="BF8" s="1290" t="s">
        <v>1395</v>
      </c>
      <c r="BH8" s="1238" t="s">
        <v>1396</v>
      </c>
      <c r="BJ8" s="1238" t="s">
        <v>1397</v>
      </c>
      <c r="BL8" s="1238" t="s">
        <v>1397</v>
      </c>
      <c r="BN8" s="1238" t="s">
        <v>1398</v>
      </c>
      <c r="BQ8" s="1451">
        <v>4213776</v>
      </c>
      <c r="BR8" s="1238" t="s">
        <v>178</v>
      </c>
      <c r="BS8" s="1599"/>
      <c r="BT8" s="1451">
        <v>64236874</v>
      </c>
      <c r="BU8" s="1465" t="s">
        <v>1399</v>
      </c>
      <c r="BV8" s="1240"/>
      <c r="BW8" s="1865">
        <v>4213770</v>
      </c>
      <c r="BX8" s="1866" t="s">
        <v>1400</v>
      </c>
      <c r="BZ8" s="1451">
        <v>64237512</v>
      </c>
      <c r="CA8" s="1238" t="s">
        <v>276</v>
      </c>
    </row>
    <row customHeight="1" ht="11.25">
      <c r="A9" s="1244" t="s">
        <v>1401</v>
      </c>
      <c r="B9" s="1245">
        <v>2007</v>
      </c>
      <c r="E9" s="1246" t="s">
        <v>1402</v>
      </c>
      <c r="F9" s="1263"/>
      <c r="G9" s="1237" t="s">
        <v>1403</v>
      </c>
      <c r="H9" s="1237" t="s">
        <v>1404</v>
      </c>
      <c r="I9" s="1246" t="s">
        <v>115</v>
      </c>
      <c r="O9" s="1246" t="s">
        <v>1405</v>
      </c>
      <c r="V9" s="540" t="s">
        <v>115</v>
      </c>
      <c r="W9" s="1254"/>
      <c r="X9" s="1245" t="s">
        <v>204</v>
      </c>
      <c r="Y9" s="1245" t="s">
        <v>1245</v>
      </c>
      <c r="Z9" s="1261">
        <v>1</v>
      </c>
      <c r="AA9" s="1264"/>
      <c r="AK9" s="1246" t="s">
        <v>1406</v>
      </c>
      <c r="AP9" s="1257" t="s">
        <v>494</v>
      </c>
      <c r="AQ9" s="1258" t="s">
        <v>494</v>
      </c>
      <c r="AW9" s="1290" t="s">
        <v>1407</v>
      </c>
      <c r="AX9" s="1290" t="s">
        <v>1407</v>
      </c>
      <c r="AZ9" s="1290" t="s">
        <v>1408</v>
      </c>
      <c r="BB9" s="1290" t="s">
        <v>1409</v>
      </c>
      <c r="BC9" s="1290" t="s">
        <v>1342</v>
      </c>
      <c r="BE9" s="1290">
        <v>2007</v>
      </c>
      <c r="BF9" s="1290" t="s">
        <v>1410</v>
      </c>
      <c r="BH9" s="1238" t="s">
        <v>1411</v>
      </c>
      <c r="BJ9" s="1238" t="s">
        <v>1412</v>
      </c>
      <c r="BL9" s="1238" t="s">
        <v>1412</v>
      </c>
      <c r="BN9" s="1238" t="s">
        <v>1413</v>
      </c>
      <c r="BQ9" s="1451">
        <v>4213777</v>
      </c>
      <c r="BR9" s="1238" t="s">
        <v>186</v>
      </c>
      <c r="BS9" s="1599"/>
      <c r="BT9" s="1451">
        <v>64236875</v>
      </c>
      <c r="BU9" s="1238" t="s">
        <v>256</v>
      </c>
      <c r="BV9" s="1240"/>
      <c r="BW9" s="1860"/>
      <c r="BX9" s="1860"/>
    </row>
    <row customHeight="1" ht="11.25">
      <c r="A10" s="1244" t="s">
        <v>1414</v>
      </c>
      <c r="B10" s="1245">
        <v>2008</v>
      </c>
      <c r="E10" s="1246" t="s">
        <v>1415</v>
      </c>
      <c r="F10" s="1263"/>
      <c r="G10" s="1246" t="s">
        <v>1416</v>
      </c>
      <c r="H10" s="1246" t="s">
        <v>1417</v>
      </c>
      <c r="I10" s="1246" t="s">
        <v>151</v>
      </c>
      <c r="J10" s="1237" t="s">
        <v>1418</v>
      </c>
      <c r="K10" s="1237" t="s">
        <v>1419</v>
      </c>
      <c r="O10" s="1246" t="s">
        <v>1420</v>
      </c>
      <c r="V10" s="541" t="s">
        <v>151</v>
      </c>
      <c r="W10" s="1267"/>
      <c r="X10" s="1267" t="s">
        <v>1421</v>
      </c>
      <c r="Y10" s="1268" t="s">
        <v>1422</v>
      </c>
      <c r="Z10" s="1261"/>
      <c r="AP10" s="1257" t="s">
        <v>1421</v>
      </c>
      <c r="AQ10" s="1258" t="s">
        <v>1421</v>
      </c>
      <c r="AW10" s="1290" t="s">
        <v>1423</v>
      </c>
      <c r="AX10" s="1290" t="s">
        <v>1423</v>
      </c>
      <c r="AZ10" s="1290" t="s">
        <v>1424</v>
      </c>
      <c r="BB10" s="1290" t="s">
        <v>1425</v>
      </c>
      <c r="BC10" s="1290" t="s">
        <v>1342</v>
      </c>
      <c r="BE10" s="1290">
        <v>2008</v>
      </c>
      <c r="BF10" s="1290" t="s">
        <v>1426</v>
      </c>
      <c r="BH10" s="1238" t="s">
        <v>1427</v>
      </c>
      <c r="BJ10" s="1238" t="s">
        <v>1428</v>
      </c>
      <c r="BL10" s="1238" t="s">
        <v>1428</v>
      </c>
      <c r="BN10" s="1238" t="s">
        <v>1429</v>
      </c>
      <c r="BQ10" s="1451">
        <v>4213778</v>
      </c>
      <c r="BR10" s="1238" t="s">
        <v>192</v>
      </c>
      <c r="BS10" s="1599"/>
      <c r="BT10" s="1451">
        <v>64236876</v>
      </c>
      <c r="BU10" s="1238" t="s">
        <v>236</v>
      </c>
      <c r="BV10" s="1240"/>
      <c r="BW10" s="1860"/>
      <c r="BX10" s="1860"/>
    </row>
    <row customHeight="1" ht="11.25">
      <c r="A11" s="1244" t="s">
        <v>1430</v>
      </c>
      <c r="B11" s="1245">
        <v>2009</v>
      </c>
      <c r="E11" s="1246" t="s">
        <v>1431</v>
      </c>
      <c r="F11" s="1263"/>
      <c r="G11" s="1246" t="s">
        <v>1432</v>
      </c>
      <c r="H11" s="1246" t="s">
        <v>1433</v>
      </c>
      <c r="I11" s="1246" t="s">
        <v>152</v>
      </c>
      <c r="J11" s="1247" t="s">
        <v>1434</v>
      </c>
      <c r="K11" s="1269" t="s">
        <v>1435</v>
      </c>
      <c r="O11" s="1247" t="s">
        <v>1436</v>
      </c>
      <c r="V11" s="540" t="s">
        <v>152</v>
      </c>
      <c r="W11" s="445"/>
      <c r="X11" s="1254" t="s">
        <v>494</v>
      </c>
      <c r="Y11" s="1245" t="s">
        <v>1437</v>
      </c>
      <c r="Z11" s="1261"/>
      <c r="AP11" s="1257" t="s">
        <v>204</v>
      </c>
      <c r="AQ11" s="1259" t="s">
        <v>204</v>
      </c>
      <c r="AW11" s="1290" t="s">
        <v>1438</v>
      </c>
      <c r="AX11" s="1290" t="s">
        <v>1438</v>
      </c>
      <c r="AZ11" s="1290" t="s">
        <v>1439</v>
      </c>
      <c r="BB11" s="1290" t="s">
        <v>1440</v>
      </c>
      <c r="BC11" s="1290" t="s">
        <v>1342</v>
      </c>
      <c r="BE11" s="1290">
        <v>2009</v>
      </c>
      <c r="BF11" s="1290" t="s">
        <v>1441</v>
      </c>
      <c r="BH11" s="1238" t="s">
        <v>1442</v>
      </c>
      <c r="BJ11" s="1238" t="s">
        <v>1411</v>
      </c>
      <c r="BL11" s="1238" t="s">
        <v>1411</v>
      </c>
      <c r="BN11" s="1238" t="s">
        <v>1443</v>
      </c>
      <c r="BQ11" s="1451">
        <v>4213780</v>
      </c>
      <c r="BR11" s="1238" t="s">
        <v>198</v>
      </c>
      <c r="BS11" s="1599"/>
      <c r="BW11" s="1860"/>
      <c r="BX11" s="1860"/>
    </row>
    <row customHeight="1" ht="11.25">
      <c r="A12" s="1244" t="s">
        <v>1444</v>
      </c>
      <c r="B12" s="1245">
        <v>2010</v>
      </c>
      <c r="E12" s="1246" t="s">
        <v>1445</v>
      </c>
      <c r="F12" s="1263"/>
      <c r="G12" s="1246" t="s">
        <v>1433</v>
      </c>
      <c r="I12" s="1246" t="s">
        <v>153</v>
      </c>
      <c r="J12" s="1247" t="s">
        <v>1446</v>
      </c>
      <c r="K12" s="1269" t="s">
        <v>1447</v>
      </c>
      <c r="O12" s="1247" t="s">
        <v>462</v>
      </c>
      <c r="V12" s="540" t="s">
        <v>153</v>
      </c>
      <c r="W12" s="1259"/>
      <c r="X12" s="1254" t="s">
        <v>1448</v>
      </c>
      <c r="Y12" s="1245" t="s">
        <v>1245</v>
      </c>
      <c r="AP12" s="1257"/>
      <c r="AW12" s="1290" t="s">
        <v>152</v>
      </c>
      <c r="AX12" s="1290" t="s">
        <v>152</v>
      </c>
      <c r="AZ12" s="1290" t="s">
        <v>1449</v>
      </c>
      <c r="BB12" s="1290" t="s">
        <v>1450</v>
      </c>
      <c r="BC12" s="1290" t="s">
        <v>1342</v>
      </c>
      <c r="BE12" s="1290">
        <v>2010</v>
      </c>
      <c r="BF12" s="1290" t="s">
        <v>1451</v>
      </c>
      <c r="BH12" s="1238" t="s">
        <v>1452</v>
      </c>
      <c r="BJ12" s="1238" t="s">
        <v>1453</v>
      </c>
      <c r="BL12" s="1238" t="s">
        <v>1453</v>
      </c>
      <c r="BN12" s="1238" t="s">
        <v>1454</v>
      </c>
      <c r="BQ12" s="1451">
        <v>4213779</v>
      </c>
      <c r="BR12" s="1238" t="s">
        <v>494</v>
      </c>
      <c r="BS12" s="1599"/>
      <c r="BT12" s="1240"/>
      <c r="BU12" s="1240"/>
      <c r="BV12" s="1240"/>
      <c r="BW12" s="1860"/>
      <c r="BX12" s="1860"/>
    </row>
    <row customHeight="1" ht="11.25">
      <c r="A13" s="1244" t="s">
        <v>1455</v>
      </c>
      <c r="B13" s="1245">
        <v>2011</v>
      </c>
      <c r="E13" s="1246" t="s">
        <v>1456</v>
      </c>
      <c r="F13" s="1263"/>
      <c r="I13" s="1246" t="s">
        <v>154</v>
      </c>
      <c r="K13" s="1269" t="s">
        <v>1406</v>
      </c>
      <c r="V13" s="540" t="s">
        <v>154</v>
      </c>
      <c r="W13" s="1259"/>
      <c r="X13" s="1259"/>
      <c r="Y13" s="1259"/>
      <c r="AW13" s="1290" t="s">
        <v>153</v>
      </c>
      <c r="AX13" s="1290" t="s">
        <v>153</v>
      </c>
      <c r="BB13" s="1290" t="s">
        <v>1457</v>
      </c>
      <c r="BC13" s="1290" t="s">
        <v>1458</v>
      </c>
      <c r="BE13" s="1290">
        <v>2011</v>
      </c>
      <c r="BF13" s="1290" t="s">
        <v>1459</v>
      </c>
      <c r="BH13" s="1238" t="s">
        <v>1460</v>
      </c>
      <c r="BJ13" s="1238" t="s">
        <v>1442</v>
      </c>
      <c r="BL13" s="1238" t="s">
        <v>1442</v>
      </c>
      <c r="BN13" s="1238" t="s">
        <v>1461</v>
      </c>
      <c r="BQ13" s="1451">
        <v>4213783</v>
      </c>
      <c r="BR13" s="1238" t="s">
        <v>1421</v>
      </c>
      <c r="BS13" s="1599"/>
      <c r="BT13" s="1240"/>
      <c r="BU13" s="1240"/>
      <c r="BV13" s="1240"/>
      <c r="BW13" s="1864"/>
      <c r="BX13" s="1860"/>
    </row>
    <row customHeight="1" ht="11.25">
      <c r="A14" s="1244" t="s">
        <v>1462</v>
      </c>
      <c r="B14" s="1245">
        <v>2012</v>
      </c>
      <c r="I14" s="1246" t="s">
        <v>155</v>
      </c>
      <c r="J14" s="1237" t="s">
        <v>1463</v>
      </c>
      <c r="N14" s="1237" t="s">
        <v>1464</v>
      </c>
      <c r="V14" s="1253">
        <v>13</v>
      </c>
      <c r="W14" s="1254"/>
      <c r="X14" s="1254" t="s">
        <v>169</v>
      </c>
      <c r="Y14" s="1245" t="s">
        <v>1245</v>
      </c>
      <c r="AW14" s="1290" t="s">
        <v>154</v>
      </c>
      <c r="AX14" s="1290" t="s">
        <v>154</v>
      </c>
      <c r="AZ14" s="1237" t="s">
        <v>1465</v>
      </c>
      <c r="BB14" s="1290" t="s">
        <v>1466</v>
      </c>
      <c r="BC14" s="1290" t="s">
        <v>1458</v>
      </c>
      <c r="BE14" s="1290">
        <v>2012</v>
      </c>
      <c r="BH14" s="1238" t="s">
        <v>1382</v>
      </c>
      <c r="BJ14" s="1387" t="s">
        <v>1467</v>
      </c>
      <c r="BL14" s="1387" t="s">
        <v>1467</v>
      </c>
      <c r="BN14" s="1238" t="s">
        <v>1468</v>
      </c>
      <c r="BQ14" s="1451">
        <v>4213782</v>
      </c>
      <c r="BR14" s="1238" t="s">
        <v>204</v>
      </c>
      <c r="BS14" s="1599"/>
      <c r="BT14" s="1240"/>
      <c r="BU14" s="1240"/>
      <c r="BV14" s="1240"/>
      <c r="BW14" s="1864"/>
      <c r="BX14" s="1860"/>
    </row>
    <row customHeight="1" ht="19.5">
      <c r="A15" s="1244" t="s">
        <v>1469</v>
      </c>
      <c r="B15" s="1245">
        <v>2013</v>
      </c>
      <c r="E15" s="1868" t="s">
        <v>1470</v>
      </c>
      <c r="G15" s="1237" t="s">
        <v>1471</v>
      </c>
      <c r="H15" s="1237" t="s">
        <v>1472</v>
      </c>
      <c r="I15" s="1248" t="s">
        <v>156</v>
      </c>
      <c r="J15" s="1259" t="s">
        <v>598</v>
      </c>
      <c r="N15" s="1328" t="s">
        <v>1473</v>
      </c>
      <c r="X15" s="1257"/>
      <c r="AW15" s="1290" t="s">
        <v>155</v>
      </c>
      <c r="AX15" s="1290" t="s">
        <v>155</v>
      </c>
      <c r="AZ15" s="1290" t="s">
        <v>1393</v>
      </c>
      <c r="BB15" s="1290" t="s">
        <v>1474</v>
      </c>
      <c r="BC15" s="1290" t="s">
        <v>1458</v>
      </c>
      <c r="BE15" s="1290">
        <v>2013</v>
      </c>
      <c r="BH15" s="1238" t="s">
        <v>1398</v>
      </c>
      <c r="BJ15" s="1387" t="s">
        <v>1475</v>
      </c>
      <c r="BL15" s="1387" t="s">
        <v>1475</v>
      </c>
      <c r="BN15" s="1238" t="s">
        <v>1476</v>
      </c>
      <c r="BR15" s="1240"/>
      <c r="BS15" s="1601"/>
      <c r="BT15" s="1240"/>
      <c r="BU15" s="1240"/>
      <c r="BV15" s="1240"/>
      <c r="BW15" s="1864"/>
      <c r="BX15" s="1860"/>
    </row>
    <row customHeight="1" ht="21">
      <c r="A16" s="2040" t="s">
        <v>1477</v>
      </c>
      <c r="B16" s="1245">
        <v>2014</v>
      </c>
      <c r="E16" s="1869" t="s">
        <v>1478</v>
      </c>
      <c r="G16" s="1246" t="s">
        <v>1479</v>
      </c>
      <c r="H16" s="1246" t="s">
        <v>1480</v>
      </c>
      <c r="I16" s="1248" t="s">
        <v>1481</v>
      </c>
      <c r="J16" s="1259" t="s">
        <v>571</v>
      </c>
      <c r="N16" s="1328" t="s">
        <v>1482</v>
      </c>
      <c r="AW16" s="1290" t="s">
        <v>156</v>
      </c>
      <c r="AX16" s="1290" t="s">
        <v>156</v>
      </c>
      <c r="AZ16" s="1290" t="s">
        <v>1408</v>
      </c>
      <c r="BB16" s="1290" t="s">
        <v>1483</v>
      </c>
      <c r="BC16" s="1290" t="s">
        <v>1458</v>
      </c>
      <c r="BE16" s="1290">
        <v>2014</v>
      </c>
      <c r="BH16" s="1238" t="s">
        <v>1413</v>
      </c>
      <c r="BJ16" s="1387" t="s">
        <v>1484</v>
      </c>
      <c r="BL16" s="1387" t="s">
        <v>1484</v>
      </c>
      <c r="BN16" s="1238" t="s">
        <v>1485</v>
      </c>
      <c r="BR16" s="1240"/>
      <c r="BS16" s="1601"/>
      <c r="BT16" s="1240"/>
      <c r="BU16" s="1240"/>
      <c r="BV16" s="1240"/>
      <c r="BW16" s="1864"/>
      <c r="BX16" s="1860"/>
    </row>
    <row customHeight="1" ht="21">
      <c r="A17" s="1244" t="s">
        <v>1486</v>
      </c>
      <c r="B17" s="1245">
        <v>2015</v>
      </c>
      <c r="G17" s="1246" t="s">
        <v>1433</v>
      </c>
      <c r="H17" s="1246" t="s">
        <v>1433</v>
      </c>
      <c r="I17" s="1246" t="s">
        <v>1487</v>
      </c>
      <c r="N17" s="1328" t="s">
        <v>1488</v>
      </c>
      <c r="X17" s="1257"/>
      <c r="AW17" s="1290" t="s">
        <v>1481</v>
      </c>
      <c r="AX17" s="1290" t="s">
        <v>1481</v>
      </c>
      <c r="AZ17" s="1290" t="s">
        <v>1489</v>
      </c>
      <c r="BB17" s="1290" t="s">
        <v>1490</v>
      </c>
      <c r="BC17" s="1290" t="s">
        <v>1342</v>
      </c>
      <c r="BE17" s="1290">
        <v>2015</v>
      </c>
      <c r="BH17" s="1238" t="s">
        <v>1429</v>
      </c>
      <c r="BJ17" s="1387" t="s">
        <v>1491</v>
      </c>
      <c r="BL17" s="1387" t="s">
        <v>1491</v>
      </c>
      <c r="BN17" s="1238" t="s">
        <v>1492</v>
      </c>
      <c r="BR17" s="1237" t="s">
        <v>1285</v>
      </c>
      <c r="BS17" s="1598"/>
      <c r="BU17" s="1237" t="s">
        <v>1493</v>
      </c>
      <c r="BV17" s="1240"/>
      <c r="BW17" s="1860"/>
      <c r="BX17" s="1862" t="s">
        <v>1494</v>
      </c>
      <c r="CA17" s="1237" t="s">
        <v>1495</v>
      </c>
      <c r="CD17" s="1237" t="s">
        <v>1496</v>
      </c>
    </row>
    <row customHeight="1" ht="21">
      <c r="A18" s="1244" t="s">
        <v>1497</v>
      </c>
      <c r="B18" s="1245">
        <v>2016</v>
      </c>
      <c r="E18" s="2175" t="s">
        <v>1498</v>
      </c>
      <c r="I18" s="1246" t="s">
        <v>1499</v>
      </c>
      <c r="N18" s="1328" t="s">
        <v>1500</v>
      </c>
      <c r="X18" s="1257"/>
      <c r="AW18" s="1290" t="s">
        <v>1487</v>
      </c>
      <c r="AX18" s="1290" t="s">
        <v>1487</v>
      </c>
      <c r="BB18" s="1290" t="s">
        <v>1501</v>
      </c>
      <c r="BC18" s="1290" t="s">
        <v>1342</v>
      </c>
      <c r="BE18" s="1290">
        <v>2016</v>
      </c>
      <c r="BH18" s="1238" t="s">
        <v>1443</v>
      </c>
      <c r="BJ18" s="1387" t="s">
        <v>1502</v>
      </c>
      <c r="BL18" s="1387" t="s">
        <v>1502</v>
      </c>
      <c r="BN18" s="1238" t="s">
        <v>1503</v>
      </c>
      <c r="BQ18" s="1602" t="s">
        <v>1315</v>
      </c>
      <c r="BR18" s="1329" t="s">
        <v>1316</v>
      </c>
      <c r="BS18" s="444"/>
      <c r="BT18" s="1602" t="s">
        <v>1504</v>
      </c>
      <c r="BU18" s="1329" t="s">
        <v>1505</v>
      </c>
      <c r="BV18" s="1240"/>
      <c r="BW18" s="1867" t="s">
        <v>1506</v>
      </c>
      <c r="BX18" s="1861" t="s">
        <v>1507</v>
      </c>
      <c r="BZ18" s="1602" t="s">
        <v>1508</v>
      </c>
      <c r="CA18" s="1329" t="s">
        <v>1509</v>
      </c>
      <c r="CC18" s="1602" t="s">
        <v>1510</v>
      </c>
      <c r="CD18" s="1329" t="s">
        <v>1511</v>
      </c>
    </row>
    <row customHeight="1" ht="21">
      <c r="A19" s="2040" t="s">
        <v>1512</v>
      </c>
      <c r="B19" s="1245">
        <v>2017</v>
      </c>
      <c r="E19" s="1244" t="s">
        <v>177</v>
      </c>
      <c r="I19" s="1246" t="s">
        <v>1513</v>
      </c>
      <c r="N19" s="1328" t="s">
        <v>1514</v>
      </c>
      <c r="X19" s="1257"/>
      <c r="AW19" s="1290" t="s">
        <v>1499</v>
      </c>
      <c r="AX19" s="1290" t="s">
        <v>1499</v>
      </c>
      <c r="AZ19" s="1237" t="s">
        <v>1515</v>
      </c>
      <c r="BB19" s="1290" t="s">
        <v>1516</v>
      </c>
      <c r="BC19" s="1290" t="s">
        <v>1342</v>
      </c>
      <c r="BE19" s="1290">
        <v>2017</v>
      </c>
      <c r="BH19" s="1238" t="s">
        <v>1517</v>
      </c>
      <c r="BJ19" s="1387" t="s">
        <v>1518</v>
      </c>
      <c r="BL19" s="1387" t="s">
        <v>1518</v>
      </c>
      <c r="BQ19" s="1451">
        <v>4190064</v>
      </c>
      <c r="BR19" s="1238" t="s">
        <v>1519</v>
      </c>
      <c r="BS19" s="1599"/>
      <c r="BT19" s="1451">
        <v>4189671</v>
      </c>
      <c r="BU19" s="1238" t="s">
        <v>1520</v>
      </c>
      <c r="BV19" s="1240"/>
      <c r="BW19" s="1865">
        <v>4189706</v>
      </c>
      <c r="BX19" s="1863" t="s">
        <v>1521</v>
      </c>
      <c r="BZ19" s="1451">
        <v>4189714</v>
      </c>
      <c r="CA19" s="1238" t="s">
        <v>1522</v>
      </c>
      <c r="CC19" s="1451">
        <v>4189708</v>
      </c>
      <c r="CD19" s="1238" t="s">
        <v>1523</v>
      </c>
    </row>
    <row customHeight="1" ht="21">
      <c r="A20" s="1244" t="s">
        <v>1524</v>
      </c>
      <c r="B20" s="1245">
        <v>2018</v>
      </c>
      <c r="E20" s="1244" t="s">
        <v>169</v>
      </c>
      <c r="I20" s="1246" t="s">
        <v>1525</v>
      </c>
      <c r="N20" s="1328" t="s">
        <v>1526</v>
      </c>
      <c r="AW20" s="1290" t="s">
        <v>1513</v>
      </c>
      <c r="AX20" s="1290" t="s">
        <v>1513</v>
      </c>
      <c r="AZ20" s="1290" t="s">
        <v>1527</v>
      </c>
      <c r="BB20" s="1290" t="s">
        <v>1528</v>
      </c>
      <c r="BC20" s="1290" t="s">
        <v>1458</v>
      </c>
      <c r="BE20" s="1290">
        <v>2018</v>
      </c>
      <c r="BH20" s="1238" t="s">
        <v>1454</v>
      </c>
      <c r="BJ20" s="1238" t="s">
        <v>1382</v>
      </c>
      <c r="BL20" s="1238" t="s">
        <v>1382</v>
      </c>
      <c r="BQ20" s="1451">
        <v>4190065</v>
      </c>
      <c r="BR20" s="1238" t="s">
        <v>1529</v>
      </c>
      <c r="BS20" s="1599"/>
      <c r="BT20" s="1451">
        <v>4189672</v>
      </c>
      <c r="BU20" s="1238" t="s">
        <v>1530</v>
      </c>
      <c r="BV20" s="1240"/>
      <c r="BW20" s="1865">
        <v>4189705</v>
      </c>
      <c r="BX20" s="1863" t="s">
        <v>1531</v>
      </c>
      <c r="BZ20" s="1451">
        <v>4189713</v>
      </c>
      <c r="CA20" s="1238" t="s">
        <v>1531</v>
      </c>
      <c r="CC20" s="1451">
        <v>4189709</v>
      </c>
      <c r="CD20" s="1238" t="s">
        <v>1532</v>
      </c>
    </row>
    <row customHeight="1" ht="21">
      <c r="A21" s="1244" t="s">
        <v>1533</v>
      </c>
      <c r="B21" s="1245">
        <v>2019</v>
      </c>
      <c r="I21" s="1246" t="s">
        <v>1534</v>
      </c>
      <c r="N21" s="1328" t="s">
        <v>1535</v>
      </c>
      <c r="AW21" s="1290" t="s">
        <v>1525</v>
      </c>
      <c r="AX21" s="1290" t="s">
        <v>1525</v>
      </c>
      <c r="AZ21" s="1290" t="s">
        <v>1536</v>
      </c>
      <c r="BB21" s="1290" t="s">
        <v>1537</v>
      </c>
      <c r="BC21" s="1290" t="s">
        <v>1342</v>
      </c>
      <c r="BE21" s="1290">
        <v>2019</v>
      </c>
      <c r="BH21" s="1238" t="s">
        <v>1461</v>
      </c>
      <c r="BJ21" s="1238" t="s">
        <v>1398</v>
      </c>
      <c r="BL21" s="1238" t="s">
        <v>1398</v>
      </c>
      <c r="BQ21" s="1451">
        <v>4190066</v>
      </c>
      <c r="BR21" s="1238" t="s">
        <v>1538</v>
      </c>
      <c r="BS21" s="1599"/>
      <c r="BT21" s="1451">
        <v>4189673</v>
      </c>
      <c r="BU21" s="1238" t="s">
        <v>1539</v>
      </c>
      <c r="BV21" s="1240"/>
      <c r="BW21" s="1865">
        <v>4189707</v>
      </c>
      <c r="BX21" s="1863" t="s">
        <v>1540</v>
      </c>
      <c r="BZ21" s="1451">
        <v>4189712</v>
      </c>
      <c r="CA21" s="1238" t="s">
        <v>1541</v>
      </c>
      <c r="CC21" s="1451">
        <v>4189710</v>
      </c>
      <c r="CD21" s="1238" t="s">
        <v>1542</v>
      </c>
    </row>
    <row customHeight="1" ht="21">
      <c r="A22" s="1244" t="s">
        <v>1543</v>
      </c>
      <c r="B22" s="1245">
        <v>2020</v>
      </c>
      <c r="N22" s="1328" t="s">
        <v>1544</v>
      </c>
      <c r="AW22" s="1290" t="s">
        <v>1534</v>
      </c>
      <c r="AX22" s="1290" t="s">
        <v>1534</v>
      </c>
      <c r="AZ22" s="1290" t="s">
        <v>1545</v>
      </c>
      <c r="BB22" s="1290" t="s">
        <v>1546</v>
      </c>
      <c r="BC22" s="1290" t="s">
        <v>1342</v>
      </c>
      <c r="BE22" s="1290">
        <v>2020</v>
      </c>
      <c r="BH22" s="1238" t="s">
        <v>1468</v>
      </c>
      <c r="BJ22" s="1238" t="s">
        <v>1413</v>
      </c>
      <c r="BL22" s="1238" t="s">
        <v>1413</v>
      </c>
      <c r="BQ22" s="1451">
        <v>4190067</v>
      </c>
      <c r="BR22" s="1238" t="s">
        <v>1547</v>
      </c>
      <c r="BS22" s="1599"/>
      <c r="BT22" s="1451">
        <v>4189674</v>
      </c>
      <c r="BU22" s="1238" t="s">
        <v>1548</v>
      </c>
      <c r="BV22" s="1240"/>
      <c r="BW22" s="1240"/>
      <c r="CC22" s="1451">
        <v>4189711</v>
      </c>
      <c r="CD22" s="1238" t="s">
        <v>305</v>
      </c>
    </row>
    <row customHeight="1" ht="21">
      <c r="A23" s="1244" t="s">
        <v>1549</v>
      </c>
      <c r="B23" s="1245">
        <v>2021</v>
      </c>
      <c r="AW23" s="1290" t="s">
        <v>1550</v>
      </c>
      <c r="AX23" s="1290" t="s">
        <v>1550</v>
      </c>
      <c r="AZ23" s="1290" t="s">
        <v>1551</v>
      </c>
      <c r="BB23" s="1290" t="s">
        <v>1552</v>
      </c>
      <c r="BC23" s="1290" t="s">
        <v>1254</v>
      </c>
      <c r="BE23" s="1290">
        <v>2021</v>
      </c>
      <c r="BH23" s="1238" t="s">
        <v>1476</v>
      </c>
      <c r="BJ23" s="1238" t="s">
        <v>1429</v>
      </c>
      <c r="BL23" s="1238" t="s">
        <v>1429</v>
      </c>
      <c r="BQ23" s="1451">
        <v>4190068</v>
      </c>
      <c r="BR23" s="1238" t="s">
        <v>1553</v>
      </c>
      <c r="BS23" s="1599"/>
      <c r="BT23" s="1451">
        <v>4189675</v>
      </c>
      <c r="BU23" s="1238" t="s">
        <v>1554</v>
      </c>
      <c r="BV23" s="1240"/>
      <c r="BW23" s="1240"/>
      <c r="CC23" s="1451">
        <v>5110778</v>
      </c>
      <c r="CD23" s="1238" t="s">
        <v>1555</v>
      </c>
    </row>
    <row customHeight="1" ht="21">
      <c r="A24" s="1244" t="s">
        <v>1556</v>
      </c>
      <c r="B24" s="1245">
        <v>2022</v>
      </c>
      <c r="AW24" s="1290" t="s">
        <v>1557</v>
      </c>
      <c r="AX24" s="1290" t="s">
        <v>1557</v>
      </c>
      <c r="AZ24" s="1290" t="s">
        <v>1558</v>
      </c>
      <c r="BB24" s="1290" t="s">
        <v>1559</v>
      </c>
      <c r="BC24" s="1290" t="s">
        <v>1560</v>
      </c>
      <c r="BE24" s="1290">
        <v>2022</v>
      </c>
      <c r="BH24" s="1238" t="s">
        <v>1485</v>
      </c>
      <c r="BJ24" s="1238" t="s">
        <v>1443</v>
      </c>
      <c r="BL24" s="1238" t="s">
        <v>1443</v>
      </c>
      <c r="BQ24" s="1451">
        <v>4190069</v>
      </c>
      <c r="BR24" s="1238" t="s">
        <v>1561</v>
      </c>
      <c r="BS24" s="1599"/>
      <c r="BT24" s="1451">
        <v>4189676</v>
      </c>
      <c r="BU24" s="1238" t="s">
        <v>1562</v>
      </c>
      <c r="BV24" s="1240"/>
      <c r="BW24" s="1240"/>
      <c r="CC24" s="1451">
        <v>25575374</v>
      </c>
      <c r="CD24" s="1238" t="s">
        <v>1563</v>
      </c>
    </row>
    <row customHeight="1" ht="11.25">
      <c r="A25" s="1244" t="s">
        <v>1564</v>
      </c>
      <c r="B25" s="1245">
        <v>2023</v>
      </c>
      <c r="AW25" s="1290" t="s">
        <v>1565</v>
      </c>
      <c r="AX25" s="1290" t="s">
        <v>1565</v>
      </c>
      <c r="AZ25" s="1290" t="s">
        <v>1566</v>
      </c>
      <c r="BB25" s="1290" t="s">
        <v>1567</v>
      </c>
      <c r="BC25" s="1290" t="s">
        <v>1560</v>
      </c>
      <c r="BE25" s="1290">
        <v>2023</v>
      </c>
      <c r="BH25" s="1238" t="s">
        <v>1492</v>
      </c>
      <c r="BJ25" s="1238" t="s">
        <v>1517</v>
      </c>
      <c r="BL25" s="1238" t="s">
        <v>1517</v>
      </c>
      <c r="BQ25" s="1451">
        <v>4190070</v>
      </c>
      <c r="BR25" s="1238" t="s">
        <v>1568</v>
      </c>
      <c r="BS25" s="1599"/>
      <c r="BT25" s="1451">
        <v>4189677</v>
      </c>
      <c r="BU25" s="1238" t="s">
        <v>1569</v>
      </c>
      <c r="BV25" s="1240"/>
      <c r="BW25" s="1240"/>
    </row>
    <row customHeight="1" ht="11.25">
      <c r="A26" s="1244" t="s">
        <v>1570</v>
      </c>
      <c r="B26" s="1245">
        <v>2024</v>
      </c>
      <c r="J26" s="1901" t="s">
        <v>1571</v>
      </c>
      <c r="AX26" s="1290" t="s">
        <v>1572</v>
      </c>
      <c r="AZ26" s="1290" t="s">
        <v>1436</v>
      </c>
      <c r="BB26" s="1290" t="s">
        <v>1573</v>
      </c>
      <c r="BC26" s="1290" t="s">
        <v>1560</v>
      </c>
      <c r="BE26" s="1290">
        <v>2024</v>
      </c>
      <c r="BH26" s="1238" t="s">
        <v>1503</v>
      </c>
      <c r="BJ26" s="1238" t="s">
        <v>1454</v>
      </c>
      <c r="BL26" s="1238" t="s">
        <v>1454</v>
      </c>
      <c r="BQ26" s="1451">
        <v>4190071</v>
      </c>
      <c r="BR26" s="1238" t="s">
        <v>1574</v>
      </c>
      <c r="BS26" s="1599"/>
      <c r="BV26" s="1240"/>
      <c r="BW26" s="1240"/>
    </row>
    <row customHeight="1" ht="11.25">
      <c r="A27" s="1244" t="s">
        <v>1575</v>
      </c>
      <c r="B27" s="1245">
        <v>2025</v>
      </c>
      <c r="J27" s="346" t="s">
        <v>437</v>
      </c>
      <c r="AX27" s="1290" t="s">
        <v>1576</v>
      </c>
      <c r="BB27" s="1290" t="s">
        <v>1577</v>
      </c>
      <c r="BC27" s="1290" t="s">
        <v>1560</v>
      </c>
      <c r="BE27" s="1290">
        <v>2025</v>
      </c>
      <c r="BH27" s="1240" t="s">
        <v>28</v>
      </c>
      <c r="BJ27" s="1238" t="s">
        <v>1461</v>
      </c>
      <c r="BL27" s="1238" t="s">
        <v>1461</v>
      </c>
      <c r="BN27" s="1240" t="s">
        <v>28</v>
      </c>
      <c r="BQ27" s="1451">
        <v>4190072</v>
      </c>
      <c r="BR27" s="1238" t="s">
        <v>1578</v>
      </c>
      <c r="BS27" s="1599"/>
      <c r="BV27" s="1240"/>
      <c r="BW27" s="1240"/>
    </row>
    <row customHeight="1" ht="11.25">
      <c r="A28" s="1244" t="s">
        <v>1579</v>
      </c>
      <c r="D28" s="1271"/>
      <c r="E28" s="1272"/>
      <c r="F28" s="1272"/>
      <c r="H28" s="1273" t="s">
        <v>1580</v>
      </c>
      <c r="AX28" s="1290" t="s">
        <v>1581</v>
      </c>
      <c r="AZ28" s="1237" t="s">
        <v>1582</v>
      </c>
      <c r="BB28" s="1290" t="s">
        <v>1583</v>
      </c>
      <c r="BC28" s="1290" t="s">
        <v>1584</v>
      </c>
      <c r="BE28" s="1290">
        <v>2026</v>
      </c>
      <c r="BH28" s="1240" t="s">
        <v>28</v>
      </c>
      <c r="BJ28" s="1238" t="s">
        <v>1468</v>
      </c>
      <c r="BL28" s="1238" t="s">
        <v>1468</v>
      </c>
      <c r="BN28" s="1240" t="s">
        <v>28</v>
      </c>
      <c r="BQ28" s="1451">
        <v>4190073</v>
      </c>
      <c r="BR28" s="1238" t="s">
        <v>1585</v>
      </c>
      <c r="BS28" s="1599"/>
      <c r="BV28" s="1240"/>
      <c r="BW28" s="1240"/>
    </row>
    <row customHeight="1" ht="11.25">
      <c r="A29" s="1244" t="s">
        <v>1586</v>
      </c>
      <c r="D29" s="1274" t="s">
        <v>1587</v>
      </c>
      <c r="E29" s="1275" t="str">
        <f>IF(TEMPLATE_GROUP="","",INDEX(StartDateList,MATCH(TEMPLATE_GROUP,CodeTemplateList,0),1))</f>
        <v>01.01.2025</v>
      </c>
      <c r="F29" s="1275" t="str">
        <f>IF(TEMPLATE_GROUP="","",INDEX(EndDateList,MATCH(TEMPLATE_GROUP,CodeTemplateList,0),1))</f>
        <v>31.12.2025</v>
      </c>
      <c r="H29" s="1276" t="s">
        <v>1588</v>
      </c>
      <c r="AX29" s="1290" t="s">
        <v>102</v>
      </c>
      <c r="AZ29" s="1290" t="s">
        <v>1240</v>
      </c>
      <c r="BB29" s="1290" t="s">
        <v>1436</v>
      </c>
      <c r="BC29" s="1261"/>
      <c r="BE29" s="1290">
        <v>2027</v>
      </c>
      <c r="BJ29" s="1238" t="s">
        <v>1476</v>
      </c>
      <c r="BL29" s="1238" t="s">
        <v>1476</v>
      </c>
    </row>
    <row customHeight="1" ht="11.25">
      <c r="A30" s="1244" t="s">
        <v>1589</v>
      </c>
      <c r="D30" s="1277"/>
      <c r="E30" s="1278"/>
      <c r="F30" s="1278"/>
      <c r="AX30" s="1290" t="s">
        <v>1590</v>
      </c>
      <c r="AZ30" s="1290" t="s">
        <v>1264</v>
      </c>
      <c r="BE30" s="1290">
        <v>2028</v>
      </c>
      <c r="BJ30" s="1238" t="s">
        <v>1591</v>
      </c>
      <c r="BL30" s="1238" t="s">
        <v>1591</v>
      </c>
    </row>
    <row customHeight="1" ht="12.75">
      <c r="A31" s="1244" t="s">
        <v>1592</v>
      </c>
      <c r="D31" s="1271"/>
      <c r="E31" s="1272"/>
      <c r="F31" s="1272"/>
      <c r="H31" s="1279"/>
      <c r="AX31" s="1290" t="s">
        <v>1593</v>
      </c>
      <c r="AZ31" s="1290" t="s">
        <v>1594</v>
      </c>
      <c r="BE31" s="1290">
        <v>2029</v>
      </c>
      <c r="BJ31" s="1238" t="s">
        <v>1595</v>
      </c>
      <c r="BL31" s="1238" t="s">
        <v>1595</v>
      </c>
    </row>
    <row customHeight="1" ht="11.25">
      <c r="A32" s="1244" t="s">
        <v>1596</v>
      </c>
      <c r="D32" s="1274" t="s">
        <v>1597</v>
      </c>
      <c r="E32" s="1275" t="str">
        <f>IF(TEMPLATE_GROUP="","",INDEX(StartDateList,MATCH(TEMPLATE_GROUP,CodeTemplateList,0),1))</f>
        <v>01.01.2025</v>
      </c>
      <c r="F32" s="1275" t="str">
        <f>IF(TEMPLATE_GROUP="","",INDEX(EndDateList,MATCH(TEMPLATE_GROUP,CodeTemplateList,0),1))</f>
        <v>31.12.2025</v>
      </c>
      <c r="H32" s="1280" t="s">
        <v>1598</v>
      </c>
      <c r="O32" s="1244" t="s">
        <v>460</v>
      </c>
      <c r="AX32" s="1290" t="s">
        <v>1599</v>
      </c>
      <c r="AZ32" s="1290" t="s">
        <v>459</v>
      </c>
      <c r="BE32" s="1290">
        <v>2030</v>
      </c>
      <c r="BJ32" s="1238" t="s">
        <v>1485</v>
      </c>
      <c r="BL32" s="1238" t="s">
        <v>1485</v>
      </c>
    </row>
    <row customHeight="1" ht="11.25">
      <c r="A33" s="1244" t="s">
        <v>1600</v>
      </c>
      <c r="O33" s="1244" t="s">
        <v>1263</v>
      </c>
      <c r="AX33" s="1290" t="s">
        <v>1601</v>
      </c>
      <c r="AZ33" s="1290" t="s">
        <v>462</v>
      </c>
      <c r="BE33" s="1290">
        <v>2031</v>
      </c>
      <c r="BJ33" s="1238" t="s">
        <v>1492</v>
      </c>
      <c r="BL33" s="1238" t="s">
        <v>1492</v>
      </c>
    </row>
    <row customHeight="1" ht="11.25">
      <c r="A34" s="1244" t="s">
        <v>1602</v>
      </c>
      <c r="O34" s="1244" t="s">
        <v>1296</v>
      </c>
      <c r="AX34" s="1290" t="s">
        <v>1603</v>
      </c>
      <c r="BE34" s="1290">
        <v>2032</v>
      </c>
      <c r="BJ34" s="1238" t="s">
        <v>1503</v>
      </c>
      <c r="BL34" s="1238" t="s">
        <v>1503</v>
      </c>
    </row>
    <row customHeight="1" ht="11.25">
      <c r="A35" s="1244" t="s">
        <v>1604</v>
      </c>
      <c r="O35" s="1244" t="s">
        <v>1329</v>
      </c>
      <c r="AX35" s="1290" t="s">
        <v>1605</v>
      </c>
      <c r="AZ35" s="1237" t="s">
        <v>1606</v>
      </c>
      <c r="BE35" s="1290">
        <v>2033</v>
      </c>
      <c r="BL35" s="1238" t="s">
        <v>1607</v>
      </c>
    </row>
    <row customHeight="1" ht="11.25">
      <c r="A36" s="2040" t="s">
        <v>1608</v>
      </c>
      <c r="D36" s="1281" t="s">
        <v>1609</v>
      </c>
      <c r="E36" s="1282" t="s">
        <v>822</v>
      </c>
      <c r="F36" s="1283" t="str">
        <f>INDEX(E37:E41,MATCH(TEMPLATE_SPHERE,F37:F41,0))</f>
        <v>теплоснабжения</v>
      </c>
      <c r="G36" s="1283" t="str">
        <f>INDEX(G37:G41,MATCH(TEMPLATE_SPHERE,F37:F41,0))</f>
        <v>теплоснабжение</v>
      </c>
      <c r="O36" s="1244" t="s">
        <v>1353</v>
      </c>
      <c r="AX36" s="1290" t="s">
        <v>1610</v>
      </c>
      <c r="AZ36" s="1290" t="s">
        <v>462</v>
      </c>
      <c r="BE36" s="1290">
        <v>2034</v>
      </c>
      <c r="BL36" s="1238" t="s">
        <v>1611</v>
      </c>
    </row>
    <row customHeight="1" ht="11.25">
      <c r="A37" s="1244" t="s">
        <v>1612</v>
      </c>
      <c r="E37" s="577" t="s">
        <v>1613</v>
      </c>
      <c r="F37" s="1284" t="s">
        <v>822</v>
      </c>
      <c r="G37" s="577" t="s">
        <v>1614</v>
      </c>
      <c r="O37" s="1244" t="s">
        <v>1372</v>
      </c>
      <c r="AX37" s="1290" t="s">
        <v>1615</v>
      </c>
      <c r="AZ37" s="1290" t="s">
        <v>458</v>
      </c>
      <c r="BE37" s="1290">
        <v>2035</v>
      </c>
    </row>
    <row customHeight="1" ht="11.25">
      <c r="A38" s="1244" t="s">
        <v>16</v>
      </c>
      <c r="E38" s="577" t="s">
        <v>1616</v>
      </c>
      <c r="F38" s="1285" t="s">
        <v>868</v>
      </c>
      <c r="G38" s="577" t="s">
        <v>1617</v>
      </c>
      <c r="O38" s="1244" t="s">
        <v>1389</v>
      </c>
      <c r="AX38" s="1290" t="s">
        <v>1618</v>
      </c>
      <c r="AZ38" s="1290" t="s">
        <v>1297</v>
      </c>
      <c r="BE38" s="1290">
        <v>2036</v>
      </c>
      <c r="BH38" s="1237" t="s">
        <v>1619</v>
      </c>
      <c r="BJ38" s="1237" t="s">
        <v>1620</v>
      </c>
      <c r="BL38" s="1237" t="s">
        <v>1621</v>
      </c>
      <c r="BN38" s="1237" t="s">
        <v>1622</v>
      </c>
    </row>
    <row customHeight="1" ht="11.25">
      <c r="A39" s="1244" t="s">
        <v>1623</v>
      </c>
      <c r="E39" s="577" t="s">
        <v>1624</v>
      </c>
      <c r="F39" s="1285" t="s">
        <v>921</v>
      </c>
      <c r="G39" s="577" t="s">
        <v>1625</v>
      </c>
      <c r="O39" s="1244" t="s">
        <v>1405</v>
      </c>
      <c r="AX39" s="1290" t="s">
        <v>1626</v>
      </c>
      <c r="AZ39" s="1290" t="s">
        <v>1330</v>
      </c>
      <c r="BE39" s="1290">
        <v>2037</v>
      </c>
      <c r="BH39" s="1238" t="s">
        <v>1627</v>
      </c>
      <c r="BJ39" s="1387" t="s">
        <v>1627</v>
      </c>
      <c r="BL39" s="1387" t="s">
        <v>1627</v>
      </c>
      <c r="BN39" s="1238" t="s">
        <v>1628</v>
      </c>
    </row>
    <row customHeight="1" ht="11.25">
      <c r="A40" s="1244" t="s">
        <v>1629</v>
      </c>
      <c r="E40" s="577" t="s">
        <v>1630</v>
      </c>
      <c r="F40" s="1285" t="s">
        <v>908</v>
      </c>
      <c r="G40" s="577" t="s">
        <v>1631</v>
      </c>
      <c r="O40" s="1244" t="s">
        <v>1420</v>
      </c>
      <c r="AX40" s="1290" t="s">
        <v>1632</v>
      </c>
      <c r="BE40" s="1290">
        <v>2038</v>
      </c>
      <c r="BH40" s="1238" t="s">
        <v>1633</v>
      </c>
      <c r="BJ40" s="1387" t="s">
        <v>1041</v>
      </c>
      <c r="BL40" s="1387" t="s">
        <v>1041</v>
      </c>
      <c r="BN40" s="1238" t="s">
        <v>1075</v>
      </c>
    </row>
    <row customHeight="1" ht="11.25">
      <c r="A41" s="1244" t="s">
        <v>1634</v>
      </c>
      <c r="E41" s="577" t="s">
        <v>1635</v>
      </c>
      <c r="F41" s="1285" t="s">
        <v>1636</v>
      </c>
      <c r="G41" s="577" t="s">
        <v>1635</v>
      </c>
      <c r="O41" s="1244" t="s">
        <v>1436</v>
      </c>
      <c r="AX41" s="1290" t="s">
        <v>1637</v>
      </c>
      <c r="AZ41" s="1237" t="s">
        <v>1638</v>
      </c>
      <c r="BE41" s="1290">
        <v>2039</v>
      </c>
      <c r="BH41" s="1238" t="s">
        <v>1639</v>
      </c>
      <c r="BJ41" s="1387" t="s">
        <v>1037</v>
      </c>
      <c r="BL41" s="1387" t="s">
        <v>1037</v>
      </c>
      <c r="BN41" s="1238" t="s">
        <v>1062</v>
      </c>
    </row>
    <row customHeight="1" ht="11.25">
      <c r="A42" s="1244" t="s">
        <v>1640</v>
      </c>
      <c r="AX42" s="1290" t="s">
        <v>1641</v>
      </c>
      <c r="AZ42" s="1290" t="s">
        <v>460</v>
      </c>
      <c r="BE42" s="1290">
        <v>2040</v>
      </c>
      <c r="BH42" s="1238" t="s">
        <v>1059</v>
      </c>
      <c r="BJ42" s="1387" t="s">
        <v>1039</v>
      </c>
      <c r="BL42" s="1387" t="s">
        <v>1039</v>
      </c>
      <c r="BN42" s="1238" t="s">
        <v>1642</v>
      </c>
    </row>
    <row customHeight="1" ht="11.25">
      <c r="A43" s="1244" t="s">
        <v>1643</v>
      </c>
      <c r="AX43" s="1290" t="s">
        <v>1644</v>
      </c>
      <c r="AZ43" s="1290" t="s">
        <v>1263</v>
      </c>
      <c r="BE43" s="1290">
        <v>2041</v>
      </c>
      <c r="BH43" s="1238" t="s">
        <v>1645</v>
      </c>
      <c r="BJ43" s="1387" t="s">
        <v>1639</v>
      </c>
      <c r="BL43" s="1387" t="s">
        <v>1639</v>
      </c>
      <c r="BN43" s="1238" t="s">
        <v>1646</v>
      </c>
    </row>
    <row customHeight="1" ht="11.25">
      <c r="A44" s="1244" t="s">
        <v>1647</v>
      </c>
      <c r="G44" s="1264">
        <f>YEAR(TODAY())</f>
        <v>2025</v>
      </c>
      <c r="I44" s="969" t="s">
        <v>1648</v>
      </c>
      <c r="J44" s="1259" t="s">
        <v>1649</v>
      </c>
      <c r="K44" s="1259" t="s">
        <v>1650</v>
      </c>
      <c r="AX44" s="1290" t="s">
        <v>1651</v>
      </c>
      <c r="AZ44" s="1290" t="s">
        <v>1296</v>
      </c>
      <c r="BE44" s="1290">
        <v>2042</v>
      </c>
      <c r="BH44" s="1238" t="s">
        <v>1652</v>
      </c>
      <c r="BJ44" s="1387" t="s">
        <v>1059</v>
      </c>
      <c r="BL44" s="1387" t="s">
        <v>1059</v>
      </c>
      <c r="BN44" s="1238" t="s">
        <v>1653</v>
      </c>
    </row>
    <row customHeight="1" ht="11.25">
      <c r="A45" s="1244" t="s">
        <v>1654</v>
      </c>
      <c r="D45" s="1281" t="s">
        <v>1655</v>
      </c>
      <c r="E45" s="1282" t="s">
        <v>1656</v>
      </c>
      <c r="F45" s="967" t="s">
        <v>1657</v>
      </c>
      <c r="G45" s="966" t="s">
        <v>1658</v>
      </c>
      <c r="H45" s="969" t="s">
        <v>1659</v>
      </c>
      <c r="I45" s="1911">
        <f>INDEX(PeriodIsEmptyList,MATCH(TEMPLATE_GROUP,CodeTemplateList,0),1)</f>
        <v>0</v>
      </c>
      <c r="J45" s="1914" t="str">
        <f>INDEX(NameTemplatesInTitleList,MATCH(TEMPLATE_GROUP,CodeTemplateList,0),1)</f>
        <v>Показатели, подлежащие раскрытию в сфере теплоснабжения (цены и тарифы)</v>
      </c>
      <c r="K45" s="191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290" t="s">
        <v>1660</v>
      </c>
      <c r="AZ45" s="1290" t="s">
        <v>1329</v>
      </c>
      <c r="BE45" s="1290">
        <v>2043</v>
      </c>
      <c r="BH45" s="1238" t="s">
        <v>1661</v>
      </c>
      <c r="BJ45" s="1387" t="s">
        <v>1053</v>
      </c>
      <c r="BL45" s="1387" t="s">
        <v>1053</v>
      </c>
      <c r="BN45" s="1238" t="s">
        <v>1662</v>
      </c>
    </row>
    <row customHeight="1" ht="11.25">
      <c r="A46" s="1244" t="s">
        <v>1663</v>
      </c>
      <c r="E46" s="577" t="s">
        <v>26</v>
      </c>
      <c r="F46" s="1284" t="s">
        <v>1664</v>
      </c>
      <c r="G46" s="1286" t="str">
        <f>_xlfn.IFERROR(IF(TITLE_DATE_FIL="","01.01."&amp;CURRENT_YEAR,"01.01."&amp;YEAR(TITLE_DATE_FIL)),"01.01."&amp;CURRENT_YEAR)</f>
        <v>01.01.2025</v>
      </c>
      <c r="H46" s="1286" t="str">
        <f>_xlfn.IFERROR(IF(TITLE_DATE_FIL="","31.12."&amp;CURRENT_YEAR,"31.12."&amp;YEAR(TITLE_DATE_FIL)),"31.12."&amp;CURRENT_YEAR)</f>
        <v>31.12.2025</v>
      </c>
      <c r="I46" s="1912">
        <f>IF(TITLE_DATE_FIL="",TRUE,FALSE)</f>
        <v>1</v>
      </c>
      <c r="J46" s="1915" t="str">
        <f>"Общая информация о регулируемой организации ("&amp;TEMPLATE_SPHERE_RUS&amp;")"</f>
        <v>Общая информация о регулируемой организации (теплоснабжения)</v>
      </c>
      <c r="K46" s="1916"/>
      <c r="AX46" s="1290" t="s">
        <v>1665</v>
      </c>
      <c r="AZ46" s="1290" t="s">
        <v>1353</v>
      </c>
      <c r="BE46" s="1290">
        <v>2044</v>
      </c>
      <c r="BH46" s="1238" t="s">
        <v>1062</v>
      </c>
      <c r="BJ46" s="1387" t="s">
        <v>1043</v>
      </c>
      <c r="BL46" s="1387" t="s">
        <v>1043</v>
      </c>
      <c r="BN46" s="1238" t="s">
        <v>1666</v>
      </c>
    </row>
    <row customHeight="1" ht="11.25">
      <c r="A47" s="1244" t="s">
        <v>1667</v>
      </c>
      <c r="E47" s="577" t="s">
        <v>33</v>
      </c>
      <c r="F47" s="1285" t="s">
        <v>1668</v>
      </c>
      <c r="G47" s="1286" t="str">
        <f>_xlfn.IFERROR(IF(f_year="","01.01."&amp;CURRENT_YEAR,IF(LEN(f_quart)=0,"01.01."&amp;f_year,IF(f_quart="I квартал","01.01."&amp;f_year,IF(f_quart="II квартал","01.04."&amp;f_year,(IF(f_quart="III квартал","01.07."&amp;f_year,"01.10."&amp;f_year)))))),"01.01."&amp;CURRENT_YEAR)</f>
        <v>01.01.2025</v>
      </c>
      <c r="H47" s="1286" t="str">
        <f>_xlfn.IFERROR(IF(f_year="","31.12."&amp;CURRENT_YEAR,IF(LEN(f_quart)=0,"31.12."&amp;f_year,IF(f_quart="I квартал","31.03."&amp;f_year,IF(f_quart="II квартал","30.06."&amp;f_year,(IF(f_quart="III квартал","30.09."&amp;f_year,"31.12."&amp;f_year)))))),"31.12."&amp;CURRENT_YEAR)</f>
        <v>31.12.2025</v>
      </c>
      <c r="I47" s="1913">
        <f>IF(OR(f_year="",f_quart=""),TRUE,FALSE)</f>
        <v>1</v>
      </c>
      <c r="J47" s="191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916"/>
      <c r="AX47" s="1290" t="s">
        <v>1669</v>
      </c>
      <c r="AZ47" s="1290" t="s">
        <v>1372</v>
      </c>
      <c r="BE47" s="1290">
        <v>2045</v>
      </c>
      <c r="BH47" s="1238" t="s">
        <v>1642</v>
      </c>
      <c r="BJ47" s="1387" t="s">
        <v>1045</v>
      </c>
      <c r="BL47" s="1387" t="s">
        <v>1045</v>
      </c>
      <c r="BN47" s="1238" t="s">
        <v>1670</v>
      </c>
    </row>
    <row customHeight="1" ht="11.25">
      <c r="A48" s="1244" t="s">
        <v>1671</v>
      </c>
      <c r="E48" s="577" t="s">
        <v>1672</v>
      </c>
      <c r="F48" s="1285" t="s">
        <v>1673</v>
      </c>
      <c r="G48" s="1286" t="str">
        <f>_xlfn.IFERROR(IF(f_year="","01.01."&amp;CURRENT_YEAR,"01.01."&amp;f_year),"01.01."&amp;CURRENT_YEAR)</f>
        <v>01.01.2025</v>
      </c>
      <c r="H48" s="1286" t="str">
        <f>_xlfn.IFERROR(IF(f_year="","31.12."&amp;CURRENT_YEAR,"31.12."&amp;f_year),"31.12."&amp;CURRENT_YEAR)</f>
        <v>31.12.2025</v>
      </c>
      <c r="I48" s="1912">
        <f>IF(f_year="",TRUE,FALSE)</f>
        <v>1</v>
      </c>
      <c r="J48" s="1915" t="s">
        <v>1674</v>
      </c>
      <c r="K48" s="1916"/>
      <c r="AX48" s="1290" t="s">
        <v>1675</v>
      </c>
      <c r="AZ48" s="1290" t="s">
        <v>1389</v>
      </c>
      <c r="BE48" s="1290">
        <v>2046</v>
      </c>
      <c r="BH48" s="1238" t="s">
        <v>1646</v>
      </c>
      <c r="BJ48" s="1387" t="s">
        <v>1047</v>
      </c>
      <c r="BL48" s="1387" t="s">
        <v>1047</v>
      </c>
      <c r="BN48" s="1238" t="s">
        <v>1676</v>
      </c>
    </row>
    <row customHeight="1" ht="11.25">
      <c r="A49" s="1244" t="s">
        <v>1677</v>
      </c>
      <c r="E49" s="577" t="s">
        <v>1678</v>
      </c>
      <c r="F49" s="1285" t="s">
        <v>1679</v>
      </c>
      <c r="G49" s="1286" t="str">
        <f>_xlfn.IFERROR(IF(f_year="","01.01."&amp;CURRENT_YEAR,"01.01."&amp;f_year),"01.01."&amp;CURRENT_YEAR)</f>
        <v>01.01.2025</v>
      </c>
      <c r="H49" s="1286" t="str">
        <f>_xlfn.IFERROR(IF(f_year="","31.12."&amp;CURRENT_YEAR,"31.12."&amp;f_year),"31.12."&amp;CURRENT_YEAR)</f>
        <v>31.12.2025</v>
      </c>
      <c r="I49" s="1912">
        <f>IF(f_year="",TRUE,FALSE)</f>
        <v>1</v>
      </c>
      <c r="J49" s="191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916"/>
      <c r="AX49" s="1290" t="s">
        <v>1680</v>
      </c>
      <c r="AZ49" s="1290" t="s">
        <v>1405</v>
      </c>
      <c r="BE49" s="1290">
        <v>2047</v>
      </c>
      <c r="BH49" s="1238" t="s">
        <v>1063</v>
      </c>
      <c r="BJ49" s="1387" t="s">
        <v>1049</v>
      </c>
      <c r="BL49" s="1387" t="s">
        <v>1049</v>
      </c>
    </row>
    <row customHeight="1" ht="11.25">
      <c r="A50" s="1244" t="s">
        <v>1681</v>
      </c>
      <c r="E50" s="577" t="s">
        <v>1682</v>
      </c>
      <c r="F50" s="1285" t="s">
        <v>1033</v>
      </c>
      <c r="G50" s="1286" t="str">
        <f>_xlfn.IFERROR(IF(f_year="","01.01."&amp;CURRENT_YEAR,"01.01."&amp;f_year),"01.01."&amp;CURRENT_YEAR)</f>
        <v>01.01.2025</v>
      </c>
      <c r="H50" s="1286" t="str">
        <f>_xlfn.IFERROR(IF(f_year="","31.12."&amp;CURRENT_YEAR,"31.12."&amp;f_year),"31.12."&amp;CURRENT_YEAR)</f>
        <v>31.12.2025</v>
      </c>
      <c r="I50" s="1912">
        <f>IF(f_year="",TRUE,FALSE)</f>
        <v>1</v>
      </c>
      <c r="J50" s="191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916"/>
      <c r="AX50" s="1290" t="s">
        <v>1683</v>
      </c>
      <c r="AZ50" s="1290" t="s">
        <v>1420</v>
      </c>
      <c r="BE50" s="1290">
        <v>2048</v>
      </c>
      <c r="BH50" s="1238" t="s">
        <v>1653</v>
      </c>
      <c r="BJ50" s="1387" t="s">
        <v>1051</v>
      </c>
      <c r="BL50" s="1387" t="s">
        <v>1051</v>
      </c>
    </row>
    <row customHeight="1" ht="11.25">
      <c r="A51" s="1244" t="s">
        <v>1684</v>
      </c>
      <c r="E51" s="577" t="s">
        <v>1685</v>
      </c>
      <c r="F51" s="1285" t="s">
        <v>1686</v>
      </c>
      <c r="G51" s="1286" t="str">
        <f>_xlfn.IFERROR(IF(TITLE_PERIOD_START="","01.01."&amp;CURRENT_YEAR,"01.01."&amp;YEAR(TITLE_PERIOD_START)),"01.01."&amp;CURRENT_YEAR)</f>
        <v>01.01.2025</v>
      </c>
      <c r="H51" s="1286" t="str">
        <f>_xlfn.IFERROR(IF(TITLE_PERIOD_END="","31.12."&amp;CURRENT_YEAR,"31.12."&amp;YEAR(TITLE_PERIOD_END)),"31.12."&amp;CURRENT_YEAR)</f>
        <v>31.12.2025</v>
      </c>
      <c r="I51" s="1913">
        <f>IF(OR(TITLE_PERIOD_START="",TITLE_PERIOD_END=""),TRUE,FALSE)</f>
        <v>0</v>
      </c>
      <c r="J51" s="191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916"/>
      <c r="AX51" s="1290" t="s">
        <v>1687</v>
      </c>
      <c r="AZ51" s="1290" t="s">
        <v>1436</v>
      </c>
      <c r="BE51" s="1290">
        <v>2049</v>
      </c>
      <c r="BH51" s="1238" t="s">
        <v>1662</v>
      </c>
      <c r="BJ51" s="1387" t="s">
        <v>1688</v>
      </c>
      <c r="BL51" s="1387" t="s">
        <v>1688</v>
      </c>
    </row>
    <row customHeight="1" ht="11.25">
      <c r="A52" s="1244" t="s">
        <v>1689</v>
      </c>
      <c r="E52" s="577" t="s">
        <v>1690</v>
      </c>
      <c r="F52" s="1285" t="s">
        <v>1656</v>
      </c>
      <c r="G52" s="1286" t="str">
        <f>_xlfn.IFERROR(IF(TITLE_PERIOD_START="","01.01."&amp;CURRENT_YEAR,"01.01."&amp;YEAR(TITLE_PERIOD_START)),"01.01."&amp;CURRENT_YEAR)</f>
        <v>01.01.2025</v>
      </c>
      <c r="H52" s="1286" t="str">
        <f>_xlfn.IFERROR(IF(TITLE_PERIOD_END="","31.12."&amp;CURRENT_YEAR,"31.12."&amp;YEAR(TITLE_PERIOD_END)),"31.12."&amp;CURRENT_YEAR)</f>
        <v>31.12.2025</v>
      </c>
      <c r="I52" s="1913">
        <f>IF(OR(TITLE_PERIOD_START="",TITLE_PERIOD_END=""),TRUE,FALSE)</f>
        <v>0</v>
      </c>
      <c r="J52" s="1915" t="str">
        <f>"Показатели, подлежащие раскрытию в сфере "&amp;TEMPLATE_SPHERE_RUS&amp;" (цены и тарифы)"</f>
        <v>Показатели, подлежащие раскрытию в сфере теплоснабжения (цены и тарифы)</v>
      </c>
      <c r="K52" s="1916"/>
      <c r="AX52" s="1290" t="s">
        <v>1691</v>
      </c>
      <c r="AZ52" s="1290" t="s">
        <v>462</v>
      </c>
      <c r="BE52" s="1290">
        <v>2050</v>
      </c>
      <c r="BH52" s="1238" t="s">
        <v>1666</v>
      </c>
      <c r="BJ52" s="1387" t="s">
        <v>1062</v>
      </c>
      <c r="BL52" s="1387" t="s">
        <v>1062</v>
      </c>
    </row>
    <row customHeight="1" ht="11.25">
      <c r="A53" s="1244" t="s">
        <v>1692</v>
      </c>
      <c r="E53" s="577" t="s">
        <v>1693</v>
      </c>
      <c r="F53" s="1285" t="s">
        <v>1693</v>
      </c>
      <c r="G53" s="1286" t="str">
        <f>_xlfn.IFERROR(IF(f_year="","01.01."&amp;CURRENT_YEAR,"01.01."&amp;f_year),"01.01."&amp;CURRENT_YEAR)</f>
        <v>01.01.2025</v>
      </c>
      <c r="H53" s="1286" t="str">
        <f>_xlfn.IFERROR(IF(f_year="","31.12."&amp;CURRENT_YEAR,"31.12."&amp;f_year),"31.12."&amp;CURRENT_YEAR)</f>
        <v>31.12.2025</v>
      </c>
      <c r="I53" s="1912">
        <f>IF(AND(f_year="",TITLE_DATE_FIL=""),TRUE,FALSE)</f>
        <v>1</v>
      </c>
      <c r="J53" s="1915" t="s">
        <v>1694</v>
      </c>
      <c r="K53" s="1916"/>
      <c r="AX53" s="1290" t="s">
        <v>1695</v>
      </c>
      <c r="BE53" s="1290">
        <v>2051</v>
      </c>
      <c r="BH53" s="1238" t="s">
        <v>1670</v>
      </c>
      <c r="BJ53" s="1387" t="s">
        <v>1642</v>
      </c>
      <c r="BL53" s="1387" t="s">
        <v>1642</v>
      </c>
    </row>
    <row customHeight="1" ht="11.25">
      <c r="A54" s="1244" t="s">
        <v>1696</v>
      </c>
      <c r="AX54" s="1290" t="s">
        <v>1697</v>
      </c>
      <c r="AZ54" s="1237" t="s">
        <v>1698</v>
      </c>
      <c r="BE54" s="1290">
        <v>2052</v>
      </c>
      <c r="BH54" s="1238" t="s">
        <v>1676</v>
      </c>
      <c r="BJ54" s="1387" t="s">
        <v>1646</v>
      </c>
      <c r="BL54" s="1387" t="s">
        <v>1646</v>
      </c>
    </row>
    <row customHeight="1" ht="11.25">
      <c r="A55" s="1244" t="s">
        <v>1699</v>
      </c>
      <c r="AX55" s="1290" t="s">
        <v>1700</v>
      </c>
      <c r="AZ55" s="1290" t="s">
        <v>1241</v>
      </c>
      <c r="BE55" s="1290">
        <v>2053</v>
      </c>
      <c r="BH55" s="1240" t="s">
        <v>28</v>
      </c>
      <c r="BJ55" s="1387" t="s">
        <v>1063</v>
      </c>
      <c r="BL55" s="1387" t="s">
        <v>1063</v>
      </c>
    </row>
    <row customHeight="1" ht="11.25">
      <c r="A56" s="1244" t="s">
        <v>1701</v>
      </c>
      <c r="D56" s="1288" t="s">
        <v>1702</v>
      </c>
      <c r="E56" s="1265" t="s">
        <v>114</v>
      </c>
      <c r="F56" s="1244" t="s">
        <v>1703</v>
      </c>
      <c r="AX56" s="1290" t="s">
        <v>1704</v>
      </c>
      <c r="AZ56" s="1290" t="s">
        <v>1265</v>
      </c>
      <c r="BE56" s="1290">
        <v>2054</v>
      </c>
      <c r="BH56" s="1240" t="s">
        <v>28</v>
      </c>
      <c r="BJ56" s="1387" t="s">
        <v>1653</v>
      </c>
      <c r="BL56" s="1387" t="s">
        <v>1653</v>
      </c>
    </row>
    <row customHeight="1" ht="11.25">
      <c r="A57" s="1244" t="s">
        <v>1705</v>
      </c>
      <c r="D57" s="1288" t="s">
        <v>1706</v>
      </c>
      <c r="E57" s="1265" t="s">
        <v>114</v>
      </c>
      <c r="F57" s="1244" t="s">
        <v>1703</v>
      </c>
      <c r="AX57" s="1290" t="s">
        <v>1707</v>
      </c>
      <c r="AZ57" s="1290" t="s">
        <v>1299</v>
      </c>
      <c r="BE57" s="1290">
        <v>2055</v>
      </c>
      <c r="BJ57" s="1387" t="s">
        <v>1662</v>
      </c>
      <c r="BL57" s="1387" t="s">
        <v>1662</v>
      </c>
    </row>
    <row customHeight="1" ht="11.25">
      <c r="A58" s="1244" t="s">
        <v>1708</v>
      </c>
      <c r="D58" s="1288" t="s">
        <v>1709</v>
      </c>
      <c r="E58" s="1265" t="s">
        <v>114</v>
      </c>
      <c r="F58" s="1244" t="s">
        <v>1703</v>
      </c>
      <c r="AX58" s="1290" t="s">
        <v>1710</v>
      </c>
      <c r="BE58" s="1290">
        <v>2056</v>
      </c>
      <c r="BJ58" s="1387" t="s">
        <v>1666</v>
      </c>
      <c r="BL58" s="1387" t="s">
        <v>1666</v>
      </c>
    </row>
    <row customHeight="1" ht="11.25">
      <c r="A59" s="1244" t="s">
        <v>1711</v>
      </c>
      <c r="D59" s="1288" t="s">
        <v>134</v>
      </c>
      <c r="E59" s="1265" t="s">
        <v>1599</v>
      </c>
      <c r="F59" s="1244" t="s">
        <v>1712</v>
      </c>
      <c r="AX59" s="1290" t="s">
        <v>1713</v>
      </c>
      <c r="AZ59" s="1237" t="s">
        <v>1714</v>
      </c>
      <c r="BE59" s="1290">
        <v>2057</v>
      </c>
      <c r="BJ59" s="1387" t="s">
        <v>1670</v>
      </c>
      <c r="BL59" s="1387" t="s">
        <v>1670</v>
      </c>
    </row>
    <row customHeight="1" ht="11.25">
      <c r="A60" s="1244" t="s">
        <v>1715</v>
      </c>
      <c r="D60" s="1288" t="s">
        <v>1716</v>
      </c>
      <c r="E60" s="1265" t="s">
        <v>1599</v>
      </c>
      <c r="F60" s="1244" t="s">
        <v>1712</v>
      </c>
      <c r="AX60" s="1290" t="s">
        <v>1717</v>
      </c>
      <c r="AZ60" s="1290" t="s">
        <v>1242</v>
      </c>
      <c r="BE60" s="1290">
        <v>2058</v>
      </c>
      <c r="BJ60" s="1387" t="s">
        <v>1676</v>
      </c>
      <c r="BL60" s="1387" t="s">
        <v>1676</v>
      </c>
    </row>
    <row customHeight="1" ht="11.25">
      <c r="A61" s="1244" t="s">
        <v>1718</v>
      </c>
      <c r="D61" s="1288" t="s">
        <v>1719</v>
      </c>
      <c r="E61" s="1265" t="s">
        <v>1720</v>
      </c>
      <c r="F61" s="1244" t="s">
        <v>1712</v>
      </c>
      <c r="AX61" s="1290" t="s">
        <v>1721</v>
      </c>
      <c r="AZ61" s="1290" t="s">
        <v>1266</v>
      </c>
      <c r="BE61" s="1290">
        <v>2059</v>
      </c>
      <c r="BL61" s="1387" t="s">
        <v>1055</v>
      </c>
    </row>
    <row customHeight="1" ht="11.25">
      <c r="A62" s="1244" t="s">
        <v>1722</v>
      </c>
      <c r="D62" s="1288" t="s">
        <v>133</v>
      </c>
      <c r="E62" s="1265">
        <v>32</v>
      </c>
      <c r="F62" s="1244" t="s">
        <v>1712</v>
      </c>
      <c r="AZ62" s="1290" t="s">
        <v>1300</v>
      </c>
      <c r="BE62" s="1290">
        <v>2060</v>
      </c>
      <c r="BL62" s="1387" t="s">
        <v>1057</v>
      </c>
    </row>
    <row customHeight="1" ht="11.25">
      <c r="A63" s="1244" t="s">
        <v>1723</v>
      </c>
      <c r="D63" s="1288" t="s">
        <v>1724</v>
      </c>
      <c r="E63" s="1265">
        <v>34</v>
      </c>
      <c r="F63" s="1244" t="s">
        <v>1712</v>
      </c>
      <c r="AZ63" s="1290" t="s">
        <v>1331</v>
      </c>
      <c r="BE63" s="1290">
        <v>2061</v>
      </c>
    </row>
    <row customHeight="1" ht="11.25">
      <c r="A64" s="1244" t="s">
        <v>1725</v>
      </c>
      <c r="D64" s="1288" t="s">
        <v>1726</v>
      </c>
      <c r="E64" s="1265">
        <v>55</v>
      </c>
      <c r="F64" s="1244" t="s">
        <v>1712</v>
      </c>
      <c r="AZ64" s="1290" t="s">
        <v>1354</v>
      </c>
      <c r="BE64" s="1290">
        <v>2062</v>
      </c>
    </row>
    <row customHeight="1" ht="11.25">
      <c r="A65" s="1244" t="s">
        <v>1727</v>
      </c>
      <c r="D65" s="1244"/>
      <c r="BE65" s="1290">
        <v>2063</v>
      </c>
    </row>
    <row customHeight="1" ht="11.25">
      <c r="A66" s="1244" t="s">
        <v>1728</v>
      </c>
      <c r="AZ66" s="1237" t="s">
        <v>1729</v>
      </c>
      <c r="BE66" s="1290">
        <v>2064</v>
      </c>
    </row>
    <row customHeight="1" ht="11.25">
      <c r="A67" s="1244" t="s">
        <v>1730</v>
      </c>
      <c r="AZ67" s="1290" t="s">
        <v>1243</v>
      </c>
      <c r="BE67" s="1290">
        <v>2065</v>
      </c>
    </row>
    <row customHeight="1" ht="11.25">
      <c r="A68" s="1244" t="s">
        <v>1731</v>
      </c>
      <c r="AZ68" s="1290" t="s">
        <v>1267</v>
      </c>
      <c r="BE68" s="1290">
        <v>2066</v>
      </c>
      <c r="BH68" s="1237" t="s">
        <v>1732</v>
      </c>
      <c r="BJ68" s="1237" t="s">
        <v>1733</v>
      </c>
      <c r="BL68" s="1237" t="s">
        <v>1734</v>
      </c>
      <c r="BN68" s="1237" t="s">
        <v>1735</v>
      </c>
    </row>
    <row customHeight="1" ht="11.25">
      <c r="A69" s="1244" t="s">
        <v>1736</v>
      </c>
      <c r="AZ69" s="1290" t="s">
        <v>1301</v>
      </c>
      <c r="BE69" s="1290">
        <v>2067</v>
      </c>
      <c r="BH69" s="1238" t="s">
        <v>1737</v>
      </c>
      <c r="BI69" s="1287" t="s">
        <v>112</v>
      </c>
      <c r="BJ69" s="1238" t="s">
        <v>1738</v>
      </c>
      <c r="BK69" s="1287" t="s">
        <v>112</v>
      </c>
      <c r="BL69" s="1238" t="s">
        <v>1739</v>
      </c>
      <c r="BM69" s="1240" t="s">
        <v>112</v>
      </c>
      <c r="BN69" s="1238" t="s">
        <v>1740</v>
      </c>
    </row>
    <row customHeight="1" ht="11.25">
      <c r="A70" s="1244" t="s">
        <v>1741</v>
      </c>
      <c r="AZ70" s="1290" t="s">
        <v>1332</v>
      </c>
      <c r="BE70" s="1290">
        <v>2068</v>
      </c>
      <c r="BH70" s="1238" t="s">
        <v>1742</v>
      </c>
      <c r="BJ70" s="1238" t="s">
        <v>1743</v>
      </c>
      <c r="BL70" s="1238" t="s">
        <v>1744</v>
      </c>
      <c r="BN70" s="1238" t="s">
        <v>1745</v>
      </c>
    </row>
    <row customHeight="1" ht="11.25">
      <c r="A71" s="1244" t="s">
        <v>1746</v>
      </c>
      <c r="AZ71" s="1290" t="s">
        <v>1334</v>
      </c>
      <c r="BE71" s="1290">
        <v>2069</v>
      </c>
      <c r="BH71" s="1238" t="s">
        <v>1747</v>
      </c>
      <c r="BI71" s="1287" t="s">
        <v>93</v>
      </c>
      <c r="BJ71" s="1238" t="s">
        <v>1748</v>
      </c>
      <c r="BK71" s="1287" t="s">
        <v>93</v>
      </c>
      <c r="BL71" s="1238" t="s">
        <v>1749</v>
      </c>
      <c r="BM71" s="1240" t="s">
        <v>93</v>
      </c>
      <c r="BN71" s="1238" t="s">
        <v>1750</v>
      </c>
    </row>
    <row customHeight="1" ht="11.25">
      <c r="A72" s="1244" t="s">
        <v>1751</v>
      </c>
      <c r="AZ72" s="1290" t="s">
        <v>19</v>
      </c>
      <c r="BE72" s="1290">
        <v>2070</v>
      </c>
      <c r="BH72" s="1238" t="s">
        <v>1752</v>
      </c>
      <c r="BJ72" s="1238" t="s">
        <v>1752</v>
      </c>
      <c r="BL72" s="1238" t="s">
        <v>1752</v>
      </c>
      <c r="BN72" s="1238" t="s">
        <v>1753</v>
      </c>
    </row>
    <row customHeight="1" ht="11.25">
      <c r="A73" s="1244" t="s">
        <v>1754</v>
      </c>
      <c r="BH73" s="1238" t="s">
        <v>1755</v>
      </c>
      <c r="BI73" s="1287" t="s">
        <v>114</v>
      </c>
      <c r="BJ73" s="1238" t="s">
        <v>1756</v>
      </c>
      <c r="BK73" s="1287" t="s">
        <v>114</v>
      </c>
      <c r="BL73" s="1238" t="s">
        <v>1757</v>
      </c>
      <c r="BM73" s="1240" t="s">
        <v>114</v>
      </c>
      <c r="BN73" s="1238" t="s">
        <v>1758</v>
      </c>
    </row>
    <row customHeight="1" ht="11.25">
      <c r="A74" s="1244" t="s">
        <v>1759</v>
      </c>
      <c r="BH74" s="1238" t="s">
        <v>1760</v>
      </c>
      <c r="BJ74" s="1238" t="s">
        <v>1761</v>
      </c>
      <c r="BL74" s="1238" t="s">
        <v>1762</v>
      </c>
      <c r="BN74" s="1238" t="s">
        <v>1763</v>
      </c>
    </row>
    <row customHeight="1" ht="11.25">
      <c r="A75" s="1244" t="s">
        <v>1764</v>
      </c>
      <c r="AZ75" s="1237" t="s">
        <v>1765</v>
      </c>
      <c r="BH75" s="1238" t="s">
        <v>1766</v>
      </c>
      <c r="BJ75" s="1238" t="s">
        <v>1766</v>
      </c>
      <c r="BL75" s="1238" t="s">
        <v>1766</v>
      </c>
    </row>
    <row customHeight="1" ht="11.25">
      <c r="A76" s="1244" t="s">
        <v>1767</v>
      </c>
      <c r="AZ76" s="1290" t="s">
        <v>1251</v>
      </c>
      <c r="BH76" s="1238" t="s">
        <v>1768</v>
      </c>
      <c r="BJ76" s="1238" t="s">
        <v>1769</v>
      </c>
      <c r="BL76" s="1238" t="s">
        <v>1770</v>
      </c>
    </row>
    <row customHeight="1" ht="11.25">
      <c r="A77" s="1244" t="s">
        <v>1771</v>
      </c>
      <c r="AZ77" s="1290" t="s">
        <v>1276</v>
      </c>
    </row>
    <row customHeight="1" ht="11.25">
      <c r="A78" s="1244" t="s">
        <v>1772</v>
      </c>
      <c r="AZ78" s="1290" t="s">
        <v>1308</v>
      </c>
    </row>
    <row customHeight="1" ht="11.25">
      <c r="A79" s="1244" t="s">
        <v>1773</v>
      </c>
      <c r="AZ79" s="1290" t="s">
        <v>1338</v>
      </c>
      <c r="BH79" s="1237" t="s">
        <v>1774</v>
      </c>
      <c r="BJ79" s="1237" t="s">
        <v>1775</v>
      </c>
      <c r="BL79" s="1237" t="s">
        <v>1776</v>
      </c>
    </row>
    <row customHeight="1" ht="11.25">
      <c r="A80" s="1244" t="s">
        <v>1777</v>
      </c>
      <c r="AZ80" s="1290" t="s">
        <v>1359</v>
      </c>
      <c r="BH80" s="1238" t="s">
        <v>1778</v>
      </c>
      <c r="BJ80" s="1238" t="s">
        <v>1779</v>
      </c>
      <c r="BL80" s="1238" t="s">
        <v>1780</v>
      </c>
    </row>
    <row customHeight="1" ht="11.25">
      <c r="A81" s="1244" t="s">
        <v>1781</v>
      </c>
      <c r="AZ81" s="1290" t="s">
        <v>1376</v>
      </c>
      <c r="BH81" s="1238" t="s">
        <v>1782</v>
      </c>
      <c r="BJ81" s="1238" t="s">
        <v>1783</v>
      </c>
      <c r="BL81" s="1238" t="s">
        <v>1784</v>
      </c>
    </row>
    <row customHeight="1" ht="11.25">
      <c r="A82" s="1244" t="s">
        <v>1785</v>
      </c>
      <c r="AZ82" s="1290" t="s">
        <v>1391</v>
      </c>
      <c r="BH82" s="1238" t="s">
        <v>1786</v>
      </c>
      <c r="BJ82" s="1238" t="s">
        <v>1787</v>
      </c>
      <c r="BL82" s="1238" t="s">
        <v>1788</v>
      </c>
    </row>
    <row customHeight="1" ht="11.25">
      <c r="A83" s="1244" t="s">
        <v>1789</v>
      </c>
      <c r="BH83" s="1238" t="s">
        <v>1790</v>
      </c>
      <c r="BJ83" s="1238" t="s">
        <v>1791</v>
      </c>
      <c r="BL83" s="1238" t="s">
        <v>1792</v>
      </c>
    </row>
    <row customHeight="1" ht="11.25">
      <c r="A84" s="1244" t="s">
        <v>1793</v>
      </c>
      <c r="AZ84" s="1237" t="s">
        <v>1794</v>
      </c>
    </row>
    <row customHeight="1" ht="11.25">
      <c r="A85" s="2040" t="s">
        <v>1795</v>
      </c>
      <c r="AZ85" s="1290" t="s">
        <v>1796</v>
      </c>
    </row>
    <row customHeight="1" ht="11.25">
      <c r="A86" s="1244" t="s">
        <v>1797</v>
      </c>
      <c r="AZ86" s="1290" t="s">
        <v>1798</v>
      </c>
      <c r="BH86" s="1237" t="s">
        <v>1799</v>
      </c>
      <c r="BJ86" s="1237" t="s">
        <v>1800</v>
      </c>
      <c r="BL86" s="1237" t="s">
        <v>1801</v>
      </c>
    </row>
    <row customHeight="1" ht="11.25">
      <c r="A87" s="1244" t="s">
        <v>1802</v>
      </c>
      <c r="AZ87" s="1290" t="s">
        <v>1803</v>
      </c>
      <c r="BH87" s="1238" t="s">
        <v>1804</v>
      </c>
      <c r="BJ87" s="1238" t="s">
        <v>1805</v>
      </c>
      <c r="BL87" s="1238" t="s">
        <v>1806</v>
      </c>
    </row>
    <row customHeight="1" ht="11.25">
      <c r="A88" s="1244" t="s">
        <v>1807</v>
      </c>
      <c r="AZ88" s="1776"/>
      <c r="BH88" s="1238" t="s">
        <v>1808</v>
      </c>
      <c r="BJ88" s="1238" t="s">
        <v>1809</v>
      </c>
      <c r="BL88" s="1238" t="s">
        <v>1810</v>
      </c>
    </row>
    <row customHeight="1" ht="11.25">
      <c r="A89" s="1244" t="s">
        <v>1811</v>
      </c>
      <c r="AZ89" s="1237" t="s">
        <v>1812</v>
      </c>
    </row>
    <row customHeight="1" ht="11.25">
      <c r="A90" s="1244" t="s">
        <v>1813</v>
      </c>
      <c r="AZ90" s="1290" t="s">
        <v>1033</v>
      </c>
    </row>
    <row customHeight="1" ht="11.25">
      <c r="A91" s="1244" t="s">
        <v>1814</v>
      </c>
      <c r="AZ91" s="1290" t="s">
        <v>1069</v>
      </c>
      <c r="BH91" s="1237" t="s">
        <v>1815</v>
      </c>
      <c r="BJ91" s="1237" t="s">
        <v>1816</v>
      </c>
      <c r="BL91" s="1237" t="s">
        <v>1817</v>
      </c>
    </row>
    <row customHeight="1" ht="11.25">
      <c r="AZ92" s="1290" t="s">
        <v>1818</v>
      </c>
      <c r="BH92" s="1238" t="s">
        <v>1819</v>
      </c>
      <c r="BJ92" s="1238" t="s">
        <v>1820</v>
      </c>
      <c r="BL92" s="1238" t="s">
        <v>1821</v>
      </c>
    </row>
    <row customHeight="1" ht="11.25">
      <c r="AZ93" s="1290" t="s">
        <v>1822</v>
      </c>
      <c r="BH93" s="1238" t="s">
        <v>1823</v>
      </c>
      <c r="BJ93" s="1238" t="s">
        <v>1824</v>
      </c>
      <c r="BL93" s="1238" t="s">
        <v>1825</v>
      </c>
    </row>
    <row customHeight="1" ht="11.25">
      <c r="AZ94" s="1290" t="s">
        <v>1826</v>
      </c>
    </row>
    <row r="96" customHeight="1" ht="11.25">
      <c r="AZ96" s="1237" t="s">
        <v>1827</v>
      </c>
      <c r="BH96" s="1237" t="s">
        <v>1828</v>
      </c>
      <c r="BJ96" s="1237" t="s">
        <v>1829</v>
      </c>
      <c r="BL96" s="1237" t="s">
        <v>1830</v>
      </c>
      <c r="BN96" s="1237" t="s">
        <v>1831</v>
      </c>
    </row>
    <row customHeight="1" ht="11.25">
      <c r="AZ97" s="2071" t="s">
        <v>1832</v>
      </c>
      <c r="BA97" s="2072" t="s">
        <v>1833</v>
      </c>
      <c r="BH97" s="1238" t="s">
        <v>1834</v>
      </c>
      <c r="BJ97" s="1238" t="s">
        <v>1835</v>
      </c>
      <c r="BL97" s="1238" t="s">
        <v>1836</v>
      </c>
      <c r="BN97" s="1238" t="s">
        <v>1837</v>
      </c>
    </row>
    <row customHeight="1" ht="11.25">
      <c r="AZ98" s="2071" t="s">
        <v>1838</v>
      </c>
      <c r="BA98" s="2072" t="s">
        <v>1839</v>
      </c>
      <c r="BH98" s="1238" t="s">
        <v>1840</v>
      </c>
      <c r="BJ98" s="1238" t="s">
        <v>1841</v>
      </c>
      <c r="BL98" s="1238" t="s">
        <v>1842</v>
      </c>
      <c r="BN98" s="1238" t="s">
        <v>1843</v>
      </c>
    </row>
    <row customHeight="1" ht="22.5">
      <c r="AZ99" s="2071" t="s">
        <v>1844</v>
      </c>
      <c r="BA99" s="207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238" t="s">
        <v>1845</v>
      </c>
      <c r="BJ99" s="1238" t="s">
        <v>1846</v>
      </c>
      <c r="BL99" s="1238" t="s">
        <v>1847</v>
      </c>
      <c r="BN99" s="1238" t="s">
        <v>1848</v>
      </c>
    </row>
    <row customHeight="1" ht="22.5">
      <c r="AZ100" s="2071" t="s">
        <v>1849</v>
      </c>
      <c r="BA100" s="207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238" t="s">
        <v>1436</v>
      </c>
      <c r="BL100" s="1238" t="s">
        <v>1436</v>
      </c>
      <c r="BN100" s="1238" t="s">
        <v>1850</v>
      </c>
    </row>
    <row customHeight="1" ht="22.5">
      <c r="AZ101" s="2071" t="s">
        <v>1851</v>
      </c>
      <c r="BA101" s="2072" t="s">
        <v>1852</v>
      </c>
      <c r="BN101" s="1238" t="s">
        <v>1853</v>
      </c>
    </row>
    <row customHeight="1" ht="22.5">
      <c r="AZ102" s="2071" t="s">
        <v>1854</v>
      </c>
      <c r="BA102" s="207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238" t="s">
        <v>1855</v>
      </c>
    </row>
    <row customHeight="1" ht="11.25">
      <c r="AZ103" s="2071" t="s">
        <v>1856</v>
      </c>
      <c r="BA103" s="2072" t="s">
        <v>1857</v>
      </c>
      <c r="BN103" s="1238" t="s">
        <v>1858</v>
      </c>
    </row>
    <row customHeight="1" ht="11.25">
      <c r="BN104" s="1238" t="s">
        <v>1859</v>
      </c>
    </row>
    <row customHeight="1" ht="11.25">
      <c r="AZ105" s="1862" t="s">
        <v>1860</v>
      </c>
    </row>
    <row customHeight="1" ht="11.25">
      <c r="AZ106" s="1290" t="s">
        <v>491</v>
      </c>
    </row>
    <row customHeight="1" ht="11.25">
      <c r="AZ107" s="1290" t="s">
        <v>1861</v>
      </c>
      <c r="BH107" s="1237" t="s">
        <v>1862</v>
      </c>
      <c r="BJ107" s="1237" t="s">
        <v>1863</v>
      </c>
      <c r="BL107" s="1237" t="s">
        <v>1864</v>
      </c>
      <c r="BN107" s="1237" t="s">
        <v>1865</v>
      </c>
    </row>
    <row customHeight="1" ht="11.25">
      <c r="AZ108" s="1290" t="s">
        <v>586</v>
      </c>
      <c r="BH108" s="1238" t="s">
        <v>1866</v>
      </c>
      <c r="BJ108" s="1238" t="s">
        <v>1867</v>
      </c>
      <c r="BL108" s="1238" t="s">
        <v>1522</v>
      </c>
      <c r="BN108" s="1238" t="s">
        <v>1868</v>
      </c>
    </row>
    <row customHeight="1" ht="11.25">
      <c r="BH109" s="1238" t="s">
        <v>1869</v>
      </c>
    </row>
    <row customHeight="1" ht="11.25">
      <c r="AZ110" s="1862" t="s">
        <v>1870</v>
      </c>
      <c r="BH110" s="1238" t="s">
        <v>1869</v>
      </c>
    </row>
    <row customHeight="1" ht="11.25">
      <c r="AZ111" s="2071" t="s">
        <v>1832</v>
      </c>
      <c r="BA111" s="2072" t="s">
        <v>1833</v>
      </c>
    </row>
    <row customHeight="1" ht="11.25">
      <c r="AZ112" s="2071" t="s">
        <v>1838</v>
      </c>
      <c r="BA112" s="2072" t="s">
        <v>1839</v>
      </c>
    </row>
    <row customHeight="1" ht="22.5">
      <c r="AZ113" s="2071" t="s">
        <v>1844</v>
      </c>
      <c r="BA113" s="207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071" t="s">
        <v>1849</v>
      </c>
      <c r="BA114" s="207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237" t="s">
        <v>1871</v>
      </c>
    </row>
    <row customHeight="1" ht="22.5">
      <c r="AZ115" s="2071" t="s">
        <v>1854</v>
      </c>
      <c r="BA115" s="207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238" t="s">
        <v>462</v>
      </c>
    </row>
    <row customHeight="1" ht="11.25">
      <c r="AZ116" s="2071" t="s">
        <v>1856</v>
      </c>
      <c r="BA116" s="2072" t="s">
        <v>1857</v>
      </c>
      <c r="BH116" s="1238" t="s">
        <v>458</v>
      </c>
    </row>
    <row customHeight="1" ht="11.25">
      <c r="BH117" s="1238" t="s">
        <v>1297</v>
      </c>
    </row>
    <row customHeight="1" ht="11.25">
      <c r="BH118" s="1238" t="s">
        <v>1330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4410E1-0C5F-9B21-CA6A-DCDBDC6F12D5}" mc:Ignorable="x14ac xr xr2 xr3">
  <dimension ref="A1:J25"/>
  <sheetViews>
    <sheetView topLeftCell="A1" showGridLines="0" zoomScale="90" workbookViewId="0">
      <selection activeCell="A1" sqref="A1"/>
    </sheetView>
  </sheetViews>
  <sheetFormatPr defaultColWidth="9.140625" customHeight="1" defaultRowHeight="11.25"/>
  <cols>
    <col min="1" max="2" style="12579" width="15.00390625" hidden="1" customWidth="1"/>
    <col min="3" max="3" style="12623" width="3.00390625" customWidth="1"/>
    <col min="4" max="4" style="12624" width="6.00390625" customWidth="1"/>
    <col min="5" max="5" style="12623" width="52.00390625" customWidth="1"/>
    <col min="6" max="6" style="12623" width="48.00390625" customWidth="1"/>
    <col min="7" max="7" style="12623" width="93.00390625" customWidth="1"/>
    <col min="8" max="8" style="12623" width="8.00390625" customWidth="1"/>
    <col min="9" max="9" style="12623" width="64.00390625" customWidth="1"/>
    <col min="10" max="10" style="12623" width="9.140625" hidden="1"/>
  </cols>
  <sheetData>
    <row customHeight="1" ht="11.25" hidden="1">
      <c r="A1" s="671" t="s">
        <v>311</v>
      </c>
      <c r="J1" s="625" t="s">
        <v>14</v>
      </c>
    </row>
    <row customHeight="1" ht="22.5" hidden="1">
      <c r="A2" s="672"/>
      <c r="B2" s="672"/>
      <c r="C2" s="1900" t="s">
        <v>437</v>
      </c>
      <c r="D2" s="1690"/>
      <c r="E2" s="1696"/>
      <c r="F2" s="1719"/>
      <c r="H2" s="645"/>
      <c r="J2" s="625">
        <v>0</v>
      </c>
    </row>
    <row customHeight="1" ht="11.25" hidden="1">
      <c r="J3" s="625">
        <v>0</v>
      </c>
    </row>
    <row customHeight="1" ht="11.549999999999999">
      <c r="A4" s="1720"/>
      <c r="B4" s="1720"/>
      <c r="J4" s="625">
        <v>11</v>
      </c>
    </row>
    <row customHeight="1" ht="27.299999999999997">
      <c r="D5" s="240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409"/>
      <c r="F5" s="2410"/>
      <c r="I5" s="885"/>
      <c r="J5" s="625">
        <v>26</v>
      </c>
    </row>
    <row customHeight="1" ht="18">
      <c r="D6" s="2346" t="str">
        <f>IF(region_name=0,"Не определено",region_name)</f>
        <v>Московская область</v>
      </c>
      <c r="E6" s="2346"/>
      <c r="F6" s="2346"/>
      <c r="I6" s="885"/>
      <c r="J6" s="625">
        <v>17</v>
      </c>
    </row>
    <row s="12537" customFormat="1" customHeight="1" ht="11.549999999999999">
      <c r="A7" s="671"/>
      <c r="B7" s="671"/>
      <c r="D7" s="884"/>
      <c r="E7" s="884"/>
      <c r="F7" s="922"/>
      <c r="G7" s="884"/>
      <c r="J7" s="647">
        <v>11</v>
      </c>
    </row>
    <row customHeight="1" ht="11.25" hidden="1">
      <c r="A8" s="672"/>
      <c r="B8" s="672"/>
      <c r="C8" s="627"/>
      <c r="D8" s="633"/>
      <c r="E8" s="2377"/>
      <c r="F8" s="2377"/>
      <c r="J8" s="625">
        <v>0</v>
      </c>
    </row>
    <row customHeight="1" ht="11.549999999999999">
      <c r="A9" s="672"/>
      <c r="B9" s="672"/>
      <c r="C9" s="627"/>
      <c r="D9" s="2374" t="s">
        <v>312</v>
      </c>
      <c r="E9" s="2375"/>
      <c r="F9" s="2375"/>
      <c r="G9" s="2378" t="s">
        <v>313</v>
      </c>
      <c r="J9" s="625">
        <v>11</v>
      </c>
    </row>
    <row customHeight="1" ht="11.549999999999999">
      <c r="A10" s="672"/>
      <c r="B10" s="672"/>
      <c r="C10" s="627"/>
      <c r="D10" s="1644" t="s">
        <v>91</v>
      </c>
      <c r="E10" s="1646" t="s">
        <v>314</v>
      </c>
      <c r="F10" s="1646" t="s">
        <v>315</v>
      </c>
      <c r="G10" s="2379"/>
      <c r="J10" s="625">
        <v>11</v>
      </c>
    </row>
    <row customHeight="1" ht="1.05">
      <c r="A11" s="672"/>
      <c r="B11" s="672"/>
      <c r="C11" s="627"/>
      <c r="D11" s="634"/>
      <c r="E11" s="634"/>
      <c r="F11" s="634"/>
      <c r="G11" s="634"/>
      <c r="J11" s="625">
        <v>1</v>
      </c>
    </row>
    <row customHeight="1" ht="24">
      <c r="A12" s="672"/>
      <c r="B12" s="672"/>
      <c r="C12" s="627"/>
      <c r="D12" s="1690">
        <v>1</v>
      </c>
      <c r="E12" s="64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2078" t="str">
        <f>IF(org="","",org)</f>
        <v>Филиал "Шатурская ГРЭС" ПАО "Юнипро"</v>
      </c>
      <c r="G12" s="64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703"/>
      <c r="J12" s="625">
        <v>23</v>
      </c>
    </row>
    <row customHeight="1" ht="19.95">
      <c r="A13" s="672"/>
      <c r="B13" s="672"/>
      <c r="C13" s="627"/>
      <c r="D13" s="1690">
        <v>2</v>
      </c>
      <c r="E13" s="1697" t="s">
        <v>1872</v>
      </c>
      <c r="F13" s="1691" t="s">
        <v>318</v>
      </c>
      <c r="G13" s="644"/>
      <c r="H13" s="1703"/>
      <c r="J13" s="625">
        <v>19</v>
      </c>
    </row>
    <row customHeight="1" ht="19.95">
      <c r="A14" s="672"/>
      <c r="B14" s="672"/>
      <c r="C14" s="627"/>
      <c r="D14" s="1693" t="s">
        <v>723</v>
      </c>
      <c r="E14" s="1694" t="s">
        <v>1873</v>
      </c>
      <c r="F14" s="1696"/>
      <c r="G14" s="1695" t="s">
        <v>1874</v>
      </c>
      <c r="H14" s="1703"/>
      <c r="J14" s="625">
        <v>19</v>
      </c>
    </row>
    <row customHeight="1" ht="19.95">
      <c r="A15" s="672"/>
      <c r="B15" s="672"/>
      <c r="C15" s="627"/>
      <c r="D15" s="1693" t="s">
        <v>319</v>
      </c>
      <c r="E15" s="1694" t="s">
        <v>1875</v>
      </c>
      <c r="F15" s="1696"/>
      <c r="G15" s="1695" t="s">
        <v>1876</v>
      </c>
      <c r="H15" s="1703"/>
      <c r="J15" s="625">
        <v>19</v>
      </c>
    </row>
    <row customHeight="1" ht="24">
      <c r="A16" s="672"/>
      <c r="B16" s="672"/>
      <c r="C16" s="627"/>
      <c r="D16" s="1693" t="s">
        <v>322</v>
      </c>
      <c r="E16" s="1692" t="s">
        <v>1877</v>
      </c>
      <c r="F16" s="1701"/>
      <c r="G16" s="644" t="s">
        <v>1878</v>
      </c>
      <c r="H16" s="1703"/>
      <c r="J16" s="625">
        <v>23</v>
      </c>
    </row>
    <row customHeight="1" ht="48.29999999999999">
      <c r="A17" s="672"/>
      <c r="B17" s="672"/>
      <c r="C17" s="627"/>
      <c r="D17" s="1690">
        <v>3</v>
      </c>
      <c r="E17" s="1697" t="s">
        <v>1879</v>
      </c>
      <c r="F17" s="1696"/>
      <c r="G17" s="644" t="s">
        <v>1880</v>
      </c>
      <c r="H17" s="1703"/>
      <c r="J17" s="625">
        <v>46</v>
      </c>
    </row>
    <row customHeight="1" ht="48.29999999999999">
      <c r="A18" s="1645">
        <v>1</v>
      </c>
      <c r="B18" s="672"/>
      <c r="C18" s="1647"/>
      <c r="D18" s="1690" t="s">
        <v>94</v>
      </c>
      <c r="E18" s="1697" t="s">
        <v>1881</v>
      </c>
      <c r="F18" s="1696"/>
      <c r="G18" s="644" t="s">
        <v>1880</v>
      </c>
      <c r="H18" s="1703"/>
      <c r="I18" s="1022"/>
      <c r="J18" s="625">
        <v>46</v>
      </c>
    </row>
    <row customHeight="1" ht="23.25">
      <c r="A19" s="672"/>
      <c r="B19" s="672"/>
      <c r="C19" s="627"/>
      <c r="D19" s="1690" t="s">
        <v>114</v>
      </c>
      <c r="E19" s="1697" t="s">
        <v>1882</v>
      </c>
      <c r="F19" s="1691" t="s">
        <v>318</v>
      </c>
      <c r="G19" s="2641" t="s">
        <v>1883</v>
      </c>
      <c r="H19" s="645"/>
      <c r="J19" s="625">
        <v>22</v>
      </c>
    </row>
    <row s="15274" customFormat="1" customHeight="1" ht="5.25" hidden="1">
      <c r="A20" s="672"/>
      <c r="B20" s="672"/>
      <c r="C20" s="1699"/>
      <c r="D20" s="1698" t="s">
        <v>1130</v>
      </c>
      <c r="E20" s="1184"/>
      <c r="F20" s="1183"/>
      <c r="G20" s="2642"/>
      <c r="J20" s="1700">
        <v>0</v>
      </c>
    </row>
    <row customHeight="1" ht="15.75">
      <c r="A21" s="672"/>
      <c r="B21" s="672"/>
      <c r="C21" s="627"/>
      <c r="D21" s="637"/>
      <c r="E21" s="585" t="s">
        <v>351</v>
      </c>
      <c r="F21" s="639"/>
      <c r="G21" s="2643"/>
      <c r="H21" s="1703"/>
      <c r="J21" s="625">
        <v>15</v>
      </c>
    </row>
    <row s="12579" customFormat="1" customHeight="1" ht="26.25">
      <c r="A22" s="672"/>
      <c r="B22" s="672"/>
      <c r="C22" s="672"/>
      <c r="D22" s="1690" t="s">
        <v>95</v>
      </c>
      <c r="E22" s="644" t="s">
        <v>1884</v>
      </c>
      <c r="F22" s="1696"/>
      <c r="G22" s="644" t="s">
        <v>1885</v>
      </c>
      <c r="H22" s="1702"/>
      <c r="J22" s="671">
        <v>25</v>
      </c>
    </row>
    <row s="12579" customFormat="1" customHeight="1" ht="19.95">
      <c r="A23" s="672"/>
      <c r="B23" s="672"/>
      <c r="C23" s="672"/>
      <c r="D23" s="1690" t="s">
        <v>96</v>
      </c>
      <c r="E23" s="1697" t="s">
        <v>1886</v>
      </c>
      <c r="F23" s="1701"/>
      <c r="G23" s="644" t="s">
        <v>1887</v>
      </c>
      <c r="H23" s="1702"/>
      <c r="J23" s="671">
        <v>19</v>
      </c>
    </row>
    <row s="12579" customFormat="1" customHeight="1" ht="144" hidden="1">
      <c r="A24" s="672"/>
      <c r="B24" s="672"/>
      <c r="C24" s="672"/>
      <c r="D24" s="1690" t="s">
        <v>115</v>
      </c>
      <c r="E24" s="206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2068"/>
      <c r="G24" s="206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702"/>
      <c r="J24" s="671">
        <v>0</v>
      </c>
    </row>
    <row customHeight="1" ht="11.25" hidden="1">
      <c r="A25" s="671" t="s">
        <v>85</v>
      </c>
      <c r="B25" s="671">
        <v>0</v>
      </c>
      <c r="C25" s="625">
        <v>3</v>
      </c>
      <c r="D25" s="626">
        <v>6</v>
      </c>
      <c r="E25" s="625">
        <v>52</v>
      </c>
      <c r="F25" s="625">
        <v>48</v>
      </c>
      <c r="G25" s="625">
        <v>93</v>
      </c>
      <c r="H25" s="625">
        <v>8</v>
      </c>
      <c r="I25" s="625">
        <v>64</v>
      </c>
      <c r="J25" s="62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9A9C2E-2F99-53D2-564D-EB6FA770556D}" mc:Ignorable="x14ac xr xr2 xr3">
  <dimension ref="A1:IU24"/>
  <sheetViews>
    <sheetView topLeftCell="A1" showGridLines="0" zoomScale="90" workbookViewId="0">
      <selection activeCell="A1" sqref="A1"/>
    </sheetView>
  </sheetViews>
  <sheetFormatPr defaultColWidth="9.140625" customHeight="1" defaultRowHeight="14.25"/>
  <cols>
    <col min="1" max="1" style="11913" width="9.140625" hidden="1"/>
    <col min="2" max="2" style="11992" width="9.140625" hidden="1"/>
    <col min="3" max="3" style="11913" width="3.7109375" hidden="1" customWidth="1"/>
    <col min="4" max="4" style="12081" width="3.00390625" customWidth="1"/>
    <col min="5" max="5" style="11913" width="6.00390625" customWidth="1"/>
    <col min="6" max="6" style="11913" width="46.00390625" customWidth="1"/>
    <col min="7" max="8" style="11913" width="16.00390625" customWidth="1"/>
    <col min="9" max="9" style="11913" width="35.00390625" customWidth="1"/>
    <col min="10" max="10" style="11913" width="89.00390625" customWidth="1"/>
    <col min="11" max="11" style="12082" width="3.00390625" customWidth="1"/>
    <col min="12" max="14" style="12082" width="8.00390625" customWidth="1"/>
    <col min="15" max="15" style="12082" width="25.00390625" customWidth="1"/>
    <col min="16" max="16" style="12082" width="14.00390625" customWidth="1"/>
    <col min="17" max="20" style="12083" width="8.00390625" customWidth="1"/>
    <col min="21" max="254" style="11913" width="8.00390625" customWidth="1"/>
    <col min="255" max="255" style="11913" width="9.140625" hidden="1"/>
  </cols>
  <sheetData>
    <row customHeight="1" ht="22.5" hidden="1">
      <c r="F1" s="1801" t="s">
        <v>1888</v>
      </c>
      <c r="G1" s="1801" t="s">
        <v>51</v>
      </c>
      <c r="H1" s="1801" t="s">
        <v>53</v>
      </c>
      <c r="IU1" s="1325" t="s">
        <v>14</v>
      </c>
    </row>
    <row s="12053" customFormat="1" customHeight="1" ht="22.5" hidden="1">
      <c r="A2" s="1001"/>
      <c r="B2" s="1330">
        <v>1</v>
      </c>
      <c r="C2" s="1330"/>
      <c r="D2" s="2098" t="s">
        <v>437</v>
      </c>
      <c r="E2" s="1654"/>
      <c r="F2" s="1661"/>
      <c r="G2" s="1661"/>
      <c r="H2" s="1661"/>
      <c r="I2" s="2154"/>
      <c r="J2" s="2155"/>
      <c r="K2" s="1705"/>
      <c r="L2" s="681"/>
      <c r="M2" s="681"/>
      <c r="N2" s="670" t="str">
        <f t="array" ref="N2:N2">IF(ISERROR(MATCH(MID(O2,1,250),MID(note_ter,1,250),0)),"n","y")</f>
        <v>n</v>
      </c>
      <c r="O2" s="681"/>
      <c r="P2" s="670" t="str">
        <f>G2&amp;"("&amp;J2&amp;")"</f>
        <v>()</v>
      </c>
      <c r="Q2" s="1330"/>
      <c r="R2" s="1330"/>
      <c r="S2" s="590"/>
      <c r="T2" s="1330"/>
      <c r="U2" s="1330"/>
      <c r="V2" s="1330"/>
      <c r="W2" s="592"/>
      <c r="X2" s="592"/>
      <c r="Y2" s="589"/>
      <c r="Z2" s="589"/>
      <c r="AA2" s="589"/>
      <c r="AB2" s="589"/>
      <c r="AC2" s="589"/>
      <c r="AD2" s="589"/>
      <c r="AE2" s="589"/>
      <c r="AF2" s="589"/>
      <c r="AG2" s="589"/>
      <c r="AH2" s="589"/>
      <c r="AI2" s="589"/>
      <c r="AJ2" s="589"/>
      <c r="AK2" s="589"/>
      <c r="AL2" s="589"/>
      <c r="AM2" s="589"/>
      <c r="AN2" s="589"/>
      <c r="AO2" s="589"/>
      <c r="AP2" s="589"/>
      <c r="AQ2" s="589"/>
      <c r="AR2" s="589"/>
      <c r="AS2" s="589"/>
      <c r="AT2" s="589"/>
      <c r="AU2" s="589"/>
      <c r="AV2" s="589"/>
      <c r="AW2" s="589"/>
      <c r="AX2" s="589"/>
      <c r="AY2" s="589"/>
      <c r="AZ2" s="589"/>
      <c r="BA2" s="589"/>
      <c r="BB2" s="589"/>
      <c r="BC2" s="589"/>
      <c r="BD2" s="589"/>
      <c r="BE2" s="589"/>
      <c r="BF2" s="589"/>
      <c r="BG2" s="589"/>
      <c r="BH2" s="589"/>
      <c r="BI2" s="589"/>
      <c r="BJ2" s="589"/>
      <c r="BK2" s="589"/>
      <c r="BL2" s="589"/>
      <c r="BM2" s="589"/>
      <c r="BN2" s="589"/>
      <c r="BO2" s="589"/>
      <c r="BP2" s="589"/>
      <c r="BQ2" s="589"/>
      <c r="BR2" s="589"/>
      <c r="BS2" s="589"/>
      <c r="BT2" s="592"/>
      <c r="BU2" s="592"/>
      <c r="BV2" s="592"/>
      <c r="BW2" s="592"/>
      <c r="BX2" s="592"/>
      <c r="BY2" s="592"/>
      <c r="BZ2" s="592"/>
      <c r="CA2" s="592"/>
      <c r="CB2" s="592"/>
      <c r="CC2" s="592"/>
      <c r="IU2" s="593">
        <v>0</v>
      </c>
    </row>
    <row s="11993" customFormat="1" customHeight="1" ht="4.2">
      <c r="A3" s="666"/>
      <c r="D3" s="664"/>
      <c r="F3" s="417" t="s">
        <v>86</v>
      </c>
      <c r="G3" s="664" t="s">
        <v>87</v>
      </c>
      <c r="H3" s="664"/>
      <c r="I3" s="664"/>
      <c r="J3" s="397" t="s">
        <v>88</v>
      </c>
      <c r="K3" s="417" t="s">
        <v>86</v>
      </c>
      <c r="L3" s="417"/>
      <c r="M3" s="417"/>
      <c r="N3" s="417"/>
      <c r="O3" s="418"/>
      <c r="P3" s="417"/>
      <c r="Q3" s="417"/>
      <c r="R3" s="417"/>
      <c r="S3" s="417"/>
      <c r="T3" s="417"/>
      <c r="U3" s="397"/>
      <c r="V3" s="397"/>
      <c r="W3" s="397"/>
      <c r="X3" s="397"/>
      <c r="Y3" s="397"/>
      <c r="Z3" s="397"/>
      <c r="AA3" s="397"/>
      <c r="AB3" s="397"/>
      <c r="AC3" s="397"/>
      <c r="AD3" s="397"/>
      <c r="AE3" s="397"/>
      <c r="AF3" s="397"/>
      <c r="AG3" s="397"/>
      <c r="AH3" s="397"/>
      <c r="AI3" s="397"/>
      <c r="AJ3" s="397"/>
      <c r="AK3" s="397"/>
      <c r="AL3" s="397"/>
      <c r="AM3" s="397"/>
      <c r="AN3" s="397"/>
      <c r="AO3" s="397"/>
      <c r="AP3" s="397"/>
      <c r="AQ3" s="397"/>
      <c r="AR3" s="397"/>
      <c r="AS3" s="397"/>
      <c r="AT3" s="397"/>
      <c r="AU3" s="397"/>
      <c r="AV3" s="397"/>
      <c r="AW3" s="397"/>
      <c r="AX3" s="397"/>
      <c r="AY3" s="397"/>
      <c r="AZ3" s="397"/>
      <c r="BA3" s="397"/>
      <c r="BB3" s="397"/>
      <c r="BC3" s="397"/>
      <c r="BD3" s="397"/>
      <c r="BE3" s="397"/>
      <c r="BF3" s="397"/>
      <c r="BG3" s="397"/>
      <c r="BH3" s="397"/>
      <c r="BI3" s="397"/>
      <c r="BJ3" s="397"/>
      <c r="BK3" s="397"/>
      <c r="BL3" s="397"/>
      <c r="BM3" s="397"/>
      <c r="BN3" s="397"/>
      <c r="BO3" s="397"/>
      <c r="BP3" s="397"/>
      <c r="BQ3" s="397"/>
      <c r="BR3" s="397"/>
      <c r="BS3" s="397"/>
      <c r="BT3" s="397"/>
      <c r="BU3" s="397"/>
      <c r="BV3" s="397"/>
      <c r="BW3" s="397"/>
      <c r="BX3" s="397"/>
      <c r="BY3" s="397"/>
      <c r="BZ3" s="397"/>
      <c r="CA3" s="397"/>
      <c r="CB3" s="397"/>
      <c r="CC3" s="397"/>
      <c r="CD3" s="397"/>
      <c r="CE3" s="397"/>
      <c r="CF3" s="397"/>
      <c r="CG3" s="397"/>
      <c r="CH3" s="397"/>
      <c r="CI3" s="397"/>
      <c r="CJ3" s="397"/>
      <c r="CK3" s="397"/>
      <c r="CL3" s="397"/>
      <c r="CM3" s="397"/>
      <c r="CN3" s="397"/>
      <c r="CO3" s="397"/>
      <c r="CP3" s="397"/>
      <c r="CQ3" s="397"/>
      <c r="CR3" s="397"/>
      <c r="CS3" s="397"/>
      <c r="CT3" s="397"/>
      <c r="CU3" s="397"/>
      <c r="CV3" s="397"/>
      <c r="CW3" s="397"/>
      <c r="CX3" s="397"/>
      <c r="CY3" s="397"/>
      <c r="CZ3" s="397"/>
      <c r="DA3" s="397"/>
      <c r="DB3" s="397"/>
      <c r="DC3" s="397"/>
      <c r="DD3" s="397"/>
      <c r="DE3" s="397"/>
      <c r="DF3" s="397"/>
      <c r="DG3" s="397"/>
      <c r="DH3" s="397"/>
      <c r="DI3" s="397"/>
      <c r="DJ3" s="397"/>
      <c r="DK3" s="397"/>
      <c r="DL3" s="397"/>
      <c r="DM3" s="397"/>
      <c r="DN3" s="397"/>
      <c r="DO3" s="397"/>
      <c r="DP3" s="397"/>
      <c r="DQ3" s="397"/>
      <c r="DR3" s="397"/>
      <c r="DS3" s="397"/>
      <c r="DT3" s="397"/>
      <c r="DU3" s="397"/>
      <c r="DV3" s="397"/>
      <c r="DW3" s="397"/>
      <c r="DX3" s="397"/>
      <c r="DY3" s="397"/>
      <c r="DZ3" s="397"/>
      <c r="EA3" s="397"/>
      <c r="EB3" s="397"/>
      <c r="EC3" s="397"/>
      <c r="ED3" s="397"/>
      <c r="EE3" s="397"/>
      <c r="EF3" s="397"/>
      <c r="EG3" s="397"/>
      <c r="EH3" s="397"/>
      <c r="EI3" s="397"/>
      <c r="EJ3" s="397"/>
      <c r="EK3" s="397"/>
      <c r="EL3" s="397"/>
      <c r="EM3" s="397"/>
      <c r="EN3" s="397"/>
      <c r="EO3" s="397"/>
      <c r="EP3" s="397"/>
      <c r="EQ3" s="397"/>
      <c r="ER3" s="397"/>
      <c r="ES3" s="397"/>
      <c r="ET3" s="397"/>
      <c r="EU3" s="397"/>
      <c r="EV3" s="397"/>
      <c r="EW3" s="397"/>
      <c r="EX3" s="397"/>
      <c r="EY3" s="397"/>
      <c r="EZ3" s="397"/>
      <c r="FA3" s="397"/>
      <c r="FB3" s="397"/>
      <c r="FC3" s="397"/>
      <c r="FD3" s="397"/>
      <c r="FE3" s="397"/>
      <c r="FF3" s="397"/>
      <c r="FG3" s="397"/>
      <c r="FH3" s="397"/>
      <c r="FI3" s="397"/>
      <c r="FJ3" s="397"/>
      <c r="FK3" s="397"/>
      <c r="FL3" s="397"/>
      <c r="FM3" s="397"/>
      <c r="FN3" s="397"/>
      <c r="FO3" s="397"/>
      <c r="FP3" s="397"/>
      <c r="FQ3" s="397"/>
      <c r="FR3" s="397"/>
      <c r="FS3" s="397"/>
      <c r="FT3" s="397"/>
      <c r="FU3" s="397"/>
      <c r="FV3" s="397"/>
      <c r="FW3" s="397"/>
      <c r="FX3" s="397"/>
      <c r="FY3" s="397"/>
      <c r="FZ3" s="397"/>
      <c r="GA3" s="397"/>
      <c r="GB3" s="397"/>
      <c r="GC3" s="397"/>
      <c r="GD3" s="397"/>
      <c r="GE3" s="397"/>
      <c r="GF3" s="397"/>
      <c r="GG3" s="397"/>
      <c r="GH3" s="397"/>
      <c r="GI3" s="397"/>
      <c r="GJ3" s="397"/>
      <c r="GK3" s="397"/>
      <c r="GL3" s="397"/>
      <c r="GM3" s="397"/>
      <c r="GN3" s="397"/>
      <c r="GO3" s="397"/>
      <c r="GP3" s="397"/>
      <c r="GQ3" s="397"/>
      <c r="GR3" s="397"/>
      <c r="GS3" s="397"/>
      <c r="GT3" s="397"/>
      <c r="GU3" s="397"/>
      <c r="GV3" s="397"/>
      <c r="GW3" s="397"/>
      <c r="GX3" s="397"/>
      <c r="GY3" s="397"/>
      <c r="GZ3" s="397"/>
      <c r="HA3" s="397"/>
      <c r="HB3" s="397"/>
      <c r="HC3" s="397"/>
      <c r="HD3" s="397"/>
      <c r="HE3" s="397"/>
      <c r="HF3" s="397"/>
      <c r="HG3" s="397"/>
      <c r="HH3" s="397"/>
      <c r="HI3" s="397"/>
      <c r="HJ3" s="397"/>
      <c r="HK3" s="397"/>
      <c r="HL3" s="397"/>
      <c r="HM3" s="397"/>
      <c r="HN3" s="397"/>
      <c r="HO3" s="397"/>
      <c r="HP3" s="397"/>
      <c r="HQ3" s="397"/>
      <c r="HR3" s="397"/>
      <c r="HS3" s="397"/>
      <c r="HT3" s="397"/>
      <c r="HU3" s="397"/>
      <c r="HV3" s="397"/>
      <c r="HW3" s="397"/>
      <c r="HX3" s="397"/>
      <c r="HY3" s="397"/>
      <c r="HZ3" s="397"/>
      <c r="IA3" s="397"/>
      <c r="IB3" s="397"/>
      <c r="IC3" s="397"/>
      <c r="ID3" s="397"/>
      <c r="IE3" s="397"/>
      <c r="IF3" s="397"/>
      <c r="IG3" s="397"/>
      <c r="IH3" s="397"/>
      <c r="II3" s="397"/>
      <c r="IJ3" s="397"/>
      <c r="IK3" s="397"/>
      <c r="IL3" s="397"/>
      <c r="IM3" s="397"/>
      <c r="IN3" s="397"/>
      <c r="IO3" s="397"/>
      <c r="IP3" s="397"/>
      <c r="IQ3" s="397"/>
      <c r="IR3" s="397"/>
      <c r="IS3" s="397"/>
      <c r="IT3" s="397"/>
      <c r="IU3" s="681">
        <v>4</v>
      </c>
    </row>
    <row s="12008" customFormat="1" customHeight="1" ht="14.699999999999998">
      <c r="A4" s="1325"/>
      <c r="B4" s="1330"/>
      <c r="C4" s="1325"/>
      <c r="D4" s="1665"/>
      <c r="E4" s="679"/>
      <c r="F4" s="1812"/>
      <c r="G4" s="679"/>
      <c r="H4" s="679"/>
      <c r="I4" s="679"/>
      <c r="J4" s="336"/>
      <c r="K4" s="417"/>
      <c r="L4" s="670"/>
      <c r="M4" s="670"/>
      <c r="N4" s="670"/>
      <c r="O4" s="396"/>
      <c r="P4" s="670"/>
      <c r="Q4" s="395"/>
      <c r="R4" s="395"/>
      <c r="S4" s="395"/>
      <c r="T4" s="395"/>
      <c r="IU4" s="677">
        <v>14</v>
      </c>
    </row>
    <row s="12008" customFormat="1" customHeight="1" ht="27.299999999999997">
      <c r="A5" s="1325"/>
      <c r="B5" s="1330"/>
      <c r="C5" s="1325"/>
      <c r="D5" s="1665"/>
      <c r="E5" s="227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270"/>
      <c r="G5" s="2270"/>
      <c r="H5" s="2270"/>
      <c r="I5" s="2270"/>
      <c r="J5" s="2270"/>
      <c r="K5" s="417"/>
      <c r="L5" s="670"/>
      <c r="M5" s="670"/>
      <c r="N5" s="670"/>
      <c r="O5" s="396"/>
      <c r="P5" s="670"/>
      <c r="Q5" s="395"/>
      <c r="R5" s="395"/>
      <c r="S5" s="395"/>
      <c r="T5" s="395"/>
      <c r="IU5" s="677">
        <v>26</v>
      </c>
    </row>
    <row s="12008" customFormat="1" customHeight="1" ht="14.699999999999998">
      <c r="A6" s="1325"/>
      <c r="B6" s="1330"/>
      <c r="C6" s="1325"/>
      <c r="D6" s="1665"/>
      <c r="E6" s="679"/>
      <c r="F6" s="337"/>
      <c r="G6" s="337"/>
      <c r="H6" s="337"/>
      <c r="I6" s="337"/>
      <c r="J6" s="338"/>
      <c r="K6" s="670"/>
      <c r="L6" s="670"/>
      <c r="M6" s="670"/>
      <c r="N6" s="670"/>
      <c r="O6" s="396"/>
      <c r="P6" s="670"/>
      <c r="Q6" s="395"/>
      <c r="R6" s="395"/>
      <c r="S6" s="395"/>
      <c r="T6" s="395"/>
      <c r="IU6" s="677">
        <v>14</v>
      </c>
    </row>
    <row s="12008" customFormat="1" customHeight="1" ht="14.699999999999998">
      <c r="A7" s="1325"/>
      <c r="B7" s="1330"/>
      <c r="C7" s="1325"/>
      <c r="D7" s="1665"/>
      <c r="E7" s="2271" t="s">
        <v>312</v>
      </c>
      <c r="F7" s="2272"/>
      <c r="G7" s="2272"/>
      <c r="H7" s="2272"/>
      <c r="I7" s="2272"/>
      <c r="J7" s="2644" t="s">
        <v>313</v>
      </c>
      <c r="K7" s="670"/>
      <c r="L7" s="670"/>
      <c r="M7" s="670"/>
      <c r="N7" s="670"/>
      <c r="O7" s="396"/>
      <c r="P7" s="670"/>
      <c r="Q7" s="395"/>
      <c r="R7" s="395"/>
      <c r="S7" s="395"/>
      <c r="T7" s="395"/>
      <c r="IU7" s="677">
        <v>14</v>
      </c>
    </row>
    <row s="12008" customFormat="1" customHeight="1" ht="21">
      <c r="A8" s="1325"/>
      <c r="B8" s="1330"/>
      <c r="C8" s="1325"/>
      <c r="D8" s="1665"/>
      <c r="E8" s="1718" t="s">
        <v>91</v>
      </c>
      <c r="F8" s="1710" t="s">
        <v>1888</v>
      </c>
      <c r="G8" s="1710" t="s">
        <v>51</v>
      </c>
      <c r="H8" s="1710" t="s">
        <v>53</v>
      </c>
      <c r="I8" s="1710" t="s">
        <v>1889</v>
      </c>
      <c r="J8" s="2645"/>
      <c r="K8" s="670"/>
      <c r="L8" s="670"/>
      <c r="M8" s="670"/>
      <c r="N8" s="670"/>
      <c r="O8" s="396"/>
      <c r="P8" s="670"/>
      <c r="Q8" s="395"/>
      <c r="R8" s="395"/>
      <c r="S8" s="395"/>
      <c r="T8" s="395"/>
      <c r="IU8" s="677">
        <v>20</v>
      </c>
    </row>
    <row s="12053" customFormat="1" customHeight="1" ht="23.25">
      <c r="A9" s="1801"/>
      <c r="B9" s="1330">
        <v>1</v>
      </c>
      <c r="C9" s="1330"/>
      <c r="D9" s="971"/>
      <c r="E9" s="1654">
        <v>1</v>
      </c>
      <c r="F9" s="1717"/>
      <c r="G9" s="1661"/>
      <c r="H9" s="1661"/>
      <c r="I9" s="1708"/>
      <c r="J9" s="233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705"/>
      <c r="L9" s="681"/>
      <c r="M9" s="681"/>
      <c r="N9" s="670" t="str">
        <f t="array" ref="N9:N9">IF(ISERROR(MATCH(MID(O9,1,250),MID(note_ter,1,250),0)),"n","y")</f>
        <v>n</v>
      </c>
      <c r="O9" s="681"/>
      <c r="P9" s="67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330"/>
      <c r="R9" s="1330"/>
      <c r="S9" s="590"/>
      <c r="T9" s="1330"/>
      <c r="U9" s="1330"/>
      <c r="V9" s="1330"/>
      <c r="W9" s="592"/>
      <c r="X9" s="592"/>
      <c r="Y9" s="589"/>
      <c r="Z9" s="589"/>
      <c r="AA9" s="589"/>
      <c r="AB9" s="589"/>
      <c r="AC9" s="589"/>
      <c r="AD9" s="589"/>
      <c r="AE9" s="589"/>
      <c r="AF9" s="589"/>
      <c r="AG9" s="589"/>
      <c r="AH9" s="589"/>
      <c r="AI9" s="589"/>
      <c r="AJ9" s="589"/>
      <c r="AK9" s="589"/>
      <c r="AL9" s="589"/>
      <c r="AM9" s="589"/>
      <c r="AN9" s="589"/>
      <c r="AO9" s="589"/>
      <c r="AP9" s="589"/>
      <c r="AQ9" s="589"/>
      <c r="AR9" s="589"/>
      <c r="AS9" s="589"/>
      <c r="AT9" s="589"/>
      <c r="AU9" s="589"/>
      <c r="AV9" s="589"/>
      <c r="AW9" s="589"/>
      <c r="AX9" s="589"/>
      <c r="AY9" s="589"/>
      <c r="AZ9" s="589"/>
      <c r="BA9" s="589"/>
      <c r="BB9" s="589"/>
      <c r="BC9" s="589"/>
      <c r="BD9" s="589"/>
      <c r="BE9" s="589"/>
      <c r="BF9" s="589"/>
      <c r="BG9" s="589"/>
      <c r="BH9" s="589"/>
      <c r="BI9" s="589"/>
      <c r="BJ9" s="589"/>
      <c r="BK9" s="589"/>
      <c r="BL9" s="589"/>
      <c r="BM9" s="589"/>
      <c r="BN9" s="589"/>
      <c r="BO9" s="589"/>
      <c r="BP9" s="589"/>
      <c r="BQ9" s="589"/>
      <c r="BR9" s="589"/>
      <c r="BS9" s="589"/>
      <c r="BT9" s="592"/>
      <c r="BU9" s="592"/>
      <c r="BV9" s="592"/>
      <c r="BW9" s="592"/>
      <c r="BX9" s="592"/>
      <c r="BY9" s="592"/>
      <c r="BZ9" s="592"/>
      <c r="CA9" s="592"/>
      <c r="CB9" s="592"/>
      <c r="CC9" s="592"/>
      <c r="IU9" s="593">
        <v>22</v>
      </c>
    </row>
    <row s="12053" customFormat="1" customHeight="1" ht="15.75">
      <c r="A10" s="1801"/>
      <c r="B10" s="1330"/>
      <c r="C10" s="582"/>
      <c r="D10" s="971"/>
      <c r="E10" s="1711"/>
      <c r="F10" s="1670" t="s">
        <v>1890</v>
      </c>
      <c r="G10" s="1712"/>
      <c r="H10" s="1712"/>
      <c r="I10" s="2069"/>
      <c r="J10" s="2341"/>
      <c r="K10" s="1706"/>
      <c r="L10" s="681"/>
      <c r="M10" s="681"/>
      <c r="N10" s="681"/>
      <c r="O10" s="670"/>
      <c r="P10" s="681"/>
      <c r="Q10" s="1330"/>
      <c r="R10" s="1330"/>
      <c r="S10" s="590"/>
      <c r="T10" s="1330"/>
      <c r="U10" s="1330"/>
      <c r="V10" s="1330"/>
      <c r="W10" s="592"/>
      <c r="X10" s="592"/>
      <c r="Y10" s="589"/>
      <c r="Z10" s="589"/>
      <c r="AA10" s="589"/>
      <c r="AB10" s="589"/>
      <c r="AC10" s="589"/>
      <c r="AD10" s="589"/>
      <c r="AE10" s="589"/>
      <c r="AF10" s="589"/>
      <c r="AG10" s="589"/>
      <c r="AH10" s="589"/>
      <c r="AI10" s="589"/>
      <c r="AJ10" s="589"/>
      <c r="AK10" s="589"/>
      <c r="AL10" s="589"/>
      <c r="AM10" s="589"/>
      <c r="AN10" s="589"/>
      <c r="AO10" s="589"/>
      <c r="AP10" s="589"/>
      <c r="AQ10" s="589"/>
      <c r="AR10" s="589"/>
      <c r="AS10" s="589"/>
      <c r="AT10" s="589"/>
      <c r="AU10" s="589"/>
      <c r="AV10" s="589"/>
      <c r="AW10" s="589"/>
      <c r="AX10" s="589"/>
      <c r="AY10" s="589"/>
      <c r="AZ10" s="589"/>
      <c r="BA10" s="589"/>
      <c r="BB10" s="589"/>
      <c r="BC10" s="589"/>
      <c r="BD10" s="589"/>
      <c r="BE10" s="589"/>
      <c r="BF10" s="589"/>
      <c r="BG10" s="589"/>
      <c r="BH10" s="589"/>
      <c r="BI10" s="589"/>
      <c r="BJ10" s="589"/>
      <c r="BK10" s="589"/>
      <c r="BL10" s="589"/>
      <c r="BM10" s="589"/>
      <c r="BN10" s="589"/>
      <c r="BO10" s="589"/>
      <c r="BP10" s="589"/>
      <c r="BQ10" s="589"/>
      <c r="BR10" s="589"/>
      <c r="BS10" s="589"/>
      <c r="BT10" s="592"/>
      <c r="BU10" s="592"/>
      <c r="BV10" s="592"/>
      <c r="BW10" s="592"/>
      <c r="BX10" s="592"/>
      <c r="BY10" s="592"/>
      <c r="BZ10" s="592"/>
      <c r="CA10" s="592"/>
      <c r="CB10" s="592"/>
      <c r="CC10" s="592"/>
      <c r="IU10" s="593">
        <v>15</v>
      </c>
    </row>
    <row s="12008" customFormat="1" customHeight="1" ht="22.049999999999997">
      <c r="A11" s="1325"/>
      <c r="B11" s="1330"/>
      <c r="C11" s="1325"/>
      <c r="D11" s="621"/>
      <c r="E11" s="350"/>
      <c r="F11" s="350"/>
      <c r="G11" s="350"/>
      <c r="H11" s="350"/>
      <c r="I11" s="350"/>
      <c r="J11" s="350"/>
      <c r="K11" s="670"/>
      <c r="L11" s="670"/>
      <c r="M11" s="670"/>
      <c r="N11" s="670"/>
      <c r="O11" s="396"/>
      <c r="P11" s="670"/>
      <c r="Q11" s="395"/>
      <c r="R11" s="395"/>
      <c r="S11" s="395"/>
      <c r="T11" s="395"/>
      <c r="IU11" s="677">
        <v>21</v>
      </c>
    </row>
    <row s="12008" customFormat="1" customHeight="1" ht="14.699999999999998">
      <c r="A12" s="1325"/>
      <c r="B12" s="1330"/>
      <c r="C12" s="1325"/>
      <c r="D12" s="621"/>
      <c r="E12" s="1325"/>
      <c r="F12" s="1325"/>
      <c r="G12" s="1325"/>
      <c r="H12" s="1325"/>
      <c r="I12" s="1325"/>
      <c r="J12" s="1325"/>
      <c r="K12" s="670"/>
      <c r="L12" s="670"/>
      <c r="M12" s="670"/>
      <c r="N12" s="670"/>
      <c r="O12" s="396"/>
      <c r="P12" s="670"/>
      <c r="Q12" s="395"/>
      <c r="R12" s="395"/>
      <c r="S12" s="395"/>
      <c r="T12" s="395"/>
      <c r="IU12" s="677">
        <v>14</v>
      </c>
    </row>
    <row s="12008" customFormat="1" customHeight="1" ht="1.05">
      <c r="A13" s="1325"/>
      <c r="B13" s="1330"/>
      <c r="C13" s="1325"/>
      <c r="D13" s="621"/>
      <c r="E13" s="1325"/>
      <c r="F13" s="1325"/>
      <c r="G13" s="1325"/>
      <c r="H13" s="1325"/>
      <c r="I13" s="1325"/>
      <c r="J13" s="1325"/>
      <c r="K13" s="670"/>
      <c r="L13" s="670"/>
      <c r="M13" s="670"/>
      <c r="N13" s="670"/>
      <c r="O13" s="396"/>
      <c r="P13" s="670"/>
      <c r="Q13" s="395"/>
      <c r="R13" s="395"/>
      <c r="S13" s="395"/>
      <c r="T13" s="395"/>
      <c r="IU13" s="677">
        <v>1</v>
      </c>
    </row>
    <row s="12076" customFormat="1" customHeight="1" ht="10.5">
      <c r="B14" s="1004"/>
      <c r="D14" s="352"/>
      <c r="K14" s="670"/>
      <c r="L14" s="670"/>
      <c r="M14" s="670"/>
      <c r="N14" s="670"/>
      <c r="O14" s="396"/>
      <c r="P14" s="670"/>
      <c r="Q14" s="395"/>
      <c r="R14" s="395"/>
      <c r="S14" s="395"/>
      <c r="T14" s="395"/>
      <c r="IU14" s="351">
        <v>10</v>
      </c>
    </row>
    <row s="12076" customFormat="1" customHeight="1" ht="10.5">
      <c r="B15" s="1004"/>
      <c r="D15" s="352"/>
      <c r="K15" s="670"/>
      <c r="L15" s="670"/>
      <c r="M15" s="670"/>
      <c r="N15" s="670"/>
      <c r="O15" s="396"/>
      <c r="P15" s="670"/>
      <c r="Q15" s="395"/>
      <c r="R15" s="395"/>
      <c r="S15" s="395"/>
      <c r="T15" s="395"/>
      <c r="IU15" s="351">
        <v>10</v>
      </c>
    </row>
    <row customHeight="1" ht="14.699999999999998">
      <c r="IU16" s="1325">
        <v>14</v>
      </c>
    </row>
    <row customHeight="1" ht="14.699999999999998">
      <c r="IU17" s="1325">
        <v>14</v>
      </c>
    </row>
    <row customHeight="1" ht="14.699999999999998">
      <c r="IU18" s="1325">
        <v>14</v>
      </c>
    </row>
    <row customHeight="1" ht="14.699999999999998">
      <c r="G19" s="543"/>
      <c r="H19" s="543"/>
      <c r="I19" s="543"/>
      <c r="IU19" s="1325">
        <v>14</v>
      </c>
    </row>
    <row customHeight="1" ht="14.699999999999998">
      <c r="IU20" s="1325">
        <v>14</v>
      </c>
    </row>
    <row customHeight="1" ht="14.699999999999998">
      <c r="IU21" s="1325">
        <v>14</v>
      </c>
    </row>
    <row customHeight="1" ht="14.699999999999998">
      <c r="IU22" s="1325">
        <v>14</v>
      </c>
    </row>
    <row customHeight="1" ht="14.699999999999998">
      <c r="K23" s="1325"/>
      <c r="L23" s="1325"/>
      <c r="M23" s="1325"/>
      <c r="IU23" s="1325">
        <v>14</v>
      </c>
    </row>
    <row customHeight="1" ht="22.5" hidden="1">
      <c r="A24" s="1325" t="s">
        <v>85</v>
      </c>
      <c r="B24" s="1330">
        <v>0</v>
      </c>
      <c r="C24" s="1325">
        <v>0</v>
      </c>
      <c r="D24" s="621">
        <v>3</v>
      </c>
      <c r="E24" s="1325">
        <v>6</v>
      </c>
      <c r="F24" s="1325">
        <v>46</v>
      </c>
      <c r="G24" s="1325">
        <v>16</v>
      </c>
      <c r="H24" s="1325">
        <v>16</v>
      </c>
      <c r="I24" s="1325">
        <v>35</v>
      </c>
      <c r="J24" s="1325">
        <v>89</v>
      </c>
      <c r="K24" s="670">
        <v>3</v>
      </c>
      <c r="L24" s="670">
        <v>8</v>
      </c>
      <c r="M24" s="670">
        <v>8</v>
      </c>
      <c r="N24" s="670">
        <v>8</v>
      </c>
      <c r="O24" s="396">
        <v>25</v>
      </c>
      <c r="P24" s="670">
        <v>14</v>
      </c>
      <c r="Q24" s="395">
        <v>8</v>
      </c>
      <c r="R24" s="395">
        <v>8</v>
      </c>
      <c r="S24" s="395">
        <v>8</v>
      </c>
      <c r="T24" s="395">
        <v>8</v>
      </c>
      <c r="U24" s="1325">
        <v>8</v>
      </c>
      <c r="V24" s="1325">
        <v>8</v>
      </c>
      <c r="W24" s="1325">
        <v>8</v>
      </c>
      <c r="X24" s="1325">
        <v>8</v>
      </c>
      <c r="Y24" s="1325">
        <v>8</v>
      </c>
      <c r="Z24" s="1325">
        <v>8</v>
      </c>
      <c r="AA24" s="1325">
        <v>8</v>
      </c>
      <c r="AB24" s="1325">
        <v>8</v>
      </c>
      <c r="AC24" s="1325">
        <v>8</v>
      </c>
      <c r="AD24" s="1325">
        <v>8</v>
      </c>
      <c r="AE24" s="1325">
        <v>8</v>
      </c>
      <c r="AF24" s="1325">
        <v>8</v>
      </c>
      <c r="AG24" s="1325">
        <v>8</v>
      </c>
      <c r="AH24" s="1325">
        <v>8</v>
      </c>
      <c r="AI24" s="1325">
        <v>8</v>
      </c>
      <c r="AJ24" s="1325">
        <v>8</v>
      </c>
      <c r="AK24" s="1325">
        <v>8</v>
      </c>
      <c r="AL24" s="1325">
        <v>8</v>
      </c>
      <c r="AM24" s="1325">
        <v>8</v>
      </c>
      <c r="AN24" s="1325">
        <v>8</v>
      </c>
      <c r="AO24" s="1325">
        <v>8</v>
      </c>
      <c r="AP24" s="1325">
        <v>8</v>
      </c>
      <c r="AQ24" s="1325">
        <v>8</v>
      </c>
      <c r="AR24" s="1325">
        <v>8</v>
      </c>
      <c r="AS24" s="1325">
        <v>8</v>
      </c>
      <c r="AT24" s="1325">
        <v>8</v>
      </c>
      <c r="AU24" s="1325">
        <v>8</v>
      </c>
      <c r="AV24" s="1325">
        <v>8</v>
      </c>
      <c r="AW24" s="1325">
        <v>8</v>
      </c>
      <c r="AX24" s="1325">
        <v>8</v>
      </c>
      <c r="AY24" s="1325">
        <v>8</v>
      </c>
      <c r="AZ24" s="1325">
        <v>8</v>
      </c>
      <c r="BA24" s="1325">
        <v>8</v>
      </c>
      <c r="BB24" s="1325">
        <v>8</v>
      </c>
      <c r="BC24" s="1325">
        <v>8</v>
      </c>
      <c r="BD24" s="1325">
        <v>8</v>
      </c>
      <c r="BE24" s="1325">
        <v>8</v>
      </c>
      <c r="BF24" s="1325">
        <v>8</v>
      </c>
      <c r="BG24" s="1325">
        <v>8</v>
      </c>
      <c r="BH24" s="1325">
        <v>8</v>
      </c>
      <c r="BI24" s="1325">
        <v>8</v>
      </c>
      <c r="BJ24" s="1325">
        <v>8</v>
      </c>
      <c r="BK24" s="1325">
        <v>8</v>
      </c>
      <c r="BL24" s="1325">
        <v>8</v>
      </c>
      <c r="BM24" s="1325">
        <v>8</v>
      </c>
      <c r="BN24" s="1325">
        <v>8</v>
      </c>
      <c r="BO24" s="1325">
        <v>8</v>
      </c>
      <c r="BP24" s="1325">
        <v>8</v>
      </c>
      <c r="BQ24" s="1325">
        <v>8</v>
      </c>
      <c r="BR24" s="1325">
        <v>8</v>
      </c>
      <c r="BS24" s="1325">
        <v>8</v>
      </c>
      <c r="BT24" s="1325">
        <v>8</v>
      </c>
      <c r="BU24" s="1325">
        <v>8</v>
      </c>
      <c r="BV24" s="1325">
        <v>8</v>
      </c>
      <c r="BW24" s="1325">
        <v>8</v>
      </c>
      <c r="BX24" s="1325">
        <v>8</v>
      </c>
      <c r="BY24" s="1325">
        <v>8</v>
      </c>
      <c r="BZ24" s="1325">
        <v>8</v>
      </c>
      <c r="CA24" s="1325">
        <v>8</v>
      </c>
      <c r="CB24" s="1325">
        <v>8</v>
      </c>
      <c r="CC24" s="1325">
        <v>8</v>
      </c>
      <c r="CD24" s="1325">
        <v>8</v>
      </c>
      <c r="CE24" s="1325">
        <v>8</v>
      </c>
      <c r="CF24" s="1325">
        <v>8</v>
      </c>
      <c r="CG24" s="1325">
        <v>8</v>
      </c>
      <c r="CH24" s="1325">
        <v>8</v>
      </c>
      <c r="CI24" s="1325">
        <v>8</v>
      </c>
      <c r="CJ24" s="1325">
        <v>8</v>
      </c>
      <c r="CK24" s="1325">
        <v>8</v>
      </c>
      <c r="CL24" s="1325">
        <v>8</v>
      </c>
      <c r="CM24" s="1325">
        <v>8</v>
      </c>
      <c r="CN24" s="1325">
        <v>8</v>
      </c>
      <c r="CO24" s="1325">
        <v>8</v>
      </c>
      <c r="CP24" s="1325">
        <v>8</v>
      </c>
      <c r="CQ24" s="1325">
        <v>8</v>
      </c>
      <c r="CR24" s="1325">
        <v>8</v>
      </c>
      <c r="CS24" s="1325">
        <v>8</v>
      </c>
      <c r="CT24" s="1325">
        <v>8</v>
      </c>
      <c r="CU24" s="1325">
        <v>8</v>
      </c>
      <c r="CV24" s="1325">
        <v>8</v>
      </c>
      <c r="CW24" s="1325">
        <v>8</v>
      </c>
      <c r="CX24" s="1325">
        <v>8</v>
      </c>
      <c r="CY24" s="1325">
        <v>8</v>
      </c>
      <c r="CZ24" s="1325">
        <v>8</v>
      </c>
      <c r="DA24" s="1325">
        <v>8</v>
      </c>
      <c r="DB24" s="1325">
        <v>8</v>
      </c>
      <c r="DC24" s="1325">
        <v>8</v>
      </c>
      <c r="DD24" s="1325">
        <v>8</v>
      </c>
      <c r="DE24" s="1325">
        <v>8</v>
      </c>
      <c r="DF24" s="1325">
        <v>8</v>
      </c>
      <c r="DG24" s="1325">
        <v>8</v>
      </c>
      <c r="DH24" s="1325">
        <v>8</v>
      </c>
      <c r="DI24" s="1325">
        <v>8</v>
      </c>
      <c r="DJ24" s="1325">
        <v>8</v>
      </c>
      <c r="DK24" s="1325">
        <v>8</v>
      </c>
      <c r="DL24" s="1325">
        <v>8</v>
      </c>
      <c r="DM24" s="1325">
        <v>8</v>
      </c>
      <c r="DN24" s="1325">
        <v>8</v>
      </c>
      <c r="DO24" s="1325">
        <v>8</v>
      </c>
      <c r="DP24" s="1325">
        <v>8</v>
      </c>
      <c r="DQ24" s="1325">
        <v>8</v>
      </c>
      <c r="DR24" s="1325">
        <v>8</v>
      </c>
      <c r="DS24" s="1325">
        <v>8</v>
      </c>
      <c r="DT24" s="1325">
        <v>8</v>
      </c>
      <c r="DU24" s="1325">
        <v>8</v>
      </c>
      <c r="DV24" s="1325">
        <v>8</v>
      </c>
      <c r="DW24" s="1325">
        <v>8</v>
      </c>
      <c r="DX24" s="1325">
        <v>8</v>
      </c>
      <c r="DY24" s="1325">
        <v>8</v>
      </c>
      <c r="DZ24" s="1325">
        <v>8</v>
      </c>
      <c r="EA24" s="1325">
        <v>8</v>
      </c>
      <c r="EB24" s="1325">
        <v>8</v>
      </c>
      <c r="EC24" s="1325">
        <v>8</v>
      </c>
      <c r="ED24" s="1325">
        <v>8</v>
      </c>
      <c r="EE24" s="1325">
        <v>8</v>
      </c>
      <c r="EF24" s="1325">
        <v>8</v>
      </c>
      <c r="EG24" s="1325">
        <v>8</v>
      </c>
      <c r="EH24" s="1325">
        <v>8</v>
      </c>
      <c r="EI24" s="1325">
        <v>8</v>
      </c>
      <c r="EJ24" s="1325">
        <v>8</v>
      </c>
      <c r="EK24" s="1325">
        <v>8</v>
      </c>
      <c r="EL24" s="1325">
        <v>8</v>
      </c>
      <c r="EM24" s="1325">
        <v>8</v>
      </c>
      <c r="EN24" s="1325">
        <v>8</v>
      </c>
      <c r="EO24" s="1325">
        <v>8</v>
      </c>
      <c r="EP24" s="1325">
        <v>8</v>
      </c>
      <c r="EQ24" s="1325">
        <v>8</v>
      </c>
      <c r="ER24" s="1325">
        <v>8</v>
      </c>
      <c r="ES24" s="1325">
        <v>8</v>
      </c>
      <c r="ET24" s="1325">
        <v>8</v>
      </c>
      <c r="EU24" s="1325">
        <v>8</v>
      </c>
      <c r="EV24" s="1325">
        <v>8</v>
      </c>
      <c r="EW24" s="1325">
        <v>8</v>
      </c>
      <c r="EX24" s="1325">
        <v>8</v>
      </c>
      <c r="EY24" s="1325">
        <v>8</v>
      </c>
      <c r="EZ24" s="1325">
        <v>8</v>
      </c>
      <c r="FA24" s="1325">
        <v>8</v>
      </c>
      <c r="FB24" s="1325">
        <v>8</v>
      </c>
      <c r="FC24" s="1325">
        <v>8</v>
      </c>
      <c r="FD24" s="1325">
        <v>8</v>
      </c>
      <c r="FE24" s="1325">
        <v>8</v>
      </c>
      <c r="FF24" s="1325">
        <v>8</v>
      </c>
      <c r="FG24" s="1325">
        <v>8</v>
      </c>
      <c r="FH24" s="1325">
        <v>8</v>
      </c>
      <c r="FI24" s="1325">
        <v>8</v>
      </c>
      <c r="FJ24" s="1325">
        <v>8</v>
      </c>
      <c r="FK24" s="1325">
        <v>8</v>
      </c>
      <c r="FL24" s="1325">
        <v>8</v>
      </c>
      <c r="FM24" s="1325">
        <v>8</v>
      </c>
      <c r="FN24" s="1325">
        <v>8</v>
      </c>
      <c r="FO24" s="1325">
        <v>8</v>
      </c>
      <c r="FP24" s="1325">
        <v>8</v>
      </c>
      <c r="FQ24" s="1325">
        <v>8</v>
      </c>
      <c r="FR24" s="1325">
        <v>8</v>
      </c>
      <c r="FS24" s="1325">
        <v>8</v>
      </c>
      <c r="FT24" s="1325">
        <v>8</v>
      </c>
      <c r="FU24" s="1325">
        <v>8</v>
      </c>
      <c r="FV24" s="1325">
        <v>8</v>
      </c>
      <c r="FW24" s="1325">
        <v>8</v>
      </c>
      <c r="FX24" s="1325">
        <v>8</v>
      </c>
      <c r="FY24" s="1325">
        <v>8</v>
      </c>
      <c r="FZ24" s="1325">
        <v>8</v>
      </c>
      <c r="GA24" s="1325">
        <v>8</v>
      </c>
      <c r="GB24" s="1325">
        <v>8</v>
      </c>
      <c r="GC24" s="1325">
        <v>8</v>
      </c>
      <c r="GD24" s="1325">
        <v>8</v>
      </c>
      <c r="GE24" s="1325">
        <v>8</v>
      </c>
      <c r="GF24" s="1325">
        <v>8</v>
      </c>
      <c r="GG24" s="1325">
        <v>8</v>
      </c>
      <c r="GH24" s="1325">
        <v>8</v>
      </c>
      <c r="GI24" s="1325">
        <v>8</v>
      </c>
      <c r="GJ24" s="1325">
        <v>8</v>
      </c>
      <c r="GK24" s="1325">
        <v>8</v>
      </c>
      <c r="GL24" s="1325">
        <v>8</v>
      </c>
      <c r="GM24" s="1325">
        <v>8</v>
      </c>
      <c r="GN24" s="1325">
        <v>8</v>
      </c>
      <c r="GO24" s="1325">
        <v>8</v>
      </c>
      <c r="GP24" s="1325">
        <v>8</v>
      </c>
      <c r="GQ24" s="1325">
        <v>8</v>
      </c>
      <c r="GR24" s="1325">
        <v>8</v>
      </c>
      <c r="GS24" s="1325">
        <v>8</v>
      </c>
      <c r="GT24" s="1325">
        <v>8</v>
      </c>
      <c r="GU24" s="1325">
        <v>8</v>
      </c>
      <c r="GV24" s="1325">
        <v>8</v>
      </c>
      <c r="GW24" s="1325">
        <v>8</v>
      </c>
      <c r="GX24" s="1325">
        <v>8</v>
      </c>
      <c r="GY24" s="1325">
        <v>8</v>
      </c>
      <c r="GZ24" s="1325">
        <v>8</v>
      </c>
      <c r="HA24" s="1325">
        <v>8</v>
      </c>
      <c r="HB24" s="1325">
        <v>8</v>
      </c>
      <c r="HC24" s="1325">
        <v>8</v>
      </c>
      <c r="HD24" s="1325">
        <v>8</v>
      </c>
      <c r="HE24" s="1325">
        <v>8</v>
      </c>
      <c r="HF24" s="1325">
        <v>8</v>
      </c>
      <c r="HG24" s="1325">
        <v>8</v>
      </c>
      <c r="HH24" s="1325">
        <v>8</v>
      </c>
      <c r="HI24" s="1325">
        <v>8</v>
      </c>
      <c r="HJ24" s="1325">
        <v>8</v>
      </c>
      <c r="HK24" s="1325">
        <v>8</v>
      </c>
      <c r="HL24" s="1325">
        <v>8</v>
      </c>
      <c r="HM24" s="1325">
        <v>8</v>
      </c>
      <c r="HN24" s="1325">
        <v>8</v>
      </c>
      <c r="HO24" s="1325">
        <v>8</v>
      </c>
      <c r="HP24" s="1325">
        <v>8</v>
      </c>
      <c r="HQ24" s="1325">
        <v>8</v>
      </c>
      <c r="HR24" s="1325">
        <v>8</v>
      </c>
      <c r="HS24" s="1325">
        <v>8</v>
      </c>
      <c r="HT24" s="1325">
        <v>8</v>
      </c>
      <c r="HU24" s="1325">
        <v>8</v>
      </c>
      <c r="HV24" s="1325">
        <v>8</v>
      </c>
      <c r="HW24" s="1325">
        <v>8</v>
      </c>
      <c r="HX24" s="1325">
        <v>8</v>
      </c>
      <c r="HY24" s="1325">
        <v>8</v>
      </c>
      <c r="HZ24" s="1325">
        <v>8</v>
      </c>
      <c r="IA24" s="1325">
        <v>8</v>
      </c>
      <c r="IB24" s="1325">
        <v>8</v>
      </c>
      <c r="IC24" s="1325">
        <v>8</v>
      </c>
      <c r="ID24" s="1325">
        <v>8</v>
      </c>
      <c r="IE24" s="1325">
        <v>8</v>
      </c>
      <c r="IF24" s="1325">
        <v>8</v>
      </c>
      <c r="IG24" s="1325">
        <v>8</v>
      </c>
      <c r="IH24" s="1325">
        <v>8</v>
      </c>
      <c r="II24" s="1325">
        <v>8</v>
      </c>
      <c r="IJ24" s="1325">
        <v>8</v>
      </c>
      <c r="IK24" s="1325">
        <v>8</v>
      </c>
      <c r="IL24" s="1325">
        <v>8</v>
      </c>
      <c r="IM24" s="1325">
        <v>8</v>
      </c>
      <c r="IN24" s="1325">
        <v>8</v>
      </c>
      <c r="IO24" s="1325">
        <v>8</v>
      </c>
      <c r="IP24" s="1325">
        <v>8</v>
      </c>
      <c r="IQ24" s="1325">
        <v>8</v>
      </c>
      <c r="IR24" s="1325">
        <v>8</v>
      </c>
      <c r="IS24" s="1325">
        <v>8</v>
      </c>
      <c r="IT24" s="1325">
        <v>8</v>
      </c>
      <c r="IU24" s="132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2BE694-4A32-5059-2DC1-D8B9C17DB349}" mc:Ignorable="x14ac xr xr2 xr3">
  <dimension ref="A1:IW15"/>
  <sheetViews>
    <sheetView topLeftCell="A1" showGridLines="0" zoomScale="90" workbookViewId="0">
      <selection activeCell="A1" sqref="A1"/>
    </sheetView>
  </sheetViews>
  <sheetFormatPr defaultColWidth="9.140625" customHeight="1" defaultRowHeight="14.25"/>
  <cols>
    <col min="1" max="1" style="11913" width="9.140625" hidden="1"/>
    <col min="2" max="2" style="11992" width="9.140625" hidden="1"/>
    <col min="3" max="3" style="11913" width="3.7109375" hidden="1" customWidth="1"/>
    <col min="4" max="4" style="12081" width="3.00390625" customWidth="1"/>
    <col min="5" max="5" style="11913" width="6.00390625" customWidth="1"/>
    <col min="6" max="6" style="11913" width="27.00390625" customWidth="1"/>
    <col min="7" max="7" style="11913" width="16.00390625" customWidth="1"/>
    <col min="8" max="8" style="11913" width="12.00390625" customWidth="1"/>
    <col min="9" max="9" style="11913" width="32.00390625" customWidth="1"/>
    <col min="10" max="11" style="11913" width="41.00390625" customWidth="1"/>
    <col min="12" max="12" style="11913" width="89.00390625" customWidth="1"/>
    <col min="13" max="13" style="12082" width="3.00390625" customWidth="1"/>
    <col min="14" max="16" style="12082" width="8.00390625" customWidth="1"/>
    <col min="17" max="17" style="12082" width="25.00390625" customWidth="1"/>
    <col min="18" max="18" style="12082" width="14.00390625" customWidth="1"/>
    <col min="19" max="22" style="12083" width="8.00390625" customWidth="1"/>
    <col min="23" max="256" style="11913" width="8.00390625" customWidth="1"/>
    <col min="257" max="257" style="11913" width="9.140625" hidden="1"/>
  </cols>
  <sheetData>
    <row customHeight="1" ht="22.5" hidden="1">
      <c r="IW1" s="1325" t="s">
        <v>14</v>
      </c>
    </row>
    <row s="12053" customFormat="1" customHeight="1" ht="22.5" hidden="1">
      <c r="A2" s="1001"/>
      <c r="B2" s="1330">
        <v>1</v>
      </c>
      <c r="C2" s="1330"/>
      <c r="D2" s="2098" t="s">
        <v>437</v>
      </c>
      <c r="E2" s="2059"/>
      <c r="F2" s="2062" t="str">
        <f>IF(ROIV_INFO_NAME="","",ROIV_INFO_NAME)</f>
        <v>Филиал "Шатурская ГРЭС" ПАО "Юнипро"</v>
      </c>
      <c r="G2" s="2087" t="s">
        <v>28</v>
      </c>
      <c r="H2" s="2086"/>
      <c r="I2" s="1708"/>
      <c r="J2" s="988"/>
      <c r="K2" s="988"/>
      <c r="L2" s="398"/>
      <c r="M2" s="1705">
        <f>MERGEVALUE(F2)</f>
      </c>
      <c r="N2" s="681"/>
      <c r="O2" s="681"/>
      <c r="P2" s="670" t="str">
        <f t="array" ref="P2:P2">IF(ISERROR(MATCH(MID(Q2,1,250),MID(note_ter,1,250),0)),"n","y")</f>
        <v>n</v>
      </c>
      <c r="Q2" s="681"/>
      <c r="R2" s="670" t="str">
        <f>G2&amp;"("&amp;L2&amp;")"</f>
        <v>()</v>
      </c>
      <c r="S2" s="1330"/>
      <c r="T2" s="1330"/>
      <c r="U2" s="590"/>
      <c r="V2" s="1330"/>
      <c r="W2" s="1330"/>
      <c r="X2" s="1330"/>
      <c r="Y2" s="592"/>
      <c r="Z2" s="592"/>
      <c r="AA2" s="589"/>
      <c r="AB2" s="589"/>
      <c r="AC2" s="589"/>
      <c r="AD2" s="589"/>
      <c r="AE2" s="589"/>
      <c r="AF2" s="589"/>
      <c r="AG2" s="589"/>
      <c r="AH2" s="589"/>
      <c r="AI2" s="589"/>
      <c r="AJ2" s="589"/>
      <c r="AK2" s="589"/>
      <c r="AL2" s="589"/>
      <c r="AM2" s="589"/>
      <c r="AN2" s="589"/>
      <c r="AO2" s="589"/>
      <c r="AP2" s="589"/>
      <c r="AQ2" s="589"/>
      <c r="AR2" s="589"/>
      <c r="AS2" s="589"/>
      <c r="AT2" s="589"/>
      <c r="AU2" s="589"/>
      <c r="AV2" s="589"/>
      <c r="AW2" s="589"/>
      <c r="AX2" s="589"/>
      <c r="AY2" s="589"/>
      <c r="AZ2" s="589"/>
      <c r="BA2" s="589"/>
      <c r="BB2" s="589"/>
      <c r="BC2" s="589"/>
      <c r="BD2" s="589"/>
      <c r="BE2" s="589"/>
      <c r="BF2" s="589"/>
      <c r="BG2" s="589"/>
      <c r="BH2" s="589"/>
      <c r="BI2" s="589"/>
      <c r="BJ2" s="589"/>
      <c r="BK2" s="589"/>
      <c r="BL2" s="589"/>
      <c r="BM2" s="589"/>
      <c r="BN2" s="589"/>
      <c r="BO2" s="589"/>
      <c r="BP2" s="589"/>
      <c r="BQ2" s="589"/>
      <c r="BR2" s="589"/>
      <c r="BS2" s="589"/>
      <c r="BT2" s="589"/>
      <c r="BU2" s="589"/>
      <c r="BV2" s="592"/>
      <c r="BW2" s="592"/>
      <c r="BX2" s="592"/>
      <c r="BY2" s="592"/>
      <c r="BZ2" s="592"/>
      <c r="CA2" s="592"/>
      <c r="CB2" s="592"/>
      <c r="CC2" s="592"/>
      <c r="CD2" s="592"/>
      <c r="CE2" s="592"/>
      <c r="IW2" s="593">
        <v>0</v>
      </c>
    </row>
    <row s="11993" customFormat="1" customHeight="1" ht="5.25" hidden="1">
      <c r="A3" s="666"/>
      <c r="D3" s="664"/>
      <c r="F3" s="417" t="s">
        <v>86</v>
      </c>
      <c r="G3" s="1905" t="s">
        <v>87</v>
      </c>
      <c r="H3" s="664"/>
      <c r="I3" s="664"/>
      <c r="J3" s="664"/>
      <c r="K3" s="664"/>
      <c r="L3" s="397" t="s">
        <v>88</v>
      </c>
      <c r="M3" s="417" t="s">
        <v>86</v>
      </c>
      <c r="N3" s="417"/>
      <c r="O3" s="417"/>
      <c r="P3" s="417"/>
      <c r="Q3" s="418"/>
      <c r="R3" s="417"/>
      <c r="S3" s="417"/>
      <c r="T3" s="417"/>
      <c r="U3" s="417"/>
      <c r="V3" s="417"/>
      <c r="W3" s="397"/>
      <c r="X3" s="397"/>
      <c r="Y3" s="397"/>
      <c r="Z3" s="397"/>
      <c r="AA3" s="397"/>
      <c r="AB3" s="397"/>
      <c r="AC3" s="397"/>
      <c r="AD3" s="397"/>
      <c r="AE3" s="397"/>
      <c r="AF3" s="397"/>
      <c r="AG3" s="397"/>
      <c r="AH3" s="397"/>
      <c r="AI3" s="397"/>
      <c r="AJ3" s="397"/>
      <c r="AK3" s="397"/>
      <c r="AL3" s="397"/>
      <c r="AM3" s="397"/>
      <c r="AN3" s="397"/>
      <c r="AO3" s="397"/>
      <c r="AP3" s="397"/>
      <c r="AQ3" s="397"/>
      <c r="AR3" s="397"/>
      <c r="AS3" s="397"/>
      <c r="AT3" s="397"/>
      <c r="AU3" s="397"/>
      <c r="AV3" s="397"/>
      <c r="AW3" s="397"/>
      <c r="AX3" s="397"/>
      <c r="AY3" s="397"/>
      <c r="AZ3" s="397"/>
      <c r="BA3" s="397"/>
      <c r="BB3" s="397"/>
      <c r="BC3" s="397"/>
      <c r="BD3" s="397"/>
      <c r="BE3" s="397"/>
      <c r="BF3" s="397"/>
      <c r="BG3" s="397"/>
      <c r="BH3" s="397"/>
      <c r="BI3" s="397"/>
      <c r="BJ3" s="397"/>
      <c r="BK3" s="397"/>
      <c r="BL3" s="397"/>
      <c r="BM3" s="397"/>
      <c r="BN3" s="397"/>
      <c r="BO3" s="397"/>
      <c r="BP3" s="397"/>
      <c r="BQ3" s="397"/>
      <c r="BR3" s="397"/>
      <c r="BS3" s="397"/>
      <c r="BT3" s="397"/>
      <c r="BU3" s="397"/>
      <c r="BV3" s="397"/>
      <c r="BW3" s="397"/>
      <c r="BX3" s="397"/>
      <c r="BY3" s="397"/>
      <c r="BZ3" s="397"/>
      <c r="CA3" s="397"/>
      <c r="CB3" s="397"/>
      <c r="CC3" s="397"/>
      <c r="CD3" s="397"/>
      <c r="CE3" s="397"/>
      <c r="CF3" s="397"/>
      <c r="CG3" s="397"/>
      <c r="CH3" s="397"/>
      <c r="CI3" s="397"/>
      <c r="CJ3" s="397"/>
      <c r="CK3" s="397"/>
      <c r="CL3" s="397"/>
      <c r="CM3" s="397"/>
      <c r="CN3" s="397"/>
      <c r="CO3" s="397"/>
      <c r="CP3" s="397"/>
      <c r="CQ3" s="397"/>
      <c r="CR3" s="397"/>
      <c r="CS3" s="397"/>
      <c r="CT3" s="397"/>
      <c r="CU3" s="397"/>
      <c r="CV3" s="397"/>
      <c r="CW3" s="397"/>
      <c r="CX3" s="397"/>
      <c r="CY3" s="397"/>
      <c r="CZ3" s="397"/>
      <c r="DA3" s="397"/>
      <c r="DB3" s="397"/>
      <c r="DC3" s="397"/>
      <c r="DD3" s="397"/>
      <c r="DE3" s="397"/>
      <c r="DF3" s="397"/>
      <c r="DG3" s="397"/>
      <c r="DH3" s="397"/>
      <c r="DI3" s="397"/>
      <c r="DJ3" s="397"/>
      <c r="DK3" s="397"/>
      <c r="DL3" s="397"/>
      <c r="DM3" s="397"/>
      <c r="DN3" s="397"/>
      <c r="DO3" s="397"/>
      <c r="DP3" s="397"/>
      <c r="DQ3" s="397"/>
      <c r="DR3" s="397"/>
      <c r="DS3" s="397"/>
      <c r="DT3" s="397"/>
      <c r="DU3" s="397"/>
      <c r="DV3" s="397"/>
      <c r="DW3" s="397"/>
      <c r="DX3" s="397"/>
      <c r="DY3" s="397"/>
      <c r="DZ3" s="397"/>
      <c r="EA3" s="397"/>
      <c r="EB3" s="397"/>
      <c r="EC3" s="397"/>
      <c r="ED3" s="397"/>
      <c r="EE3" s="397"/>
      <c r="EF3" s="397"/>
      <c r="EG3" s="397"/>
      <c r="EH3" s="397"/>
      <c r="EI3" s="397"/>
      <c r="EJ3" s="397"/>
      <c r="EK3" s="397"/>
      <c r="EL3" s="397"/>
      <c r="EM3" s="397"/>
      <c r="EN3" s="397"/>
      <c r="EO3" s="397"/>
      <c r="EP3" s="397"/>
      <c r="EQ3" s="397"/>
      <c r="ER3" s="397"/>
      <c r="ES3" s="397"/>
      <c r="ET3" s="397"/>
      <c r="EU3" s="397"/>
      <c r="EV3" s="397"/>
      <c r="EW3" s="397"/>
      <c r="EX3" s="397"/>
      <c r="EY3" s="397"/>
      <c r="EZ3" s="397"/>
      <c r="FA3" s="397"/>
      <c r="FB3" s="397"/>
      <c r="FC3" s="397"/>
      <c r="FD3" s="397"/>
      <c r="FE3" s="397"/>
      <c r="FF3" s="397"/>
      <c r="FG3" s="397"/>
      <c r="FH3" s="397"/>
      <c r="FI3" s="397"/>
      <c r="FJ3" s="397"/>
      <c r="FK3" s="397"/>
      <c r="FL3" s="397"/>
      <c r="FM3" s="397"/>
      <c r="FN3" s="397"/>
      <c r="FO3" s="397"/>
      <c r="FP3" s="397"/>
      <c r="FQ3" s="397"/>
      <c r="FR3" s="397"/>
      <c r="FS3" s="397"/>
      <c r="FT3" s="397"/>
      <c r="FU3" s="397"/>
      <c r="FV3" s="397"/>
      <c r="FW3" s="397"/>
      <c r="FX3" s="397"/>
      <c r="FY3" s="397"/>
      <c r="FZ3" s="397"/>
      <c r="GA3" s="397"/>
      <c r="GB3" s="397"/>
      <c r="GC3" s="397"/>
      <c r="GD3" s="397"/>
      <c r="GE3" s="397"/>
      <c r="GF3" s="397"/>
      <c r="GG3" s="397"/>
      <c r="GH3" s="397"/>
      <c r="GI3" s="397"/>
      <c r="GJ3" s="397"/>
      <c r="GK3" s="397"/>
      <c r="GL3" s="397"/>
      <c r="GM3" s="397"/>
      <c r="GN3" s="397"/>
      <c r="GO3" s="397"/>
      <c r="GP3" s="397"/>
      <c r="GQ3" s="397"/>
      <c r="GR3" s="397"/>
      <c r="GS3" s="397"/>
      <c r="GT3" s="397"/>
      <c r="GU3" s="397"/>
      <c r="GV3" s="397"/>
      <c r="GW3" s="397"/>
      <c r="GX3" s="397"/>
      <c r="GY3" s="397"/>
      <c r="GZ3" s="397"/>
      <c r="HA3" s="397"/>
      <c r="HB3" s="397"/>
      <c r="HC3" s="397"/>
      <c r="HD3" s="397"/>
      <c r="HE3" s="397"/>
      <c r="HF3" s="397"/>
      <c r="HG3" s="397"/>
      <c r="HH3" s="397"/>
      <c r="HI3" s="397"/>
      <c r="HJ3" s="397"/>
      <c r="HK3" s="397"/>
      <c r="HL3" s="397"/>
      <c r="HM3" s="397"/>
      <c r="HN3" s="397"/>
      <c r="HO3" s="397"/>
      <c r="HP3" s="397"/>
      <c r="HQ3" s="397"/>
      <c r="HR3" s="397"/>
      <c r="HS3" s="397"/>
      <c r="HT3" s="397"/>
      <c r="HU3" s="397"/>
      <c r="HV3" s="397"/>
      <c r="HW3" s="397"/>
      <c r="HX3" s="397"/>
      <c r="HY3" s="397"/>
      <c r="HZ3" s="397"/>
      <c r="IA3" s="397"/>
      <c r="IB3" s="397"/>
      <c r="IC3" s="397"/>
      <c r="ID3" s="397"/>
      <c r="IE3" s="397"/>
      <c r="IF3" s="397"/>
      <c r="IG3" s="397"/>
      <c r="IH3" s="397"/>
      <c r="II3" s="397"/>
      <c r="IJ3" s="397"/>
      <c r="IK3" s="397"/>
      <c r="IL3" s="397"/>
      <c r="IM3" s="397"/>
      <c r="IN3" s="397"/>
      <c r="IO3" s="397"/>
      <c r="IP3" s="397"/>
      <c r="IQ3" s="397"/>
      <c r="IR3" s="397"/>
      <c r="IS3" s="397"/>
      <c r="IT3" s="397"/>
      <c r="IU3" s="397"/>
      <c r="IV3" s="397"/>
      <c r="IW3" s="681">
        <v>0</v>
      </c>
    </row>
    <row s="12008" customFormat="1" customHeight="1" ht="14.699999999999998">
      <c r="A4" s="1325"/>
      <c r="B4" s="1330"/>
      <c r="C4" s="1325"/>
      <c r="D4" s="1665"/>
      <c r="E4" s="679"/>
      <c r="F4" s="679"/>
      <c r="G4" s="679"/>
      <c r="H4" s="679"/>
      <c r="I4" s="679"/>
      <c r="J4" s="679"/>
      <c r="K4" s="679"/>
      <c r="L4" s="336"/>
      <c r="M4" s="417"/>
      <c r="N4" s="670"/>
      <c r="O4" s="670"/>
      <c r="P4" s="670"/>
      <c r="Q4" s="396"/>
      <c r="R4" s="670"/>
      <c r="S4" s="395"/>
      <c r="T4" s="395"/>
      <c r="U4" s="395"/>
      <c r="V4" s="395"/>
      <c r="IW4" s="677">
        <v>14</v>
      </c>
    </row>
    <row s="12008" customFormat="1" customHeight="1" ht="27.299999999999997">
      <c r="A5" s="1325"/>
      <c r="B5" s="1330"/>
      <c r="C5" s="1325"/>
      <c r="D5" s="1665"/>
      <c r="E5" s="227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70"/>
      <c r="G5" s="2270"/>
      <c r="H5" s="2270"/>
      <c r="I5" s="2270"/>
      <c r="J5" s="2270"/>
      <c r="K5" s="2270"/>
      <c r="L5" s="758"/>
      <c r="M5" s="417"/>
      <c r="N5" s="670"/>
      <c r="O5" s="670"/>
      <c r="P5" s="670"/>
      <c r="Q5" s="396"/>
      <c r="R5" s="670"/>
      <c r="S5" s="395"/>
      <c r="T5" s="395"/>
      <c r="U5" s="395"/>
      <c r="V5" s="395"/>
      <c r="IW5" s="677">
        <v>26</v>
      </c>
    </row>
    <row s="12008" customFormat="1" customHeight="1" ht="14.699999999999998">
      <c r="A6" s="1325"/>
      <c r="B6" s="1330"/>
      <c r="C6" s="1325"/>
      <c r="D6" s="1665"/>
      <c r="E6" s="679"/>
      <c r="F6" s="337"/>
      <c r="G6" s="337"/>
      <c r="H6" s="337"/>
      <c r="I6" s="337"/>
      <c r="J6" s="337"/>
      <c r="K6" s="337"/>
      <c r="L6" s="338"/>
      <c r="M6" s="670"/>
      <c r="N6" s="670"/>
      <c r="O6" s="670"/>
      <c r="P6" s="670"/>
      <c r="Q6" s="396"/>
      <c r="R6" s="670"/>
      <c r="S6" s="395"/>
      <c r="T6" s="395"/>
      <c r="U6" s="395"/>
      <c r="V6" s="395"/>
      <c r="IW6" s="677">
        <v>14</v>
      </c>
    </row>
    <row s="12008" customFormat="1" customHeight="1" ht="14.699999999999998">
      <c r="A7" s="1325"/>
      <c r="B7" s="1330"/>
      <c r="C7" s="1325"/>
      <c r="D7" s="1665"/>
      <c r="E7" s="2271" t="s">
        <v>312</v>
      </c>
      <c r="F7" s="2272"/>
      <c r="G7" s="2272"/>
      <c r="H7" s="2272"/>
      <c r="I7" s="2272"/>
      <c r="J7" s="2272"/>
      <c r="K7" s="2272"/>
      <c r="L7" s="2644" t="s">
        <v>313</v>
      </c>
      <c r="M7" s="670"/>
      <c r="N7" s="670"/>
      <c r="O7" s="670"/>
      <c r="P7" s="670"/>
      <c r="Q7" s="396"/>
      <c r="R7" s="670"/>
      <c r="S7" s="395"/>
      <c r="T7" s="395"/>
      <c r="U7" s="395"/>
      <c r="V7" s="395"/>
      <c r="IW7" s="677">
        <v>14</v>
      </c>
    </row>
    <row s="12008" customFormat="1" customHeight="1" ht="67.2">
      <c r="A8" s="1325"/>
      <c r="B8" s="1330"/>
      <c r="C8" s="1325"/>
      <c r="D8" s="1665"/>
      <c r="E8" s="2648" t="s">
        <v>91</v>
      </c>
      <c r="F8" s="264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65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651"/>
      <c r="I8" s="2652"/>
      <c r="J8" s="264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64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646"/>
      <c r="M8" s="670"/>
      <c r="N8" s="670"/>
      <c r="O8" s="670"/>
      <c r="P8" s="670"/>
      <c r="Q8" s="396"/>
      <c r="R8" s="670"/>
      <c r="S8" s="395"/>
      <c r="T8" s="395"/>
      <c r="U8" s="395"/>
      <c r="V8" s="395"/>
      <c r="IW8" s="677">
        <v>64</v>
      </c>
    </row>
    <row s="12008" customFormat="1" customHeight="1" ht="29.25">
      <c r="A9" s="1325"/>
      <c r="B9" s="1330"/>
      <c r="C9" s="1325"/>
      <c r="D9" s="1665"/>
      <c r="E9" s="2649"/>
      <c r="F9" s="2649"/>
      <c r="G9" s="1707" t="s">
        <v>1891</v>
      </c>
      <c r="H9" s="1707" t="s">
        <v>1892</v>
      </c>
      <c r="I9" s="1707" t="s">
        <v>1893</v>
      </c>
      <c r="J9" s="2649"/>
      <c r="K9" s="2649"/>
      <c r="L9" s="2645"/>
      <c r="M9" s="670"/>
      <c r="N9" s="670"/>
      <c r="O9" s="670"/>
      <c r="P9" s="670"/>
      <c r="Q9" s="396"/>
      <c r="R9" s="670"/>
      <c r="S9" s="395"/>
      <c r="T9" s="395"/>
      <c r="U9" s="395"/>
      <c r="V9" s="395"/>
      <c r="IW9" s="677">
        <v>28</v>
      </c>
    </row>
    <row s="12053" customFormat="1" customHeight="1" ht="23.25">
      <c r="A10" s="2269"/>
      <c r="B10" s="1330">
        <v>1</v>
      </c>
      <c r="C10" s="1330"/>
      <c r="D10" s="970"/>
      <c r="E10" s="968">
        <v>1</v>
      </c>
      <c r="F10" s="1709" t="str">
        <f>IF(ROIV_INFO_NAME="","",ROIV_INFO_NAME)</f>
        <v>Филиал "Шатурская ГРЭС" ПАО "Юнипро"</v>
      </c>
      <c r="G10" s="1902" t="s">
        <v>28</v>
      </c>
      <c r="H10" s="2086"/>
      <c r="I10" s="1704"/>
      <c r="J10" s="988"/>
      <c r="K10" s="988"/>
      <c r="L10" s="260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705">
        <f>MERGEVALUE(F10)</f>
      </c>
      <c r="N10" s="681"/>
      <c r="O10" s="681"/>
      <c r="P10" s="670" t="str">
        <f t="array" ref="P10:P10">IF(ISERROR(MATCH(MID(Q10,1,250),MID(note_ter,1,250),0)),"n","y")</f>
        <v>n</v>
      </c>
      <c r="Q10" s="681"/>
      <c r="R10" s="67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30"/>
      <c r="T10" s="1330"/>
      <c r="U10" s="590"/>
      <c r="V10" s="1330"/>
      <c r="W10" s="1330"/>
      <c r="X10" s="1330"/>
      <c r="Y10" s="592"/>
      <c r="Z10" s="592"/>
      <c r="AA10" s="589"/>
      <c r="AB10" s="589"/>
      <c r="AC10" s="589"/>
      <c r="AD10" s="589"/>
      <c r="AE10" s="589"/>
      <c r="AF10" s="589"/>
      <c r="AG10" s="589"/>
      <c r="AH10" s="589"/>
      <c r="AI10" s="589"/>
      <c r="AJ10" s="589"/>
      <c r="AK10" s="589"/>
      <c r="AL10" s="589"/>
      <c r="AM10" s="589"/>
      <c r="AN10" s="589"/>
      <c r="AO10" s="589"/>
      <c r="AP10" s="589"/>
      <c r="AQ10" s="589"/>
      <c r="AR10" s="589"/>
      <c r="AS10" s="589"/>
      <c r="AT10" s="589"/>
      <c r="AU10" s="589"/>
      <c r="AV10" s="589"/>
      <c r="AW10" s="589"/>
      <c r="AX10" s="589"/>
      <c r="AY10" s="589"/>
      <c r="AZ10" s="589"/>
      <c r="BA10" s="589"/>
      <c r="BB10" s="589"/>
      <c r="BC10" s="589"/>
      <c r="BD10" s="589"/>
      <c r="BE10" s="589"/>
      <c r="BF10" s="589"/>
      <c r="BG10" s="589"/>
      <c r="BH10" s="589"/>
      <c r="BI10" s="589"/>
      <c r="BJ10" s="589"/>
      <c r="BK10" s="589"/>
      <c r="BL10" s="589"/>
      <c r="BM10" s="589"/>
      <c r="BN10" s="589"/>
      <c r="BO10" s="589"/>
      <c r="BP10" s="589"/>
      <c r="BQ10" s="589"/>
      <c r="BR10" s="589"/>
      <c r="BS10" s="589"/>
      <c r="BT10" s="589"/>
      <c r="BU10" s="589"/>
      <c r="BV10" s="592"/>
      <c r="BW10" s="592"/>
      <c r="BX10" s="592"/>
      <c r="BY10" s="592"/>
      <c r="BZ10" s="592"/>
      <c r="CA10" s="592"/>
      <c r="CB10" s="592"/>
      <c r="CC10" s="592"/>
      <c r="CD10" s="592"/>
      <c r="CE10" s="592"/>
      <c r="IW10" s="593">
        <v>22</v>
      </c>
    </row>
    <row s="12053" customFormat="1" customHeight="1" ht="15.75">
      <c r="A11" s="2269"/>
      <c r="B11" s="1330"/>
      <c r="C11" s="582"/>
      <c r="D11" s="971"/>
      <c r="E11" s="591"/>
      <c r="F11" s="586" t="s">
        <v>1894</v>
      </c>
      <c r="G11" s="357"/>
      <c r="H11" s="357"/>
      <c r="I11" s="357"/>
      <c r="J11" s="357"/>
      <c r="K11" s="594"/>
      <c r="L11" s="2647"/>
      <c r="M11" s="1706"/>
      <c r="N11" s="681"/>
      <c r="O11" s="681"/>
      <c r="P11" s="681"/>
      <c r="Q11" s="670"/>
      <c r="R11" s="681"/>
      <c r="S11" s="1330"/>
      <c r="T11" s="1330"/>
      <c r="U11" s="590"/>
      <c r="V11" s="1330"/>
      <c r="W11" s="1330"/>
      <c r="X11" s="1330"/>
      <c r="Y11" s="592"/>
      <c r="Z11" s="592"/>
      <c r="AA11" s="589"/>
      <c r="AB11" s="589"/>
      <c r="AC11" s="589"/>
      <c r="AD11" s="589"/>
      <c r="AE11" s="589"/>
      <c r="AF11" s="589"/>
      <c r="AG11" s="589"/>
      <c r="AH11" s="589"/>
      <c r="AI11" s="589"/>
      <c r="AJ11" s="589"/>
      <c r="AK11" s="589"/>
      <c r="AL11" s="589"/>
      <c r="AM11" s="589"/>
      <c r="AN11" s="589"/>
      <c r="AO11" s="589"/>
      <c r="AP11" s="589"/>
      <c r="AQ11" s="589"/>
      <c r="AR11" s="589"/>
      <c r="AS11" s="589"/>
      <c r="AT11" s="589"/>
      <c r="AU11" s="589"/>
      <c r="AV11" s="589"/>
      <c r="AW11" s="589"/>
      <c r="AX11" s="589"/>
      <c r="AY11" s="589"/>
      <c r="AZ11" s="589"/>
      <c r="BA11" s="589"/>
      <c r="BB11" s="589"/>
      <c r="BC11" s="589"/>
      <c r="BD11" s="589"/>
      <c r="BE11" s="589"/>
      <c r="BF11" s="589"/>
      <c r="BG11" s="589"/>
      <c r="BH11" s="589"/>
      <c r="BI11" s="589"/>
      <c r="BJ11" s="589"/>
      <c r="BK11" s="589"/>
      <c r="BL11" s="589"/>
      <c r="BM11" s="589"/>
      <c r="BN11" s="589"/>
      <c r="BO11" s="589"/>
      <c r="BP11" s="589"/>
      <c r="BQ11" s="589"/>
      <c r="BR11" s="589"/>
      <c r="BS11" s="589"/>
      <c r="BT11" s="589"/>
      <c r="BU11" s="589"/>
      <c r="BV11" s="592"/>
      <c r="BW11" s="592"/>
      <c r="BX11" s="592"/>
      <c r="BY11" s="592"/>
      <c r="BZ11" s="592"/>
      <c r="CA11" s="592"/>
      <c r="CB11" s="592"/>
      <c r="CC11" s="592"/>
      <c r="CD11" s="592"/>
      <c r="CE11" s="592"/>
      <c r="IW11" s="593">
        <v>15</v>
      </c>
    </row>
    <row s="12008" customFormat="1" customHeight="1" ht="22.049999999999997">
      <c r="A12" s="1325"/>
      <c r="B12" s="1330"/>
      <c r="C12" s="1325"/>
      <c r="D12" s="621"/>
      <c r="E12" s="350"/>
      <c r="F12" s="350"/>
      <c r="G12" s="350"/>
      <c r="H12" s="350"/>
      <c r="I12" s="350"/>
      <c r="J12" s="350"/>
      <c r="K12" s="350"/>
      <c r="L12" s="350"/>
      <c r="M12" s="670"/>
      <c r="N12" s="670"/>
      <c r="O12" s="670"/>
      <c r="P12" s="670"/>
      <c r="Q12" s="396"/>
      <c r="R12" s="670"/>
      <c r="S12" s="395"/>
      <c r="T12" s="395"/>
      <c r="U12" s="395"/>
      <c r="V12" s="395"/>
      <c r="IW12" s="677">
        <v>21</v>
      </c>
    </row>
    <row s="12008" customFormat="1" customHeight="1" ht="14.699999999999998">
      <c r="A13" s="1325"/>
      <c r="B13" s="1330"/>
      <c r="C13" s="1325"/>
      <c r="D13" s="621"/>
      <c r="E13" s="1325"/>
      <c r="F13" s="1325"/>
      <c r="G13" s="1325"/>
      <c r="H13" s="1325"/>
      <c r="I13" s="1325"/>
      <c r="J13" s="1325"/>
      <c r="K13" s="1325"/>
      <c r="L13" s="1325"/>
      <c r="M13" s="670"/>
      <c r="N13" s="670"/>
      <c r="O13" s="670"/>
      <c r="P13" s="670"/>
      <c r="Q13" s="396"/>
      <c r="R13" s="670"/>
      <c r="S13" s="395"/>
      <c r="T13" s="395"/>
      <c r="U13" s="395"/>
      <c r="V13" s="395"/>
      <c r="IW13" s="677">
        <v>14</v>
      </c>
    </row>
    <row s="12008" customFormat="1" customHeight="1" ht="1.05">
      <c r="A14" s="1325"/>
      <c r="B14" s="1330"/>
      <c r="C14" s="1325"/>
      <c r="D14" s="621"/>
      <c r="E14" s="1325"/>
      <c r="F14" s="1325"/>
      <c r="G14" s="1325"/>
      <c r="H14" s="1325"/>
      <c r="I14" s="1325"/>
      <c r="J14" s="1325"/>
      <c r="K14" s="1325"/>
      <c r="L14" s="1325"/>
      <c r="M14" s="670"/>
      <c r="N14" s="670"/>
      <c r="O14" s="670"/>
      <c r="P14" s="670"/>
      <c r="Q14" s="396"/>
      <c r="R14" s="670"/>
      <c r="S14" s="395"/>
      <c r="T14" s="395"/>
      <c r="U14" s="395"/>
      <c r="V14" s="395"/>
      <c r="IW14" s="677">
        <v>1</v>
      </c>
    </row>
    <row customHeight="1" ht="22.5" hidden="1">
      <c r="A15" s="1325" t="s">
        <v>85</v>
      </c>
      <c r="B15" s="1330">
        <v>0</v>
      </c>
      <c r="C15" s="1325">
        <v>0</v>
      </c>
      <c r="D15" s="621">
        <v>3</v>
      </c>
      <c r="E15" s="1325">
        <v>6</v>
      </c>
      <c r="F15" s="1325">
        <v>27</v>
      </c>
      <c r="G15" s="1325">
        <v>16</v>
      </c>
      <c r="H15" s="1325">
        <v>12</v>
      </c>
      <c r="I15" s="1325">
        <v>32</v>
      </c>
      <c r="J15" s="1325">
        <v>41</v>
      </c>
      <c r="K15" s="1325">
        <v>41</v>
      </c>
      <c r="L15" s="1325">
        <v>89</v>
      </c>
      <c r="M15" s="670">
        <v>3</v>
      </c>
      <c r="N15" s="670">
        <v>8</v>
      </c>
      <c r="O15" s="670">
        <v>8</v>
      </c>
      <c r="P15" s="670">
        <v>8</v>
      </c>
      <c r="Q15" s="396">
        <v>25</v>
      </c>
      <c r="R15" s="670">
        <v>14</v>
      </c>
      <c r="S15" s="395">
        <v>8</v>
      </c>
      <c r="T15" s="395">
        <v>8</v>
      </c>
      <c r="U15" s="395">
        <v>8</v>
      </c>
      <c r="V15" s="395">
        <v>8</v>
      </c>
      <c r="W15" s="1325">
        <v>8</v>
      </c>
      <c r="X15" s="1325">
        <v>8</v>
      </c>
      <c r="Y15" s="1325">
        <v>8</v>
      </c>
      <c r="Z15" s="1325">
        <v>8</v>
      </c>
      <c r="AA15" s="1325">
        <v>8</v>
      </c>
      <c r="AB15" s="1325">
        <v>8</v>
      </c>
      <c r="AC15" s="1325">
        <v>8</v>
      </c>
      <c r="AD15" s="1325">
        <v>8</v>
      </c>
      <c r="AE15" s="1325">
        <v>8</v>
      </c>
      <c r="AF15" s="1325">
        <v>8</v>
      </c>
      <c r="AG15" s="1325">
        <v>8</v>
      </c>
      <c r="AH15" s="1325">
        <v>8</v>
      </c>
      <c r="AI15" s="1325">
        <v>8</v>
      </c>
      <c r="AJ15" s="1325">
        <v>8</v>
      </c>
      <c r="AK15" s="1325">
        <v>8</v>
      </c>
      <c r="AL15" s="1325">
        <v>8</v>
      </c>
      <c r="AM15" s="1325">
        <v>8</v>
      </c>
      <c r="AN15" s="1325">
        <v>8</v>
      </c>
      <c r="AO15" s="1325">
        <v>8</v>
      </c>
      <c r="AP15" s="1325">
        <v>8</v>
      </c>
      <c r="AQ15" s="1325">
        <v>8</v>
      </c>
      <c r="AR15" s="1325">
        <v>8</v>
      </c>
      <c r="AS15" s="1325">
        <v>8</v>
      </c>
      <c r="AT15" s="1325">
        <v>8</v>
      </c>
      <c r="AU15" s="1325">
        <v>8</v>
      </c>
      <c r="AV15" s="1325">
        <v>8</v>
      </c>
      <c r="AW15" s="1325">
        <v>8</v>
      </c>
      <c r="AX15" s="1325">
        <v>8</v>
      </c>
      <c r="AY15" s="1325">
        <v>8</v>
      </c>
      <c r="AZ15" s="1325">
        <v>8</v>
      </c>
      <c r="BA15" s="1325">
        <v>8</v>
      </c>
      <c r="BB15" s="1325">
        <v>8</v>
      </c>
      <c r="BC15" s="1325">
        <v>8</v>
      </c>
      <c r="BD15" s="1325">
        <v>8</v>
      </c>
      <c r="BE15" s="1325">
        <v>8</v>
      </c>
      <c r="BF15" s="1325">
        <v>8</v>
      </c>
      <c r="BG15" s="1325">
        <v>8</v>
      </c>
      <c r="BH15" s="1325">
        <v>8</v>
      </c>
      <c r="BI15" s="1325">
        <v>8</v>
      </c>
      <c r="BJ15" s="1325">
        <v>8</v>
      </c>
      <c r="BK15" s="1325">
        <v>8</v>
      </c>
      <c r="BL15" s="1325">
        <v>8</v>
      </c>
      <c r="BM15" s="1325">
        <v>8</v>
      </c>
      <c r="BN15" s="1325">
        <v>8</v>
      </c>
      <c r="BO15" s="1325">
        <v>8</v>
      </c>
      <c r="BP15" s="1325">
        <v>8</v>
      </c>
      <c r="BQ15" s="1325">
        <v>8</v>
      </c>
      <c r="BR15" s="1325">
        <v>8</v>
      </c>
      <c r="BS15" s="1325">
        <v>8</v>
      </c>
      <c r="BT15" s="1325">
        <v>8</v>
      </c>
      <c r="BU15" s="1325">
        <v>8</v>
      </c>
      <c r="BV15" s="1325">
        <v>8</v>
      </c>
      <c r="BW15" s="1325">
        <v>8</v>
      </c>
      <c r="BX15" s="1325">
        <v>8</v>
      </c>
      <c r="BY15" s="1325">
        <v>8</v>
      </c>
      <c r="BZ15" s="1325">
        <v>8</v>
      </c>
      <c r="CA15" s="1325">
        <v>8</v>
      </c>
      <c r="CB15" s="1325">
        <v>8</v>
      </c>
      <c r="CC15" s="1325">
        <v>8</v>
      </c>
      <c r="CD15" s="1325">
        <v>8</v>
      </c>
      <c r="CE15" s="1325">
        <v>8</v>
      </c>
      <c r="CF15" s="1325">
        <v>8</v>
      </c>
      <c r="CG15" s="1325">
        <v>8</v>
      </c>
      <c r="CH15" s="1325">
        <v>8</v>
      </c>
      <c r="CI15" s="1325">
        <v>8</v>
      </c>
      <c r="CJ15" s="1325">
        <v>8</v>
      </c>
      <c r="CK15" s="1325">
        <v>8</v>
      </c>
      <c r="CL15" s="1325">
        <v>8</v>
      </c>
      <c r="CM15" s="1325">
        <v>8</v>
      </c>
      <c r="CN15" s="1325">
        <v>8</v>
      </c>
      <c r="CO15" s="1325">
        <v>8</v>
      </c>
      <c r="CP15" s="1325">
        <v>8</v>
      </c>
      <c r="CQ15" s="1325">
        <v>8</v>
      </c>
      <c r="CR15" s="1325">
        <v>8</v>
      </c>
      <c r="CS15" s="1325">
        <v>8</v>
      </c>
      <c r="CT15" s="1325">
        <v>8</v>
      </c>
      <c r="CU15" s="1325">
        <v>8</v>
      </c>
      <c r="CV15" s="1325">
        <v>8</v>
      </c>
      <c r="CW15" s="1325">
        <v>8</v>
      </c>
      <c r="CX15" s="1325">
        <v>8</v>
      </c>
      <c r="CY15" s="1325">
        <v>8</v>
      </c>
      <c r="CZ15" s="1325">
        <v>8</v>
      </c>
      <c r="DA15" s="1325">
        <v>8</v>
      </c>
      <c r="DB15" s="1325">
        <v>8</v>
      </c>
      <c r="DC15" s="1325">
        <v>8</v>
      </c>
      <c r="DD15" s="1325">
        <v>8</v>
      </c>
      <c r="DE15" s="1325">
        <v>8</v>
      </c>
      <c r="DF15" s="1325">
        <v>8</v>
      </c>
      <c r="DG15" s="1325">
        <v>8</v>
      </c>
      <c r="DH15" s="1325">
        <v>8</v>
      </c>
      <c r="DI15" s="1325">
        <v>8</v>
      </c>
      <c r="DJ15" s="1325">
        <v>8</v>
      </c>
      <c r="DK15" s="1325">
        <v>8</v>
      </c>
      <c r="DL15" s="1325">
        <v>8</v>
      </c>
      <c r="DM15" s="1325">
        <v>8</v>
      </c>
      <c r="DN15" s="1325">
        <v>8</v>
      </c>
      <c r="DO15" s="1325">
        <v>8</v>
      </c>
      <c r="DP15" s="1325">
        <v>8</v>
      </c>
      <c r="DQ15" s="1325">
        <v>8</v>
      </c>
      <c r="DR15" s="1325">
        <v>8</v>
      </c>
      <c r="DS15" s="1325">
        <v>8</v>
      </c>
      <c r="DT15" s="1325">
        <v>8</v>
      </c>
      <c r="DU15" s="1325">
        <v>8</v>
      </c>
      <c r="DV15" s="1325">
        <v>8</v>
      </c>
      <c r="DW15" s="1325">
        <v>8</v>
      </c>
      <c r="DX15" s="1325">
        <v>8</v>
      </c>
      <c r="DY15" s="1325">
        <v>8</v>
      </c>
      <c r="DZ15" s="1325">
        <v>8</v>
      </c>
      <c r="EA15" s="1325">
        <v>8</v>
      </c>
      <c r="EB15" s="1325">
        <v>8</v>
      </c>
      <c r="EC15" s="1325">
        <v>8</v>
      </c>
      <c r="ED15" s="1325">
        <v>8</v>
      </c>
      <c r="EE15" s="1325">
        <v>8</v>
      </c>
      <c r="EF15" s="1325">
        <v>8</v>
      </c>
      <c r="EG15" s="1325">
        <v>8</v>
      </c>
      <c r="EH15" s="1325">
        <v>8</v>
      </c>
      <c r="EI15" s="1325">
        <v>8</v>
      </c>
      <c r="EJ15" s="1325">
        <v>8</v>
      </c>
      <c r="EK15" s="1325">
        <v>8</v>
      </c>
      <c r="EL15" s="1325">
        <v>8</v>
      </c>
      <c r="EM15" s="1325">
        <v>8</v>
      </c>
      <c r="EN15" s="1325">
        <v>8</v>
      </c>
      <c r="EO15" s="1325">
        <v>8</v>
      </c>
      <c r="EP15" s="1325">
        <v>8</v>
      </c>
      <c r="EQ15" s="1325">
        <v>8</v>
      </c>
      <c r="ER15" s="1325">
        <v>8</v>
      </c>
      <c r="ES15" s="1325">
        <v>8</v>
      </c>
      <c r="ET15" s="1325">
        <v>8</v>
      </c>
      <c r="EU15" s="1325">
        <v>8</v>
      </c>
      <c r="EV15" s="1325">
        <v>8</v>
      </c>
      <c r="EW15" s="1325">
        <v>8</v>
      </c>
      <c r="EX15" s="1325">
        <v>8</v>
      </c>
      <c r="EY15" s="1325">
        <v>8</v>
      </c>
      <c r="EZ15" s="1325">
        <v>8</v>
      </c>
      <c r="FA15" s="1325">
        <v>8</v>
      </c>
      <c r="FB15" s="1325">
        <v>8</v>
      </c>
      <c r="FC15" s="1325">
        <v>8</v>
      </c>
      <c r="FD15" s="1325">
        <v>8</v>
      </c>
      <c r="FE15" s="1325">
        <v>8</v>
      </c>
      <c r="FF15" s="1325">
        <v>8</v>
      </c>
      <c r="FG15" s="1325">
        <v>8</v>
      </c>
      <c r="FH15" s="1325">
        <v>8</v>
      </c>
      <c r="FI15" s="1325">
        <v>8</v>
      </c>
      <c r="FJ15" s="1325">
        <v>8</v>
      </c>
      <c r="FK15" s="1325">
        <v>8</v>
      </c>
      <c r="FL15" s="1325">
        <v>8</v>
      </c>
      <c r="FM15" s="1325">
        <v>8</v>
      </c>
      <c r="FN15" s="1325">
        <v>8</v>
      </c>
      <c r="FO15" s="1325">
        <v>8</v>
      </c>
      <c r="FP15" s="1325">
        <v>8</v>
      </c>
      <c r="FQ15" s="1325">
        <v>8</v>
      </c>
      <c r="FR15" s="1325">
        <v>8</v>
      </c>
      <c r="FS15" s="1325">
        <v>8</v>
      </c>
      <c r="FT15" s="1325">
        <v>8</v>
      </c>
      <c r="FU15" s="1325">
        <v>8</v>
      </c>
      <c r="FV15" s="1325">
        <v>8</v>
      </c>
      <c r="FW15" s="1325">
        <v>8</v>
      </c>
      <c r="FX15" s="1325">
        <v>8</v>
      </c>
      <c r="FY15" s="1325">
        <v>8</v>
      </c>
      <c r="FZ15" s="1325">
        <v>8</v>
      </c>
      <c r="GA15" s="1325">
        <v>8</v>
      </c>
      <c r="GB15" s="1325">
        <v>8</v>
      </c>
      <c r="GC15" s="1325">
        <v>8</v>
      </c>
      <c r="GD15" s="1325">
        <v>8</v>
      </c>
      <c r="GE15" s="1325">
        <v>8</v>
      </c>
      <c r="GF15" s="1325">
        <v>8</v>
      </c>
      <c r="GG15" s="1325">
        <v>8</v>
      </c>
      <c r="GH15" s="1325">
        <v>8</v>
      </c>
      <c r="GI15" s="1325">
        <v>8</v>
      </c>
      <c r="GJ15" s="1325">
        <v>8</v>
      </c>
      <c r="GK15" s="1325">
        <v>8</v>
      </c>
      <c r="GL15" s="1325">
        <v>8</v>
      </c>
      <c r="GM15" s="1325">
        <v>8</v>
      </c>
      <c r="GN15" s="1325">
        <v>8</v>
      </c>
      <c r="GO15" s="1325">
        <v>8</v>
      </c>
      <c r="GP15" s="1325">
        <v>8</v>
      </c>
      <c r="GQ15" s="1325">
        <v>8</v>
      </c>
      <c r="GR15" s="1325">
        <v>8</v>
      </c>
      <c r="GS15" s="1325">
        <v>8</v>
      </c>
      <c r="GT15" s="1325">
        <v>8</v>
      </c>
      <c r="GU15" s="1325">
        <v>8</v>
      </c>
      <c r="GV15" s="1325">
        <v>8</v>
      </c>
      <c r="GW15" s="1325">
        <v>8</v>
      </c>
      <c r="GX15" s="1325">
        <v>8</v>
      </c>
      <c r="GY15" s="1325">
        <v>8</v>
      </c>
      <c r="GZ15" s="1325">
        <v>8</v>
      </c>
      <c r="HA15" s="1325">
        <v>8</v>
      </c>
      <c r="HB15" s="1325">
        <v>8</v>
      </c>
      <c r="HC15" s="1325">
        <v>8</v>
      </c>
      <c r="HD15" s="1325">
        <v>8</v>
      </c>
      <c r="HE15" s="1325">
        <v>8</v>
      </c>
      <c r="HF15" s="1325">
        <v>8</v>
      </c>
      <c r="HG15" s="1325">
        <v>8</v>
      </c>
      <c r="HH15" s="1325">
        <v>8</v>
      </c>
      <c r="HI15" s="1325">
        <v>8</v>
      </c>
      <c r="HJ15" s="1325">
        <v>8</v>
      </c>
      <c r="HK15" s="1325">
        <v>8</v>
      </c>
      <c r="HL15" s="1325">
        <v>8</v>
      </c>
      <c r="HM15" s="1325">
        <v>8</v>
      </c>
      <c r="HN15" s="1325">
        <v>8</v>
      </c>
      <c r="HO15" s="1325">
        <v>8</v>
      </c>
      <c r="HP15" s="1325">
        <v>8</v>
      </c>
      <c r="HQ15" s="1325">
        <v>8</v>
      </c>
      <c r="HR15" s="1325">
        <v>8</v>
      </c>
      <c r="HS15" s="1325">
        <v>8</v>
      </c>
      <c r="HT15" s="1325">
        <v>8</v>
      </c>
      <c r="HU15" s="1325">
        <v>8</v>
      </c>
      <c r="HV15" s="1325">
        <v>8</v>
      </c>
      <c r="HW15" s="1325">
        <v>8</v>
      </c>
      <c r="HX15" s="1325">
        <v>8</v>
      </c>
      <c r="HY15" s="1325">
        <v>8</v>
      </c>
      <c r="HZ15" s="1325">
        <v>8</v>
      </c>
      <c r="IA15" s="1325">
        <v>8</v>
      </c>
      <c r="IB15" s="1325">
        <v>8</v>
      </c>
      <c r="IC15" s="1325">
        <v>8</v>
      </c>
      <c r="ID15" s="1325">
        <v>8</v>
      </c>
      <c r="IE15" s="1325">
        <v>8</v>
      </c>
      <c r="IF15" s="1325">
        <v>8</v>
      </c>
      <c r="IG15" s="1325">
        <v>8</v>
      </c>
      <c r="IH15" s="1325">
        <v>8</v>
      </c>
      <c r="II15" s="1325">
        <v>8</v>
      </c>
      <c r="IJ15" s="1325">
        <v>8</v>
      </c>
      <c r="IK15" s="1325">
        <v>8</v>
      </c>
      <c r="IL15" s="1325">
        <v>8</v>
      </c>
      <c r="IM15" s="1325">
        <v>8</v>
      </c>
      <c r="IN15" s="1325">
        <v>8</v>
      </c>
      <c r="IO15" s="1325">
        <v>8</v>
      </c>
      <c r="IP15" s="1325">
        <v>8</v>
      </c>
      <c r="IQ15" s="1325">
        <v>8</v>
      </c>
      <c r="IR15" s="1325">
        <v>8</v>
      </c>
      <c r="IS15" s="1325">
        <v>8</v>
      </c>
      <c r="IT15" s="1325">
        <v>8</v>
      </c>
      <c r="IU15" s="1325">
        <v>8</v>
      </c>
      <c r="IV15" s="1325">
        <v>8</v>
      </c>
      <c r="IW15" s="132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205901-A55E-BEE4-36C8-2ABE59760627}" mc:Ignorable="x14ac xr xr2 xr3">
  <dimension ref="A1:IW15"/>
  <sheetViews>
    <sheetView topLeftCell="A1" showGridLines="0" zoomScale="90" workbookViewId="0">
      <selection activeCell="A1" sqref="A1"/>
    </sheetView>
  </sheetViews>
  <sheetFormatPr defaultColWidth="9.140625" customHeight="1" defaultRowHeight="14.25"/>
  <cols>
    <col min="1" max="1" style="11913" width="9.140625" hidden="1"/>
    <col min="2" max="2" style="11992" width="9.140625" hidden="1"/>
    <col min="3" max="3" style="11913" width="3.7109375" hidden="1" customWidth="1"/>
    <col min="4" max="4" style="12081" width="3.00390625" customWidth="1"/>
    <col min="5" max="5" style="11913" width="6.00390625" customWidth="1"/>
    <col min="6" max="6" style="11913" width="27.00390625" customWidth="1"/>
    <col min="7" max="7" style="11913" width="16.00390625" customWidth="1"/>
    <col min="8" max="8" style="11913" width="12.00390625" customWidth="1"/>
    <col min="9" max="9" style="11913" width="32.00390625" customWidth="1"/>
    <col min="10" max="11" style="11913" width="41.00390625" customWidth="1"/>
    <col min="12" max="12" style="11913" width="89.00390625" customWidth="1"/>
    <col min="13" max="13" style="12082" width="3.00390625" customWidth="1"/>
    <col min="14" max="16" style="12082" width="8.00390625" customWidth="1"/>
    <col min="17" max="17" style="12082" width="25.00390625" customWidth="1"/>
    <col min="18" max="18" style="12082" width="14.00390625" customWidth="1"/>
    <col min="19" max="22" style="12083" width="8.00390625" customWidth="1"/>
    <col min="23" max="256" style="11913" width="8.00390625" customWidth="1"/>
    <col min="257" max="257" style="11913" width="9.140625" hidden="1"/>
  </cols>
  <sheetData>
    <row customHeight="1" ht="22.5" hidden="1">
      <c r="IW1" s="1801" t="s">
        <v>14</v>
      </c>
    </row>
    <row s="12053" customFormat="1" customHeight="1" ht="22.5" hidden="1">
      <c r="A2" s="1001"/>
      <c r="B2" s="1536">
        <v>1</v>
      </c>
      <c r="C2" s="1536"/>
      <c r="D2" s="2098" t="s">
        <v>437</v>
      </c>
      <c r="E2" s="2074"/>
      <c r="F2" s="2076" t="str">
        <f>IF(ROIV_INFO_NAME="","",ROIV_INFO_NAME)</f>
        <v>Филиал "Шатурская ГРЭС" ПАО "Юнипро"</v>
      </c>
      <c r="G2" s="1902" t="s">
        <v>28</v>
      </c>
      <c r="H2" s="2086"/>
      <c r="I2" s="1708"/>
      <c r="J2" s="988"/>
      <c r="K2" s="988"/>
      <c r="L2" s="398"/>
      <c r="M2" s="1705">
        <f>MERGEVALUE(F2)</f>
      </c>
      <c r="N2" s="1806"/>
      <c r="O2" s="1806"/>
      <c r="P2" s="1794" t="str">
        <f t="array" ref="P2:P2">IF(ISERROR(MATCH(MID(Q2,1,250),MID(note_ter,1,250),0)),"n","y")</f>
        <v>n</v>
      </c>
      <c r="Q2" s="1806"/>
      <c r="R2" s="1794" t="str">
        <f>G2&amp;"("&amp;L2&amp;")"</f>
        <v>()</v>
      </c>
      <c r="S2" s="1536"/>
      <c r="T2" s="1536"/>
      <c r="U2" s="590"/>
      <c r="V2" s="1536"/>
      <c r="W2" s="1536"/>
      <c r="X2" s="1536"/>
      <c r="Y2" s="1003"/>
      <c r="Z2" s="1003"/>
      <c r="AA2" s="797"/>
      <c r="AB2" s="797"/>
      <c r="AC2" s="797"/>
      <c r="AD2" s="797"/>
      <c r="AE2" s="797"/>
      <c r="AF2" s="797"/>
      <c r="AG2" s="797"/>
      <c r="AH2" s="797"/>
      <c r="AI2" s="797"/>
      <c r="AJ2" s="797"/>
      <c r="AK2" s="797"/>
      <c r="AL2" s="797"/>
      <c r="AM2" s="797"/>
      <c r="AN2" s="797"/>
      <c r="AO2" s="797"/>
      <c r="AP2" s="797"/>
      <c r="AQ2" s="797"/>
      <c r="AR2" s="797"/>
      <c r="AS2" s="797"/>
      <c r="AT2" s="797"/>
      <c r="AU2" s="797"/>
      <c r="AV2" s="797"/>
      <c r="AW2" s="797"/>
      <c r="AX2" s="797"/>
      <c r="AY2" s="797"/>
      <c r="AZ2" s="797"/>
      <c r="BA2" s="797"/>
      <c r="BB2" s="797"/>
      <c r="BC2" s="797"/>
      <c r="BD2" s="797"/>
      <c r="BE2" s="797"/>
      <c r="BF2" s="797"/>
      <c r="BG2" s="797"/>
      <c r="BH2" s="797"/>
      <c r="BI2" s="797"/>
      <c r="BJ2" s="797"/>
      <c r="BK2" s="797"/>
      <c r="BL2" s="797"/>
      <c r="BM2" s="797"/>
      <c r="BN2" s="797"/>
      <c r="BO2" s="797"/>
      <c r="BP2" s="797"/>
      <c r="BQ2" s="797"/>
      <c r="BR2" s="797"/>
      <c r="BS2" s="797"/>
      <c r="BT2" s="797"/>
      <c r="BU2" s="797"/>
      <c r="BV2" s="1003"/>
      <c r="BW2" s="1003"/>
      <c r="BX2" s="1003"/>
      <c r="BY2" s="1003"/>
      <c r="BZ2" s="1003"/>
      <c r="CA2" s="1003"/>
      <c r="CB2" s="1003"/>
      <c r="CC2" s="1003"/>
      <c r="CD2" s="1003"/>
      <c r="CE2" s="1003"/>
      <c r="IW2" s="794">
        <v>0</v>
      </c>
    </row>
    <row s="11993" customFormat="1" customHeight="1" ht="5.25" hidden="1">
      <c r="A3" s="1811"/>
      <c r="D3" s="2063"/>
      <c r="F3" s="418" t="s">
        <v>86</v>
      </c>
      <c r="G3" s="1905" t="s">
        <v>87</v>
      </c>
      <c r="H3" s="2063"/>
      <c r="I3" s="2063"/>
      <c r="J3" s="2063"/>
      <c r="K3" s="2063"/>
      <c r="L3" s="397" t="s">
        <v>88</v>
      </c>
      <c r="M3" s="418" t="s">
        <v>86</v>
      </c>
      <c r="N3" s="418"/>
      <c r="O3" s="418"/>
      <c r="P3" s="418"/>
      <c r="Q3" s="418"/>
      <c r="R3" s="418"/>
      <c r="S3" s="418"/>
      <c r="T3" s="418"/>
      <c r="U3" s="418"/>
      <c r="V3" s="418"/>
      <c r="W3" s="397"/>
      <c r="X3" s="397"/>
      <c r="Y3" s="397"/>
      <c r="Z3" s="397"/>
      <c r="AA3" s="397"/>
      <c r="AB3" s="397"/>
      <c r="AC3" s="397"/>
      <c r="AD3" s="397"/>
      <c r="AE3" s="397"/>
      <c r="AF3" s="397"/>
      <c r="AG3" s="397"/>
      <c r="AH3" s="397"/>
      <c r="AI3" s="397"/>
      <c r="AJ3" s="397"/>
      <c r="AK3" s="397"/>
      <c r="AL3" s="397"/>
      <c r="AM3" s="397"/>
      <c r="AN3" s="397"/>
      <c r="AO3" s="397"/>
      <c r="AP3" s="397"/>
      <c r="AQ3" s="397"/>
      <c r="AR3" s="397"/>
      <c r="AS3" s="397"/>
      <c r="AT3" s="397"/>
      <c r="AU3" s="397"/>
      <c r="AV3" s="397"/>
      <c r="AW3" s="397"/>
      <c r="AX3" s="397"/>
      <c r="AY3" s="397"/>
      <c r="AZ3" s="397"/>
      <c r="BA3" s="397"/>
      <c r="BB3" s="397"/>
      <c r="BC3" s="397"/>
      <c r="BD3" s="397"/>
      <c r="BE3" s="397"/>
      <c r="BF3" s="397"/>
      <c r="BG3" s="397"/>
      <c r="BH3" s="397"/>
      <c r="BI3" s="397"/>
      <c r="BJ3" s="397"/>
      <c r="BK3" s="397"/>
      <c r="BL3" s="397"/>
      <c r="BM3" s="397"/>
      <c r="BN3" s="397"/>
      <c r="BO3" s="397"/>
      <c r="BP3" s="397"/>
      <c r="BQ3" s="397"/>
      <c r="BR3" s="397"/>
      <c r="BS3" s="397"/>
      <c r="BT3" s="397"/>
      <c r="BU3" s="397"/>
      <c r="BV3" s="397"/>
      <c r="BW3" s="397"/>
      <c r="BX3" s="397"/>
      <c r="BY3" s="397"/>
      <c r="BZ3" s="397"/>
      <c r="CA3" s="397"/>
      <c r="CB3" s="397"/>
      <c r="CC3" s="397"/>
      <c r="CD3" s="397"/>
      <c r="CE3" s="397"/>
      <c r="CF3" s="397"/>
      <c r="CG3" s="397"/>
      <c r="CH3" s="397"/>
      <c r="CI3" s="397"/>
      <c r="CJ3" s="397"/>
      <c r="CK3" s="397"/>
      <c r="CL3" s="397"/>
      <c r="CM3" s="397"/>
      <c r="CN3" s="397"/>
      <c r="CO3" s="397"/>
      <c r="CP3" s="397"/>
      <c r="CQ3" s="397"/>
      <c r="CR3" s="397"/>
      <c r="CS3" s="397"/>
      <c r="CT3" s="397"/>
      <c r="CU3" s="397"/>
      <c r="CV3" s="397"/>
      <c r="CW3" s="397"/>
      <c r="CX3" s="397"/>
      <c r="CY3" s="397"/>
      <c r="CZ3" s="397"/>
      <c r="DA3" s="397"/>
      <c r="DB3" s="397"/>
      <c r="DC3" s="397"/>
      <c r="DD3" s="397"/>
      <c r="DE3" s="397"/>
      <c r="DF3" s="397"/>
      <c r="DG3" s="397"/>
      <c r="DH3" s="397"/>
      <c r="DI3" s="397"/>
      <c r="DJ3" s="397"/>
      <c r="DK3" s="397"/>
      <c r="DL3" s="397"/>
      <c r="DM3" s="397"/>
      <c r="DN3" s="397"/>
      <c r="DO3" s="397"/>
      <c r="DP3" s="397"/>
      <c r="DQ3" s="397"/>
      <c r="DR3" s="397"/>
      <c r="DS3" s="397"/>
      <c r="DT3" s="397"/>
      <c r="DU3" s="397"/>
      <c r="DV3" s="397"/>
      <c r="DW3" s="397"/>
      <c r="DX3" s="397"/>
      <c r="DY3" s="397"/>
      <c r="DZ3" s="397"/>
      <c r="EA3" s="397"/>
      <c r="EB3" s="397"/>
      <c r="EC3" s="397"/>
      <c r="ED3" s="397"/>
      <c r="EE3" s="397"/>
      <c r="EF3" s="397"/>
      <c r="EG3" s="397"/>
      <c r="EH3" s="397"/>
      <c r="EI3" s="397"/>
      <c r="EJ3" s="397"/>
      <c r="EK3" s="397"/>
      <c r="EL3" s="397"/>
      <c r="EM3" s="397"/>
      <c r="EN3" s="397"/>
      <c r="EO3" s="397"/>
      <c r="EP3" s="397"/>
      <c r="EQ3" s="397"/>
      <c r="ER3" s="397"/>
      <c r="ES3" s="397"/>
      <c r="ET3" s="397"/>
      <c r="EU3" s="397"/>
      <c r="EV3" s="397"/>
      <c r="EW3" s="397"/>
      <c r="EX3" s="397"/>
      <c r="EY3" s="397"/>
      <c r="EZ3" s="397"/>
      <c r="FA3" s="397"/>
      <c r="FB3" s="397"/>
      <c r="FC3" s="397"/>
      <c r="FD3" s="397"/>
      <c r="FE3" s="397"/>
      <c r="FF3" s="397"/>
      <c r="FG3" s="397"/>
      <c r="FH3" s="397"/>
      <c r="FI3" s="397"/>
      <c r="FJ3" s="397"/>
      <c r="FK3" s="397"/>
      <c r="FL3" s="397"/>
      <c r="FM3" s="397"/>
      <c r="FN3" s="397"/>
      <c r="FO3" s="397"/>
      <c r="FP3" s="397"/>
      <c r="FQ3" s="397"/>
      <c r="FR3" s="397"/>
      <c r="FS3" s="397"/>
      <c r="FT3" s="397"/>
      <c r="FU3" s="397"/>
      <c r="FV3" s="397"/>
      <c r="FW3" s="397"/>
      <c r="FX3" s="397"/>
      <c r="FY3" s="397"/>
      <c r="FZ3" s="397"/>
      <c r="GA3" s="397"/>
      <c r="GB3" s="397"/>
      <c r="GC3" s="397"/>
      <c r="GD3" s="397"/>
      <c r="GE3" s="397"/>
      <c r="GF3" s="397"/>
      <c r="GG3" s="397"/>
      <c r="GH3" s="397"/>
      <c r="GI3" s="397"/>
      <c r="GJ3" s="397"/>
      <c r="GK3" s="397"/>
      <c r="GL3" s="397"/>
      <c r="GM3" s="397"/>
      <c r="GN3" s="397"/>
      <c r="GO3" s="397"/>
      <c r="GP3" s="397"/>
      <c r="GQ3" s="397"/>
      <c r="GR3" s="397"/>
      <c r="GS3" s="397"/>
      <c r="GT3" s="397"/>
      <c r="GU3" s="397"/>
      <c r="GV3" s="397"/>
      <c r="GW3" s="397"/>
      <c r="GX3" s="397"/>
      <c r="GY3" s="397"/>
      <c r="GZ3" s="397"/>
      <c r="HA3" s="397"/>
      <c r="HB3" s="397"/>
      <c r="HC3" s="397"/>
      <c r="HD3" s="397"/>
      <c r="HE3" s="397"/>
      <c r="HF3" s="397"/>
      <c r="HG3" s="397"/>
      <c r="HH3" s="397"/>
      <c r="HI3" s="397"/>
      <c r="HJ3" s="397"/>
      <c r="HK3" s="397"/>
      <c r="HL3" s="397"/>
      <c r="HM3" s="397"/>
      <c r="HN3" s="397"/>
      <c r="HO3" s="397"/>
      <c r="HP3" s="397"/>
      <c r="HQ3" s="397"/>
      <c r="HR3" s="397"/>
      <c r="HS3" s="397"/>
      <c r="HT3" s="397"/>
      <c r="HU3" s="397"/>
      <c r="HV3" s="397"/>
      <c r="HW3" s="397"/>
      <c r="HX3" s="397"/>
      <c r="HY3" s="397"/>
      <c r="HZ3" s="397"/>
      <c r="IA3" s="397"/>
      <c r="IB3" s="397"/>
      <c r="IC3" s="397"/>
      <c r="ID3" s="397"/>
      <c r="IE3" s="397"/>
      <c r="IF3" s="397"/>
      <c r="IG3" s="397"/>
      <c r="IH3" s="397"/>
      <c r="II3" s="397"/>
      <c r="IJ3" s="397"/>
      <c r="IK3" s="397"/>
      <c r="IL3" s="397"/>
      <c r="IM3" s="397"/>
      <c r="IN3" s="397"/>
      <c r="IO3" s="397"/>
      <c r="IP3" s="397"/>
      <c r="IQ3" s="397"/>
      <c r="IR3" s="397"/>
      <c r="IS3" s="397"/>
      <c r="IT3" s="397"/>
      <c r="IU3" s="397"/>
      <c r="IV3" s="397"/>
      <c r="IW3" s="1806">
        <v>0</v>
      </c>
    </row>
    <row s="12008" customFormat="1" customHeight="1" ht="14.699999999999998">
      <c r="A4" s="1801"/>
      <c r="B4" s="1536"/>
      <c r="C4" s="1801"/>
      <c r="D4" s="1685"/>
      <c r="E4" s="1805"/>
      <c r="F4" s="1805"/>
      <c r="G4" s="1805"/>
      <c r="H4" s="1805"/>
      <c r="I4" s="1805"/>
      <c r="J4" s="1805"/>
      <c r="K4" s="1805"/>
      <c r="L4" s="2065"/>
      <c r="M4" s="418"/>
      <c r="N4" s="1794"/>
      <c r="O4" s="1794"/>
      <c r="P4" s="1794"/>
      <c r="Q4" s="1794"/>
      <c r="R4" s="1794"/>
      <c r="S4" s="395"/>
      <c r="T4" s="395"/>
      <c r="U4" s="395"/>
      <c r="V4" s="395"/>
      <c r="IW4" s="1779">
        <v>14</v>
      </c>
    </row>
    <row s="12008" customFormat="1" customHeight="1" ht="27.299999999999997">
      <c r="A5" s="1801"/>
      <c r="B5" s="1536"/>
      <c r="C5" s="1801"/>
      <c r="D5" s="1685"/>
      <c r="E5" s="227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270"/>
      <c r="G5" s="2270"/>
      <c r="H5" s="2270"/>
      <c r="I5" s="2270"/>
      <c r="J5" s="2270"/>
      <c r="K5" s="2270"/>
      <c r="L5" s="1805"/>
      <c r="M5" s="418"/>
      <c r="N5" s="1794"/>
      <c r="O5" s="1794"/>
      <c r="P5" s="1794"/>
      <c r="Q5" s="1794"/>
      <c r="R5" s="1794"/>
      <c r="S5" s="395"/>
      <c r="T5" s="395"/>
      <c r="U5" s="395"/>
      <c r="V5" s="395"/>
      <c r="IW5" s="1779">
        <v>26</v>
      </c>
    </row>
    <row s="12008" customFormat="1" customHeight="1" ht="14.699999999999998">
      <c r="A6" s="1801"/>
      <c r="B6" s="1536"/>
      <c r="C6" s="1801"/>
      <c r="D6" s="1685"/>
      <c r="E6" s="1805"/>
      <c r="F6" s="786"/>
      <c r="G6" s="786"/>
      <c r="H6" s="786"/>
      <c r="I6" s="786"/>
      <c r="J6" s="786"/>
      <c r="K6" s="786"/>
      <c r="L6" s="1422"/>
      <c r="M6" s="1794"/>
      <c r="N6" s="1794"/>
      <c r="O6" s="1794"/>
      <c r="P6" s="1794"/>
      <c r="Q6" s="1794"/>
      <c r="R6" s="1794"/>
      <c r="S6" s="395"/>
      <c r="T6" s="395"/>
      <c r="U6" s="395"/>
      <c r="V6" s="395"/>
      <c r="IW6" s="1779">
        <v>14</v>
      </c>
    </row>
    <row s="12008" customFormat="1" customHeight="1" ht="14.699999999999998">
      <c r="A7" s="1801"/>
      <c r="B7" s="1536"/>
      <c r="C7" s="1801"/>
      <c r="D7" s="1685"/>
      <c r="E7" s="2271" t="s">
        <v>312</v>
      </c>
      <c r="F7" s="2272"/>
      <c r="G7" s="2272"/>
      <c r="H7" s="2272"/>
      <c r="I7" s="2272"/>
      <c r="J7" s="2272"/>
      <c r="K7" s="2272"/>
      <c r="L7" s="2644" t="s">
        <v>313</v>
      </c>
      <c r="M7" s="1794"/>
      <c r="N7" s="1794"/>
      <c r="O7" s="1794"/>
      <c r="P7" s="1794"/>
      <c r="Q7" s="1794"/>
      <c r="R7" s="1794"/>
      <c r="S7" s="395"/>
      <c r="T7" s="395"/>
      <c r="U7" s="395"/>
      <c r="V7" s="395"/>
      <c r="IW7" s="1779">
        <v>14</v>
      </c>
    </row>
    <row s="12008" customFormat="1" customHeight="1" ht="67.2">
      <c r="A8" s="1801"/>
      <c r="B8" s="1536"/>
      <c r="C8" s="1801"/>
      <c r="D8" s="1685"/>
      <c r="E8" s="2648" t="s">
        <v>91</v>
      </c>
      <c r="F8" s="2648" t="s">
        <v>1895</v>
      </c>
      <c r="G8" s="2650" t="s">
        <v>1896</v>
      </c>
      <c r="H8" s="2651"/>
      <c r="I8" s="2652"/>
      <c r="J8" s="2648" t="s">
        <v>1897</v>
      </c>
      <c r="K8" s="264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646"/>
      <c r="M8" s="1794"/>
      <c r="N8" s="1794"/>
      <c r="O8" s="1794"/>
      <c r="P8" s="1794"/>
      <c r="Q8" s="1794"/>
      <c r="R8" s="1794"/>
      <c r="S8" s="395"/>
      <c r="T8" s="395"/>
      <c r="U8" s="395"/>
      <c r="V8" s="395"/>
      <c r="IW8" s="1779">
        <v>64</v>
      </c>
    </row>
    <row s="12008" customFormat="1" customHeight="1" ht="29.25">
      <c r="A9" s="1801"/>
      <c r="B9" s="1536"/>
      <c r="C9" s="1801"/>
      <c r="D9" s="1685"/>
      <c r="E9" s="2649"/>
      <c r="F9" s="2649"/>
      <c r="G9" s="2064" t="s">
        <v>1891</v>
      </c>
      <c r="H9" s="2064" t="s">
        <v>1892</v>
      </c>
      <c r="I9" s="2064" t="s">
        <v>1893</v>
      </c>
      <c r="J9" s="2649"/>
      <c r="K9" s="2649"/>
      <c r="L9" s="2645"/>
      <c r="M9" s="1794"/>
      <c r="N9" s="1794"/>
      <c r="O9" s="1794"/>
      <c r="P9" s="1794"/>
      <c r="Q9" s="1794"/>
      <c r="R9" s="1794"/>
      <c r="S9" s="395"/>
      <c r="T9" s="395"/>
      <c r="U9" s="395"/>
      <c r="V9" s="395"/>
      <c r="IW9" s="1779">
        <v>28</v>
      </c>
    </row>
    <row s="12053" customFormat="1" customHeight="1" ht="1.05">
      <c r="A10" s="2269"/>
      <c r="B10" s="1536">
        <v>1</v>
      </c>
      <c r="C10" s="1536"/>
      <c r="D10" s="970"/>
      <c r="E10" s="965">
        <v>0</v>
      </c>
      <c r="F10" s="2061" t="str">
        <f>IF(ROIV_INFO_NAME="","",ROIV_INFO_NAME)</f>
        <v>Филиал "Шатурская ГРЭС" ПАО "Юнипро"</v>
      </c>
      <c r="G10" s="1903" t="s">
        <v>28</v>
      </c>
      <c r="H10" s="2073"/>
      <c r="I10" s="2073"/>
      <c r="J10" s="689"/>
      <c r="K10" s="689"/>
      <c r="L10" s="260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705">
        <f>MERGEVALUE(F10)</f>
      </c>
      <c r="N10" s="1806"/>
      <c r="O10" s="1806"/>
      <c r="P10" s="1794" t="str">
        <f t="array" ref="P10:P10">IF(ISERROR(MATCH(MID(Q10,1,250),MID(note_ter,1,250),0)),"n","y")</f>
        <v>n</v>
      </c>
      <c r="Q10" s="1806"/>
      <c r="R10" s="179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536"/>
      <c r="T10" s="1536"/>
      <c r="U10" s="590"/>
      <c r="V10" s="1536"/>
      <c r="W10" s="1536"/>
      <c r="X10" s="1536"/>
      <c r="Y10" s="1003"/>
      <c r="Z10" s="1003"/>
      <c r="AA10" s="797"/>
      <c r="AB10" s="797"/>
      <c r="AC10" s="797"/>
      <c r="AD10" s="797"/>
      <c r="AE10" s="797"/>
      <c r="AF10" s="797"/>
      <c r="AG10" s="797"/>
      <c r="AH10" s="797"/>
      <c r="AI10" s="797"/>
      <c r="AJ10" s="797"/>
      <c r="AK10" s="797"/>
      <c r="AL10" s="797"/>
      <c r="AM10" s="797"/>
      <c r="AN10" s="797"/>
      <c r="AO10" s="797"/>
      <c r="AP10" s="797"/>
      <c r="AQ10" s="797"/>
      <c r="AR10" s="797"/>
      <c r="AS10" s="797"/>
      <c r="AT10" s="797"/>
      <c r="AU10" s="797"/>
      <c r="AV10" s="797"/>
      <c r="AW10" s="797"/>
      <c r="AX10" s="797"/>
      <c r="AY10" s="797"/>
      <c r="AZ10" s="797"/>
      <c r="BA10" s="797"/>
      <c r="BB10" s="797"/>
      <c r="BC10" s="797"/>
      <c r="BD10" s="797"/>
      <c r="BE10" s="797"/>
      <c r="BF10" s="797"/>
      <c r="BG10" s="797"/>
      <c r="BH10" s="797"/>
      <c r="BI10" s="797"/>
      <c r="BJ10" s="797"/>
      <c r="BK10" s="797"/>
      <c r="BL10" s="797"/>
      <c r="BM10" s="797"/>
      <c r="BN10" s="797"/>
      <c r="BO10" s="797"/>
      <c r="BP10" s="797"/>
      <c r="BQ10" s="797"/>
      <c r="BR10" s="797"/>
      <c r="BS10" s="797"/>
      <c r="BT10" s="797"/>
      <c r="BU10" s="797"/>
      <c r="BV10" s="1003"/>
      <c r="BW10" s="1003"/>
      <c r="BX10" s="1003"/>
      <c r="BY10" s="1003"/>
      <c r="BZ10" s="1003"/>
      <c r="CA10" s="1003"/>
      <c r="CB10" s="1003"/>
      <c r="CC10" s="1003"/>
      <c r="CD10" s="1003"/>
      <c r="CE10" s="1003"/>
      <c r="IW10" s="794">
        <v>1</v>
      </c>
    </row>
    <row s="12053" customFormat="1" customHeight="1" ht="15.75">
      <c r="A11" s="2269"/>
      <c r="B11" s="1536"/>
      <c r="C11" s="582"/>
      <c r="D11" s="971"/>
      <c r="E11" s="591"/>
      <c r="F11" s="821" t="s">
        <v>1894</v>
      </c>
      <c r="G11" s="357"/>
      <c r="H11" s="357"/>
      <c r="I11" s="357"/>
      <c r="J11" s="357"/>
      <c r="K11" s="594"/>
      <c r="L11" s="2647"/>
      <c r="M11" s="1706"/>
      <c r="N11" s="1806"/>
      <c r="O11" s="1806"/>
      <c r="P11" s="1806"/>
      <c r="Q11" s="1794"/>
      <c r="R11" s="1806"/>
      <c r="S11" s="1536"/>
      <c r="T11" s="1536"/>
      <c r="U11" s="590"/>
      <c r="V11" s="1536"/>
      <c r="W11" s="1536"/>
      <c r="X11" s="1536"/>
      <c r="Y11" s="1003"/>
      <c r="Z11" s="1003"/>
      <c r="AA11" s="797"/>
      <c r="AB11" s="797"/>
      <c r="AC11" s="797"/>
      <c r="AD11" s="797"/>
      <c r="AE11" s="797"/>
      <c r="AF11" s="797"/>
      <c r="AG11" s="797"/>
      <c r="AH11" s="797"/>
      <c r="AI11" s="797"/>
      <c r="AJ11" s="797"/>
      <c r="AK11" s="797"/>
      <c r="AL11" s="797"/>
      <c r="AM11" s="797"/>
      <c r="AN11" s="797"/>
      <c r="AO11" s="797"/>
      <c r="AP11" s="797"/>
      <c r="AQ11" s="797"/>
      <c r="AR11" s="797"/>
      <c r="AS11" s="797"/>
      <c r="AT11" s="797"/>
      <c r="AU11" s="797"/>
      <c r="AV11" s="797"/>
      <c r="AW11" s="797"/>
      <c r="AX11" s="797"/>
      <c r="AY11" s="797"/>
      <c r="AZ11" s="797"/>
      <c r="BA11" s="797"/>
      <c r="BB11" s="797"/>
      <c r="BC11" s="797"/>
      <c r="BD11" s="797"/>
      <c r="BE11" s="797"/>
      <c r="BF11" s="797"/>
      <c r="BG11" s="797"/>
      <c r="BH11" s="797"/>
      <c r="BI11" s="797"/>
      <c r="BJ11" s="797"/>
      <c r="BK11" s="797"/>
      <c r="BL11" s="797"/>
      <c r="BM11" s="797"/>
      <c r="BN11" s="797"/>
      <c r="BO11" s="797"/>
      <c r="BP11" s="797"/>
      <c r="BQ11" s="797"/>
      <c r="BR11" s="797"/>
      <c r="BS11" s="797"/>
      <c r="BT11" s="797"/>
      <c r="BU11" s="797"/>
      <c r="BV11" s="1003"/>
      <c r="BW11" s="1003"/>
      <c r="BX11" s="1003"/>
      <c r="BY11" s="1003"/>
      <c r="BZ11" s="1003"/>
      <c r="CA11" s="1003"/>
      <c r="CB11" s="1003"/>
      <c r="CC11" s="1003"/>
      <c r="CD11" s="1003"/>
      <c r="CE11" s="1003"/>
      <c r="IW11" s="794">
        <v>15</v>
      </c>
    </row>
    <row s="12008" customFormat="1" customHeight="1" ht="22.049999999999997">
      <c r="A12" s="1801"/>
      <c r="B12" s="1536"/>
      <c r="C12" s="1801"/>
      <c r="D12" s="1803"/>
      <c r="E12" s="350"/>
      <c r="F12" s="350"/>
      <c r="G12" s="350"/>
      <c r="H12" s="350"/>
      <c r="I12" s="350"/>
      <c r="J12" s="350"/>
      <c r="K12" s="350"/>
      <c r="L12" s="350"/>
      <c r="M12" s="1794"/>
      <c r="N12" s="1794"/>
      <c r="O12" s="1794"/>
      <c r="P12" s="1794"/>
      <c r="Q12" s="1794"/>
      <c r="R12" s="1794"/>
      <c r="S12" s="395"/>
      <c r="T12" s="395"/>
      <c r="U12" s="395"/>
      <c r="V12" s="395"/>
      <c r="IW12" s="1779">
        <v>21</v>
      </c>
    </row>
    <row s="12008" customFormat="1" customHeight="1" ht="14.699999999999998">
      <c r="A13" s="1801"/>
      <c r="B13" s="1536"/>
      <c r="C13" s="1801"/>
      <c r="D13" s="1803"/>
      <c r="E13" s="1801"/>
      <c r="F13" s="1801"/>
      <c r="G13" s="1801"/>
      <c r="H13" s="1801"/>
      <c r="I13" s="1801"/>
      <c r="J13" s="1801"/>
      <c r="K13" s="1801"/>
      <c r="L13" s="1801"/>
      <c r="M13" s="1794"/>
      <c r="N13" s="1794"/>
      <c r="O13" s="1794"/>
      <c r="P13" s="1794"/>
      <c r="Q13" s="1794"/>
      <c r="R13" s="1794"/>
      <c r="S13" s="395"/>
      <c r="T13" s="395"/>
      <c r="U13" s="395"/>
      <c r="V13" s="395"/>
      <c r="IW13" s="1779">
        <v>14</v>
      </c>
    </row>
    <row s="12008" customFormat="1" customHeight="1" ht="1.05">
      <c r="A14" s="1801"/>
      <c r="B14" s="1536"/>
      <c r="C14" s="1801"/>
      <c r="D14" s="1803"/>
      <c r="E14" s="1801"/>
      <c r="F14" s="1801"/>
      <c r="G14" s="1801"/>
      <c r="H14" s="1801"/>
      <c r="I14" s="1801"/>
      <c r="J14" s="1801"/>
      <c r="K14" s="1801"/>
      <c r="L14" s="1801"/>
      <c r="M14" s="1794"/>
      <c r="N14" s="1794"/>
      <c r="O14" s="1794"/>
      <c r="P14" s="1794"/>
      <c r="Q14" s="1794"/>
      <c r="R14" s="1794"/>
      <c r="S14" s="395"/>
      <c r="T14" s="395"/>
      <c r="U14" s="395"/>
      <c r="V14" s="395"/>
      <c r="IW14" s="1779">
        <v>1</v>
      </c>
    </row>
    <row customHeight="1" ht="22.5" hidden="1">
      <c r="A15" s="1801" t="s">
        <v>85</v>
      </c>
      <c r="B15" s="1536">
        <v>0</v>
      </c>
      <c r="C15" s="1801">
        <v>0</v>
      </c>
      <c r="D15" s="1803">
        <v>3</v>
      </c>
      <c r="E15" s="1801">
        <v>6</v>
      </c>
      <c r="F15" s="1801">
        <v>27</v>
      </c>
      <c r="G15" s="1801">
        <v>16</v>
      </c>
      <c r="H15" s="1801">
        <v>12</v>
      </c>
      <c r="I15" s="1801">
        <v>32</v>
      </c>
      <c r="J15" s="1801">
        <v>41</v>
      </c>
      <c r="K15" s="1801">
        <v>41</v>
      </c>
      <c r="L15" s="1801">
        <v>89</v>
      </c>
      <c r="M15" s="1794">
        <v>3</v>
      </c>
      <c r="N15" s="1794">
        <v>8</v>
      </c>
      <c r="O15" s="1794">
        <v>8</v>
      </c>
      <c r="P15" s="1794">
        <v>8</v>
      </c>
      <c r="Q15" s="1794">
        <v>25</v>
      </c>
      <c r="R15" s="1794">
        <v>14</v>
      </c>
      <c r="S15" s="395">
        <v>8</v>
      </c>
      <c r="T15" s="395">
        <v>8</v>
      </c>
      <c r="U15" s="395">
        <v>8</v>
      </c>
      <c r="V15" s="395">
        <v>8</v>
      </c>
      <c r="W15" s="1801">
        <v>8</v>
      </c>
      <c r="X15" s="1801">
        <v>8</v>
      </c>
      <c r="Y15" s="1801">
        <v>8</v>
      </c>
      <c r="Z15" s="1801">
        <v>8</v>
      </c>
      <c r="AA15" s="1801">
        <v>8</v>
      </c>
      <c r="AB15" s="1801">
        <v>8</v>
      </c>
      <c r="AC15" s="1801">
        <v>8</v>
      </c>
      <c r="AD15" s="1801">
        <v>8</v>
      </c>
      <c r="AE15" s="1801">
        <v>8</v>
      </c>
      <c r="AF15" s="1801">
        <v>8</v>
      </c>
      <c r="AG15" s="1801">
        <v>8</v>
      </c>
      <c r="AH15" s="1801">
        <v>8</v>
      </c>
      <c r="AI15" s="1801">
        <v>8</v>
      </c>
      <c r="AJ15" s="1801">
        <v>8</v>
      </c>
      <c r="AK15" s="1801">
        <v>8</v>
      </c>
      <c r="AL15" s="1801">
        <v>8</v>
      </c>
      <c r="AM15" s="1801">
        <v>8</v>
      </c>
      <c r="AN15" s="1801">
        <v>8</v>
      </c>
      <c r="AO15" s="1801">
        <v>8</v>
      </c>
      <c r="AP15" s="1801">
        <v>8</v>
      </c>
      <c r="AQ15" s="1801">
        <v>8</v>
      </c>
      <c r="AR15" s="1801">
        <v>8</v>
      </c>
      <c r="AS15" s="1801">
        <v>8</v>
      </c>
      <c r="AT15" s="1801">
        <v>8</v>
      </c>
      <c r="AU15" s="1801">
        <v>8</v>
      </c>
      <c r="AV15" s="1801">
        <v>8</v>
      </c>
      <c r="AW15" s="1801">
        <v>8</v>
      </c>
      <c r="AX15" s="1801">
        <v>8</v>
      </c>
      <c r="AY15" s="1801">
        <v>8</v>
      </c>
      <c r="AZ15" s="1801">
        <v>8</v>
      </c>
      <c r="BA15" s="1801">
        <v>8</v>
      </c>
      <c r="BB15" s="1801">
        <v>8</v>
      </c>
      <c r="BC15" s="1801">
        <v>8</v>
      </c>
      <c r="BD15" s="1801">
        <v>8</v>
      </c>
      <c r="BE15" s="1801">
        <v>8</v>
      </c>
      <c r="BF15" s="1801">
        <v>8</v>
      </c>
      <c r="BG15" s="1801">
        <v>8</v>
      </c>
      <c r="BH15" s="1801">
        <v>8</v>
      </c>
      <c r="BI15" s="1801">
        <v>8</v>
      </c>
      <c r="BJ15" s="1801">
        <v>8</v>
      </c>
      <c r="BK15" s="1801">
        <v>8</v>
      </c>
      <c r="BL15" s="1801">
        <v>8</v>
      </c>
      <c r="BM15" s="1801">
        <v>8</v>
      </c>
      <c r="BN15" s="1801">
        <v>8</v>
      </c>
      <c r="BO15" s="1801">
        <v>8</v>
      </c>
      <c r="BP15" s="1801">
        <v>8</v>
      </c>
      <c r="BQ15" s="1801">
        <v>8</v>
      </c>
      <c r="BR15" s="1801">
        <v>8</v>
      </c>
      <c r="BS15" s="1801">
        <v>8</v>
      </c>
      <c r="BT15" s="1801">
        <v>8</v>
      </c>
      <c r="BU15" s="1801">
        <v>8</v>
      </c>
      <c r="BV15" s="1801">
        <v>8</v>
      </c>
      <c r="BW15" s="1801">
        <v>8</v>
      </c>
      <c r="BX15" s="1801">
        <v>8</v>
      </c>
      <c r="BY15" s="1801">
        <v>8</v>
      </c>
      <c r="BZ15" s="1801">
        <v>8</v>
      </c>
      <c r="CA15" s="1801">
        <v>8</v>
      </c>
      <c r="CB15" s="1801">
        <v>8</v>
      </c>
      <c r="CC15" s="1801">
        <v>8</v>
      </c>
      <c r="CD15" s="1801">
        <v>8</v>
      </c>
      <c r="CE15" s="1801">
        <v>8</v>
      </c>
      <c r="CF15" s="1801">
        <v>8</v>
      </c>
      <c r="CG15" s="1801">
        <v>8</v>
      </c>
      <c r="CH15" s="1801">
        <v>8</v>
      </c>
      <c r="CI15" s="1801">
        <v>8</v>
      </c>
      <c r="CJ15" s="1801">
        <v>8</v>
      </c>
      <c r="CK15" s="1801">
        <v>8</v>
      </c>
      <c r="CL15" s="1801">
        <v>8</v>
      </c>
      <c r="CM15" s="1801">
        <v>8</v>
      </c>
      <c r="CN15" s="1801">
        <v>8</v>
      </c>
      <c r="CO15" s="1801">
        <v>8</v>
      </c>
      <c r="CP15" s="1801">
        <v>8</v>
      </c>
      <c r="CQ15" s="1801">
        <v>8</v>
      </c>
      <c r="CR15" s="1801">
        <v>8</v>
      </c>
      <c r="CS15" s="1801">
        <v>8</v>
      </c>
      <c r="CT15" s="1801">
        <v>8</v>
      </c>
      <c r="CU15" s="1801">
        <v>8</v>
      </c>
      <c r="CV15" s="1801">
        <v>8</v>
      </c>
      <c r="CW15" s="1801">
        <v>8</v>
      </c>
      <c r="CX15" s="1801">
        <v>8</v>
      </c>
      <c r="CY15" s="1801">
        <v>8</v>
      </c>
      <c r="CZ15" s="1801">
        <v>8</v>
      </c>
      <c r="DA15" s="1801">
        <v>8</v>
      </c>
      <c r="DB15" s="1801">
        <v>8</v>
      </c>
      <c r="DC15" s="1801">
        <v>8</v>
      </c>
      <c r="DD15" s="1801">
        <v>8</v>
      </c>
      <c r="DE15" s="1801">
        <v>8</v>
      </c>
      <c r="DF15" s="1801">
        <v>8</v>
      </c>
      <c r="DG15" s="1801">
        <v>8</v>
      </c>
      <c r="DH15" s="1801">
        <v>8</v>
      </c>
      <c r="DI15" s="1801">
        <v>8</v>
      </c>
      <c r="DJ15" s="1801">
        <v>8</v>
      </c>
      <c r="DK15" s="1801">
        <v>8</v>
      </c>
      <c r="DL15" s="1801">
        <v>8</v>
      </c>
      <c r="DM15" s="1801">
        <v>8</v>
      </c>
      <c r="DN15" s="1801">
        <v>8</v>
      </c>
      <c r="DO15" s="1801">
        <v>8</v>
      </c>
      <c r="DP15" s="1801">
        <v>8</v>
      </c>
      <c r="DQ15" s="1801">
        <v>8</v>
      </c>
      <c r="DR15" s="1801">
        <v>8</v>
      </c>
      <c r="DS15" s="1801">
        <v>8</v>
      </c>
      <c r="DT15" s="1801">
        <v>8</v>
      </c>
      <c r="DU15" s="1801">
        <v>8</v>
      </c>
      <c r="DV15" s="1801">
        <v>8</v>
      </c>
      <c r="DW15" s="1801">
        <v>8</v>
      </c>
      <c r="DX15" s="1801">
        <v>8</v>
      </c>
      <c r="DY15" s="1801">
        <v>8</v>
      </c>
      <c r="DZ15" s="1801">
        <v>8</v>
      </c>
      <c r="EA15" s="1801">
        <v>8</v>
      </c>
      <c r="EB15" s="1801">
        <v>8</v>
      </c>
      <c r="EC15" s="1801">
        <v>8</v>
      </c>
      <c r="ED15" s="1801">
        <v>8</v>
      </c>
      <c r="EE15" s="1801">
        <v>8</v>
      </c>
      <c r="EF15" s="1801">
        <v>8</v>
      </c>
      <c r="EG15" s="1801">
        <v>8</v>
      </c>
      <c r="EH15" s="1801">
        <v>8</v>
      </c>
      <c r="EI15" s="1801">
        <v>8</v>
      </c>
      <c r="EJ15" s="1801">
        <v>8</v>
      </c>
      <c r="EK15" s="1801">
        <v>8</v>
      </c>
      <c r="EL15" s="1801">
        <v>8</v>
      </c>
      <c r="EM15" s="1801">
        <v>8</v>
      </c>
      <c r="EN15" s="1801">
        <v>8</v>
      </c>
      <c r="EO15" s="1801">
        <v>8</v>
      </c>
      <c r="EP15" s="1801">
        <v>8</v>
      </c>
      <c r="EQ15" s="1801">
        <v>8</v>
      </c>
      <c r="ER15" s="1801">
        <v>8</v>
      </c>
      <c r="ES15" s="1801">
        <v>8</v>
      </c>
      <c r="ET15" s="1801">
        <v>8</v>
      </c>
      <c r="EU15" s="1801">
        <v>8</v>
      </c>
      <c r="EV15" s="1801">
        <v>8</v>
      </c>
      <c r="EW15" s="1801">
        <v>8</v>
      </c>
      <c r="EX15" s="1801">
        <v>8</v>
      </c>
      <c r="EY15" s="1801">
        <v>8</v>
      </c>
      <c r="EZ15" s="1801">
        <v>8</v>
      </c>
      <c r="FA15" s="1801">
        <v>8</v>
      </c>
      <c r="FB15" s="1801">
        <v>8</v>
      </c>
      <c r="FC15" s="1801">
        <v>8</v>
      </c>
      <c r="FD15" s="1801">
        <v>8</v>
      </c>
      <c r="FE15" s="1801">
        <v>8</v>
      </c>
      <c r="FF15" s="1801">
        <v>8</v>
      </c>
      <c r="FG15" s="1801">
        <v>8</v>
      </c>
      <c r="FH15" s="1801">
        <v>8</v>
      </c>
      <c r="FI15" s="1801">
        <v>8</v>
      </c>
      <c r="FJ15" s="1801">
        <v>8</v>
      </c>
      <c r="FK15" s="1801">
        <v>8</v>
      </c>
      <c r="FL15" s="1801">
        <v>8</v>
      </c>
      <c r="FM15" s="1801">
        <v>8</v>
      </c>
      <c r="FN15" s="1801">
        <v>8</v>
      </c>
      <c r="FO15" s="1801">
        <v>8</v>
      </c>
      <c r="FP15" s="1801">
        <v>8</v>
      </c>
      <c r="FQ15" s="1801">
        <v>8</v>
      </c>
      <c r="FR15" s="1801">
        <v>8</v>
      </c>
      <c r="FS15" s="1801">
        <v>8</v>
      </c>
      <c r="FT15" s="1801">
        <v>8</v>
      </c>
      <c r="FU15" s="1801">
        <v>8</v>
      </c>
      <c r="FV15" s="1801">
        <v>8</v>
      </c>
      <c r="FW15" s="1801">
        <v>8</v>
      </c>
      <c r="FX15" s="1801">
        <v>8</v>
      </c>
      <c r="FY15" s="1801">
        <v>8</v>
      </c>
      <c r="FZ15" s="1801">
        <v>8</v>
      </c>
      <c r="GA15" s="1801">
        <v>8</v>
      </c>
      <c r="GB15" s="1801">
        <v>8</v>
      </c>
      <c r="GC15" s="1801">
        <v>8</v>
      </c>
      <c r="GD15" s="1801">
        <v>8</v>
      </c>
      <c r="GE15" s="1801">
        <v>8</v>
      </c>
      <c r="GF15" s="1801">
        <v>8</v>
      </c>
      <c r="GG15" s="1801">
        <v>8</v>
      </c>
      <c r="GH15" s="1801">
        <v>8</v>
      </c>
      <c r="GI15" s="1801">
        <v>8</v>
      </c>
      <c r="GJ15" s="1801">
        <v>8</v>
      </c>
      <c r="GK15" s="1801">
        <v>8</v>
      </c>
      <c r="GL15" s="1801">
        <v>8</v>
      </c>
      <c r="GM15" s="1801">
        <v>8</v>
      </c>
      <c r="GN15" s="1801">
        <v>8</v>
      </c>
      <c r="GO15" s="1801">
        <v>8</v>
      </c>
      <c r="GP15" s="1801">
        <v>8</v>
      </c>
      <c r="GQ15" s="1801">
        <v>8</v>
      </c>
      <c r="GR15" s="1801">
        <v>8</v>
      </c>
      <c r="GS15" s="1801">
        <v>8</v>
      </c>
      <c r="GT15" s="1801">
        <v>8</v>
      </c>
      <c r="GU15" s="1801">
        <v>8</v>
      </c>
      <c r="GV15" s="1801">
        <v>8</v>
      </c>
      <c r="GW15" s="1801">
        <v>8</v>
      </c>
      <c r="GX15" s="1801">
        <v>8</v>
      </c>
      <c r="GY15" s="1801">
        <v>8</v>
      </c>
      <c r="GZ15" s="1801">
        <v>8</v>
      </c>
      <c r="HA15" s="1801">
        <v>8</v>
      </c>
      <c r="HB15" s="1801">
        <v>8</v>
      </c>
      <c r="HC15" s="1801">
        <v>8</v>
      </c>
      <c r="HD15" s="1801">
        <v>8</v>
      </c>
      <c r="HE15" s="1801">
        <v>8</v>
      </c>
      <c r="HF15" s="1801">
        <v>8</v>
      </c>
      <c r="HG15" s="1801">
        <v>8</v>
      </c>
      <c r="HH15" s="1801">
        <v>8</v>
      </c>
      <c r="HI15" s="1801">
        <v>8</v>
      </c>
      <c r="HJ15" s="1801">
        <v>8</v>
      </c>
      <c r="HK15" s="1801">
        <v>8</v>
      </c>
      <c r="HL15" s="1801">
        <v>8</v>
      </c>
      <c r="HM15" s="1801">
        <v>8</v>
      </c>
      <c r="HN15" s="1801">
        <v>8</v>
      </c>
      <c r="HO15" s="1801">
        <v>8</v>
      </c>
      <c r="HP15" s="1801">
        <v>8</v>
      </c>
      <c r="HQ15" s="1801">
        <v>8</v>
      </c>
      <c r="HR15" s="1801">
        <v>8</v>
      </c>
      <c r="HS15" s="1801">
        <v>8</v>
      </c>
      <c r="HT15" s="1801">
        <v>8</v>
      </c>
      <c r="HU15" s="1801">
        <v>8</v>
      </c>
      <c r="HV15" s="1801">
        <v>8</v>
      </c>
      <c r="HW15" s="1801">
        <v>8</v>
      </c>
      <c r="HX15" s="1801">
        <v>8</v>
      </c>
      <c r="HY15" s="1801">
        <v>8</v>
      </c>
      <c r="HZ15" s="1801">
        <v>8</v>
      </c>
      <c r="IA15" s="1801">
        <v>8</v>
      </c>
      <c r="IB15" s="1801">
        <v>8</v>
      </c>
      <c r="IC15" s="1801">
        <v>8</v>
      </c>
      <c r="ID15" s="1801">
        <v>8</v>
      </c>
      <c r="IE15" s="1801">
        <v>8</v>
      </c>
      <c r="IF15" s="1801">
        <v>8</v>
      </c>
      <c r="IG15" s="1801">
        <v>8</v>
      </c>
      <c r="IH15" s="1801">
        <v>8</v>
      </c>
      <c r="II15" s="1801">
        <v>8</v>
      </c>
      <c r="IJ15" s="1801">
        <v>8</v>
      </c>
      <c r="IK15" s="1801">
        <v>8</v>
      </c>
      <c r="IL15" s="1801">
        <v>8</v>
      </c>
      <c r="IM15" s="1801">
        <v>8</v>
      </c>
      <c r="IN15" s="1801">
        <v>8</v>
      </c>
      <c r="IO15" s="1801">
        <v>8</v>
      </c>
      <c r="IP15" s="1801">
        <v>8</v>
      </c>
      <c r="IQ15" s="1801">
        <v>8</v>
      </c>
      <c r="IR15" s="1801">
        <v>8</v>
      </c>
      <c r="IS15" s="1801">
        <v>8</v>
      </c>
      <c r="IT15" s="1801">
        <v>8</v>
      </c>
      <c r="IU15" s="1801">
        <v>8</v>
      </c>
      <c r="IV15" s="1801">
        <v>8</v>
      </c>
      <c r="IW15" s="180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7B6C33-014A-1821-24BC-082B43BD6067}" mc:Ignorable="x14ac xr xr2 xr3">
  <dimension ref="A1:Q19"/>
  <sheetViews>
    <sheetView topLeftCell="A1" showGridLines="0" zoomScale="90" workbookViewId="0">
      <selection activeCell="A1" sqref="A1"/>
    </sheetView>
  </sheetViews>
  <sheetFormatPr defaultColWidth="9.140625" customHeight="1" defaultRowHeight="14.25"/>
  <cols>
    <col min="1" max="1" style="11913" width="9.140625" hidden="1"/>
    <col min="2" max="2" style="11992" width="9.140625" hidden="1"/>
    <col min="3" max="3" style="11913" width="3.7109375" hidden="1" customWidth="1"/>
    <col min="4" max="4" style="12081" width="3.00390625" customWidth="1"/>
    <col min="5" max="5" style="11913" width="6.00390625" customWidth="1"/>
    <col min="6" max="6" style="11913" width="27.00390625" customWidth="1"/>
    <col min="7" max="7" style="11913" width="29.00390625" customWidth="1"/>
    <col min="8" max="8" style="11913" width="25.00390625" customWidth="1"/>
    <col min="9" max="9" style="11913" width="5.00390625" customWidth="1"/>
    <col min="10" max="10" style="11913" width="6.00390625" customWidth="1"/>
    <col min="11" max="11" style="11913" width="41.00390625" customWidth="1"/>
    <col min="12" max="12" style="11913" width="42.00390625" customWidth="1"/>
    <col min="13" max="13" style="11913" width="41.00390625" customWidth="1"/>
    <col min="14" max="14" style="11913" width="89.00390625" customWidth="1"/>
    <col min="15" max="15" style="12082" width="3.00390625" customWidth="1"/>
    <col min="16" max="16" style="12082" width="8.00390625" customWidth="1"/>
    <col min="17" max="17" style="11913" width="9.140625" hidden="1"/>
  </cols>
  <sheetData>
    <row customHeight="1" ht="22.5" hidden="1">
      <c r="Q1" s="1325" t="s">
        <v>14</v>
      </c>
    </row>
    <row s="12053" customFormat="1" customHeight="1" ht="22.5" hidden="1">
      <c r="A2" s="666"/>
      <c r="B2" s="1330">
        <v>1</v>
      </c>
      <c r="C2" s="1330"/>
      <c r="D2" s="2098" t="s">
        <v>437</v>
      </c>
      <c r="E2" s="2297">
        <v>1</v>
      </c>
      <c r="F2" s="2473" t="str">
        <f>IF(region_name="","",region_name)</f>
        <v>Московская область</v>
      </c>
      <c r="G2" s="2653"/>
      <c r="H2" s="2654"/>
      <c r="I2" s="644"/>
      <c r="J2" s="2080">
        <v>1</v>
      </c>
      <c r="K2" s="2082"/>
      <c r="L2" s="2082"/>
      <c r="M2" s="2082"/>
      <c r="N2" s="662"/>
      <c r="O2" s="1705"/>
      <c r="P2" s="681"/>
      <c r="Q2" s="593">
        <v>0</v>
      </c>
    </row>
    <row s="12053" customFormat="1" customHeight="1" ht="22.5" hidden="1">
      <c r="A3" s="1001"/>
      <c r="B3" s="1330"/>
      <c r="C3" s="1330"/>
      <c r="D3" s="971"/>
      <c r="E3" s="2297"/>
      <c r="F3" s="2473"/>
      <c r="G3" s="2653"/>
      <c r="H3" s="2655"/>
      <c r="I3" s="591"/>
      <c r="J3" s="1670"/>
      <c r="K3" s="1670" t="s">
        <v>1898</v>
      </c>
      <c r="L3" s="1713"/>
      <c r="M3" s="2090"/>
      <c r="N3" s="2083"/>
      <c r="O3" s="1705"/>
      <c r="P3" s="681"/>
      <c r="Q3" s="593">
        <v>0</v>
      </c>
    </row>
    <row s="11993" customFormat="1" customHeight="1" ht="5.25" hidden="1">
      <c r="A4" s="666"/>
      <c r="D4" s="664"/>
      <c r="F4" s="417" t="s">
        <v>86</v>
      </c>
      <c r="G4" s="664" t="s">
        <v>87</v>
      </c>
      <c r="H4" s="664"/>
      <c r="I4" s="2093"/>
      <c r="J4" s="1714"/>
      <c r="K4" s="2081"/>
      <c r="L4" s="2081"/>
      <c r="M4" s="2081"/>
      <c r="N4" s="2077"/>
      <c r="O4" s="417" t="s">
        <v>86</v>
      </c>
      <c r="P4" s="417"/>
      <c r="Q4" s="681">
        <v>0</v>
      </c>
    </row>
    <row s="12053" customFormat="1" customHeight="1" ht="22.5" hidden="1">
      <c r="A5" s="1811"/>
      <c r="B5" s="1536">
        <v>1</v>
      </c>
      <c r="C5" s="1536"/>
      <c r="D5" s="971"/>
      <c r="E5" s="2083"/>
      <c r="F5" s="2083"/>
      <c r="G5" s="2083"/>
      <c r="H5" s="2094"/>
      <c r="I5" s="2099" t="s">
        <v>437</v>
      </c>
      <c r="J5" s="2092">
        <v>1</v>
      </c>
      <c r="K5" s="2082"/>
      <c r="L5" s="2082"/>
      <c r="M5" s="2082"/>
      <c r="N5" s="662"/>
      <c r="O5" s="1705"/>
      <c r="P5" s="1806"/>
      <c r="Q5" s="794">
        <v>0</v>
      </c>
    </row>
    <row s="12008" customFormat="1" customHeight="1" ht="14.699999999999998">
      <c r="A6" s="1325"/>
      <c r="B6" s="1330"/>
      <c r="C6" s="1325"/>
      <c r="D6" s="1665"/>
      <c r="E6" s="679"/>
      <c r="F6" s="679"/>
      <c r="G6" s="679"/>
      <c r="H6" s="679"/>
      <c r="I6" s="679"/>
      <c r="J6" s="679"/>
      <c r="K6" s="679"/>
      <c r="L6" s="679"/>
      <c r="M6" s="679"/>
      <c r="N6" s="1805"/>
      <c r="O6" s="417"/>
      <c r="P6" s="670"/>
      <c r="Q6" s="677">
        <v>14</v>
      </c>
    </row>
    <row s="12008" customFormat="1" customHeight="1" ht="27.299999999999997">
      <c r="A7" s="1325"/>
      <c r="B7" s="1330"/>
      <c r="C7" s="1325"/>
      <c r="D7" s="1665"/>
      <c r="E7" s="266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660"/>
      <c r="G7" s="2660"/>
      <c r="H7" s="2660"/>
      <c r="I7" s="2660"/>
      <c r="J7" s="2660"/>
      <c r="K7" s="2660"/>
      <c r="L7" s="2660"/>
      <c r="M7" s="2660"/>
      <c r="N7" s="1422"/>
      <c r="O7" s="417"/>
      <c r="P7" s="670"/>
      <c r="Q7" s="677">
        <v>26</v>
      </c>
    </row>
    <row s="12008" customFormat="1" customHeight="1" ht="14.699999999999998">
      <c r="A8" s="1325"/>
      <c r="B8" s="1330"/>
      <c r="C8" s="1325"/>
      <c r="D8" s="1665"/>
      <c r="E8" s="679"/>
      <c r="F8" s="337"/>
      <c r="G8" s="337"/>
      <c r="H8" s="337"/>
      <c r="I8" s="337"/>
      <c r="J8" s="337"/>
      <c r="K8" s="337"/>
      <c r="L8" s="337"/>
      <c r="M8" s="337"/>
      <c r="N8" s="786"/>
      <c r="O8" s="670"/>
      <c r="P8" s="670"/>
      <c r="Q8" s="677">
        <v>14</v>
      </c>
    </row>
    <row s="15341" customFormat="1" customHeight="1" ht="14.25" hidden="1">
      <c r="A9" s="1638"/>
      <c r="B9" s="1648"/>
      <c r="C9" s="1638"/>
      <c r="D9" s="1665"/>
      <c r="E9" s="2084"/>
      <c r="F9" s="2084"/>
      <c r="G9" s="2084"/>
      <c r="H9" s="2084"/>
      <c r="I9" s="2663"/>
      <c r="J9" s="2663"/>
      <c r="K9" s="2663"/>
      <c r="L9" s="2084"/>
      <c r="M9" s="2085"/>
      <c r="O9" s="1715"/>
      <c r="P9" s="1715"/>
      <c r="Q9" s="1716">
        <v>0</v>
      </c>
    </row>
    <row s="12008" customFormat="1" customHeight="1" ht="14.699999999999998">
      <c r="A10" s="1325"/>
      <c r="B10" s="1330"/>
      <c r="C10" s="1325"/>
      <c r="D10" s="1665"/>
      <c r="E10" s="2297" t="s">
        <v>312</v>
      </c>
      <c r="F10" s="2297"/>
      <c r="G10" s="2297"/>
      <c r="H10" s="2297"/>
      <c r="I10" s="2297"/>
      <c r="J10" s="2297"/>
      <c r="K10" s="2297"/>
      <c r="L10" s="2297"/>
      <c r="M10" s="2271"/>
      <c r="N10" s="2648" t="s">
        <v>313</v>
      </c>
      <c r="O10" s="670"/>
      <c r="P10" s="670"/>
      <c r="Q10" s="677">
        <v>14</v>
      </c>
    </row>
    <row s="12008" customFormat="1" customHeight="1" ht="44.25">
      <c r="A11" s="1801"/>
      <c r="B11" s="1536"/>
      <c r="C11" s="1801"/>
      <c r="D11" s="1685"/>
      <c r="E11" s="2662" t="s">
        <v>91</v>
      </c>
      <c r="F11" s="2662" t="s">
        <v>316</v>
      </c>
      <c r="G11" s="2662" t="s">
        <v>1899</v>
      </c>
      <c r="H11" s="2662"/>
      <c r="I11" s="2662" t="s">
        <v>1900</v>
      </c>
      <c r="J11" s="2662"/>
      <c r="K11" s="2662"/>
      <c r="L11" s="2662" t="s">
        <v>1901</v>
      </c>
      <c r="M11" s="2650" t="s">
        <v>1902</v>
      </c>
      <c r="N11" s="2661"/>
      <c r="O11" s="1794"/>
      <c r="P11" s="1794"/>
      <c r="Q11" s="1779">
        <v>42</v>
      </c>
    </row>
    <row s="12008" customFormat="1" customHeight="1" ht="29.25">
      <c r="A12" s="1325"/>
      <c r="B12" s="1330"/>
      <c r="C12" s="1325"/>
      <c r="D12" s="1665"/>
      <c r="E12" s="2648"/>
      <c r="F12" s="2662"/>
      <c r="G12" s="2079" t="s">
        <v>1903</v>
      </c>
      <c r="H12" s="2079" t="s">
        <v>320</v>
      </c>
      <c r="I12" s="2662"/>
      <c r="J12" s="2662"/>
      <c r="K12" s="2662"/>
      <c r="L12" s="2662"/>
      <c r="M12" s="2650"/>
      <c r="N12" s="2649"/>
      <c r="O12" s="670"/>
      <c r="P12" s="670"/>
      <c r="Q12" s="677">
        <v>28</v>
      </c>
    </row>
    <row s="12053" customFormat="1" customHeight="1" ht="23.25">
      <c r="A13" s="2269">
        <v>26379339</v>
      </c>
      <c r="B13" s="1330">
        <v>1</v>
      </c>
      <c r="C13" s="1330"/>
      <c r="D13" s="971"/>
      <c r="E13" s="2297">
        <v>1</v>
      </c>
      <c r="F13" s="2656" t="str">
        <f>IF(region_name="","",region_name)</f>
        <v>Московская область</v>
      </c>
      <c r="G13" s="2657"/>
      <c r="H13" s="2664"/>
      <c r="I13" s="644"/>
      <c r="J13" s="2075">
        <v>1</v>
      </c>
      <c r="K13" s="2088"/>
      <c r="L13" s="2089"/>
      <c r="M13" s="2089"/>
      <c r="N13" s="2658" t="s">
        <v>1904</v>
      </c>
      <c r="O13" s="1705"/>
      <c r="P13" s="681"/>
      <c r="Q13" s="593">
        <v>22</v>
      </c>
    </row>
    <row s="12053" customFormat="1" customHeight="1" ht="23.25">
      <c r="A14" s="2269"/>
      <c r="B14" s="1330"/>
      <c r="C14" s="1330"/>
      <c r="D14" s="971"/>
      <c r="E14" s="2297"/>
      <c r="F14" s="2656"/>
      <c r="G14" s="2657"/>
      <c r="H14" s="2665"/>
      <c r="I14" s="591"/>
      <c r="J14" s="1670"/>
      <c r="K14" s="1670" t="s">
        <v>1898</v>
      </c>
      <c r="L14" s="1713"/>
      <c r="M14" s="1713"/>
      <c r="N14" s="2659"/>
      <c r="O14" s="1705"/>
      <c r="P14" s="681"/>
      <c r="Q14" s="593">
        <v>22</v>
      </c>
    </row>
    <row s="12053" customFormat="1" customHeight="1" ht="23.25">
      <c r="A15" s="2269"/>
      <c r="B15" s="1330"/>
      <c r="C15" s="582"/>
      <c r="D15" s="971"/>
      <c r="E15" s="591"/>
      <c r="F15" s="1670" t="s">
        <v>1890</v>
      </c>
      <c r="G15" s="1712"/>
      <c r="H15" s="1712"/>
      <c r="I15" s="357"/>
      <c r="J15" s="357"/>
      <c r="K15" s="357"/>
      <c r="L15" s="357"/>
      <c r="M15" s="357"/>
      <c r="N15" s="2659"/>
      <c r="O15" s="1706"/>
      <c r="P15" s="681"/>
      <c r="Q15" s="593">
        <v>22</v>
      </c>
    </row>
    <row s="12008" customFormat="1" customHeight="1" ht="22.049999999999997">
      <c r="A16" s="1325"/>
      <c r="B16" s="1330"/>
      <c r="C16" s="1325"/>
      <c r="D16" s="621"/>
      <c r="E16" s="350"/>
      <c r="F16" s="350"/>
      <c r="G16" s="350"/>
      <c r="H16" s="350"/>
      <c r="I16" s="350"/>
      <c r="J16" s="350"/>
      <c r="K16" s="350"/>
      <c r="L16" s="350"/>
      <c r="M16" s="679"/>
      <c r="N16" s="1805"/>
      <c r="O16" s="670"/>
      <c r="P16" s="670"/>
      <c r="Q16" s="677">
        <v>21</v>
      </c>
    </row>
    <row s="12008" customFormat="1" customHeight="1" ht="14.699999999999998">
      <c r="A17" s="1325"/>
      <c r="B17" s="1330"/>
      <c r="C17" s="1325"/>
      <c r="D17" s="621"/>
      <c r="E17" s="1325"/>
      <c r="F17" s="1325"/>
      <c r="G17" s="1325"/>
      <c r="H17" s="1325"/>
      <c r="I17" s="1325"/>
      <c r="J17" s="1325"/>
      <c r="K17" s="1325"/>
      <c r="L17" s="1325"/>
      <c r="M17" s="1325"/>
      <c r="N17" s="1801"/>
      <c r="O17" s="670"/>
      <c r="P17" s="670"/>
      <c r="Q17" s="677">
        <v>14</v>
      </c>
    </row>
    <row s="12008" customFormat="1" customHeight="1" ht="1.05">
      <c r="A18" s="1325"/>
      <c r="B18" s="1330"/>
      <c r="C18" s="1325"/>
      <c r="D18" s="621"/>
      <c r="E18" s="1325"/>
      <c r="F18" s="1325"/>
      <c r="G18" s="1325"/>
      <c r="H18" s="1325"/>
      <c r="I18" s="1325"/>
      <c r="J18" s="1325"/>
      <c r="K18" s="1325"/>
      <c r="L18" s="1325"/>
      <c r="M18" s="1325"/>
      <c r="N18" s="1801"/>
      <c r="O18" s="670"/>
      <c r="P18" s="670"/>
      <c r="Q18" s="677">
        <v>1</v>
      </c>
    </row>
    <row customHeight="1" ht="22.5" hidden="1">
      <c r="A19" s="1325" t="s">
        <v>85</v>
      </c>
      <c r="B19" s="1330">
        <v>0</v>
      </c>
      <c r="C19" s="1325">
        <v>0</v>
      </c>
      <c r="D19" s="621">
        <v>3</v>
      </c>
      <c r="E19" s="1325">
        <v>6</v>
      </c>
      <c r="F19" s="1325">
        <v>27</v>
      </c>
      <c r="G19" s="1325">
        <v>29</v>
      </c>
      <c r="H19" s="1325">
        <v>25</v>
      </c>
      <c r="I19" s="1325">
        <v>5</v>
      </c>
      <c r="J19" s="1325">
        <v>6</v>
      </c>
      <c r="K19" s="1325">
        <v>41</v>
      </c>
      <c r="L19" s="1325">
        <v>42</v>
      </c>
      <c r="M19" s="1325">
        <v>41</v>
      </c>
      <c r="N19" s="1801">
        <v>89</v>
      </c>
      <c r="O19" s="670">
        <v>3</v>
      </c>
      <c r="P19" s="670">
        <v>8</v>
      </c>
      <c r="Q19" s="132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7AC301-30E2-7306-231D-5953C7E32AA5}"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12534" width="9.140625" hidden="1"/>
    <col min="2" max="2" style="15059" width="9.140625" hidden="1"/>
    <col min="3" max="3" style="15381" width="3.00390625" customWidth="1"/>
    <col min="4" max="4" style="15059" width="6.00390625" customWidth="1"/>
    <col min="5" max="5" style="15059" width="22.00390625" customWidth="1"/>
    <col min="6" max="6" style="15059" width="15.00390625" customWidth="1"/>
    <col min="7" max="7" style="15059" width="14.00390625" customWidth="1"/>
    <col min="8" max="8" style="15059" width="47.00390625" customWidth="1"/>
    <col min="9" max="9" style="15059" width="115.00390625" customWidth="1"/>
    <col min="10" max="10" style="15059" width="3.00390625" customWidth="1"/>
    <col min="11" max="12" style="15059" width="8.00390625" customWidth="1"/>
    <col min="13" max="13" style="15059" width="9.140625" hidden="1"/>
  </cols>
  <sheetData>
    <row customHeight="1" ht="14.25" hidden="1">
      <c r="M1" s="291" t="s">
        <v>14</v>
      </c>
    </row>
    <row customHeight="1" ht="14.25" hidden="1">
      <c r="M2" s="291">
        <v>0</v>
      </c>
    </row>
    <row customHeight="1" ht="14.25" hidden="1">
      <c r="M3" s="291">
        <v>0</v>
      </c>
    </row>
    <row customHeight="1" ht="3">
      <c r="M4" s="291">
        <v>3</v>
      </c>
    </row>
    <row s="11913" customFormat="1" customHeight="1" ht="31.5">
      <c r="A5" s="285"/>
      <c r="C5" s="260"/>
      <c r="D5" s="2270" t="s">
        <v>1905</v>
      </c>
      <c r="E5" s="2270"/>
      <c r="F5" s="2270"/>
      <c r="G5" s="2270"/>
      <c r="H5" s="2270"/>
      <c r="I5" s="435"/>
      <c r="M5" s="253">
        <v>30</v>
      </c>
    </row>
    <row customHeight="1" ht="3" hidden="1">
      <c r="D6" s="292"/>
      <c r="E6" s="292"/>
      <c r="F6" s="292"/>
      <c r="G6" s="292"/>
      <c r="H6" s="292"/>
      <c r="I6" s="292"/>
      <c r="M6" s="291">
        <v>0</v>
      </c>
    </row>
    <row s="12534" customFormat="1" customHeight="1" ht="14.699999999999998">
      <c r="B7" s="289"/>
      <c r="C7" s="290"/>
      <c r="D7" s="293"/>
      <c r="E7" s="293"/>
      <c r="F7" s="293"/>
      <c r="G7" s="293"/>
      <c r="H7" s="922"/>
      <c r="I7" s="293"/>
      <c r="J7" s="294"/>
      <c r="M7" s="288">
        <v>14</v>
      </c>
    </row>
    <row customHeight="1" ht="14.699999999999998">
      <c r="D8" s="2379" t="s">
        <v>312</v>
      </c>
      <c r="E8" s="2379"/>
      <c r="F8" s="2379"/>
      <c r="G8" s="2379"/>
      <c r="H8" s="2379"/>
      <c r="I8" s="2379" t="s">
        <v>313</v>
      </c>
      <c r="M8" s="291">
        <v>14</v>
      </c>
    </row>
    <row customHeight="1" ht="29.25">
      <c r="D9" s="2379" t="s">
        <v>91</v>
      </c>
      <c r="E9" s="2379" t="s">
        <v>1906</v>
      </c>
      <c r="F9" s="2379"/>
      <c r="G9" s="2379"/>
      <c r="H9" s="2379"/>
      <c r="I9" s="2379"/>
      <c r="M9" s="291">
        <v>28</v>
      </c>
    </row>
    <row customHeight="1" ht="24">
      <c r="D10" s="2379"/>
      <c r="E10" s="297" t="s">
        <v>1907</v>
      </c>
      <c r="F10" s="297" t="s">
        <v>1908</v>
      </c>
      <c r="G10" s="297" t="s">
        <v>1909</v>
      </c>
      <c r="H10" s="297" t="s">
        <v>402</v>
      </c>
      <c r="I10" s="2379"/>
      <c r="M10" s="291">
        <v>23</v>
      </c>
    </row>
    <row customHeight="1" ht="12" hidden="1">
      <c r="D11" s="257" t="s">
        <v>112</v>
      </c>
      <c r="E11" s="257" t="s">
        <v>94</v>
      </c>
      <c r="F11" s="257" t="s">
        <v>114</v>
      </c>
      <c r="G11" s="257" t="s">
        <v>95</v>
      </c>
      <c r="H11" s="257" t="s">
        <v>96</v>
      </c>
      <c r="I11" s="257" t="s">
        <v>115</v>
      </c>
      <c r="M11" s="291">
        <v>0</v>
      </c>
    </row>
    <row s="15059" customFormat="1" customHeight="1" ht="26.25">
      <c r="A12" s="315" t="s">
        <v>93</v>
      </c>
      <c r="B12" s="295" t="s">
        <v>28</v>
      </c>
      <c r="C12" s="296"/>
      <c r="D12" s="298" t="s">
        <v>112</v>
      </c>
      <c r="E12" s="551"/>
      <c r="F12" s="551"/>
      <c r="G12" s="1904" t="s">
        <v>28</v>
      </c>
      <c r="H12" s="552"/>
      <c r="I12" s="2339" t="s">
        <v>1910</v>
      </c>
      <c r="K12" s="442"/>
      <c r="L12" s="443"/>
      <c r="M12" s="287">
        <v>25</v>
      </c>
    </row>
    <row customHeight="1" ht="15.75">
      <c r="A13" s="291"/>
      <c r="B13" s="291"/>
      <c r="C13" s="291"/>
      <c r="D13" s="279"/>
      <c r="E13" s="300" t="s">
        <v>481</v>
      </c>
      <c r="F13" s="299"/>
      <c r="G13" s="299"/>
      <c r="H13" s="384"/>
      <c r="I13" s="2341"/>
      <c r="M13" s="291">
        <v>15</v>
      </c>
    </row>
    <row customHeight="1" ht="3">
      <c r="A14" s="291"/>
      <c r="B14" s="291"/>
      <c r="C14" s="291"/>
      <c r="M14" s="291">
        <v>3</v>
      </c>
    </row>
    <row customHeight="1" ht="29.25">
      <c r="E15" s="2666" t="s">
        <v>1911</v>
      </c>
      <c r="F15" s="2666"/>
      <c r="G15" s="2666"/>
      <c r="H15" s="2666"/>
      <c r="M15" s="291">
        <v>28</v>
      </c>
    </row>
    <row customHeight="1" ht="14.25" hidden="1">
      <c r="A16" s="288" t="s">
        <v>85</v>
      </c>
      <c r="B16" s="289">
        <v>0</v>
      </c>
      <c r="C16" s="290">
        <v>3</v>
      </c>
      <c r="D16" s="291">
        <v>6</v>
      </c>
      <c r="E16" s="291">
        <v>22</v>
      </c>
      <c r="F16" s="291">
        <v>15</v>
      </c>
      <c r="G16" s="291">
        <v>14</v>
      </c>
      <c r="H16" s="291">
        <v>47</v>
      </c>
      <c r="I16" s="291">
        <v>115</v>
      </c>
      <c r="J16" s="291">
        <v>3</v>
      </c>
      <c r="K16" s="291">
        <v>8</v>
      </c>
      <c r="L16" s="291">
        <v>8</v>
      </c>
      <c r="M16" s="29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257744-AC3D-FF3B-44A8-D8EED5AD95ED}" mc:Ignorable="x14ac xr xr2 xr3">
  <sheetPr>
    <tabColor rgb="FFCCCCFF"/>
    <pageSetUpPr fitToPage="1"/>
  </sheetPr>
  <dimension ref="A1:J17"/>
  <sheetViews>
    <sheetView topLeftCell="A1" showGridLines="0" zoomScale="90" workbookViewId="0">
      <selection activeCell="E13" sqref="E13"/>
    </sheetView>
  </sheetViews>
  <sheetFormatPr defaultColWidth="9.140625" customHeight="1" defaultRowHeight="14.25"/>
  <cols>
    <col min="1" max="2" style="15402" width="9.140625" hidden="1"/>
    <col min="3" max="3" style="15403" width="3.00390625" customWidth="1"/>
    <col min="4" max="4" style="15402" width="6.00390625" customWidth="1"/>
    <col min="5" max="5" style="15402" width="94.00390625" customWidth="1"/>
    <col min="6" max="9" style="15402" width="8.00390625" customWidth="1"/>
    <col min="10" max="10" style="15402" width="9.140625" hidden="1"/>
  </cols>
  <sheetData>
    <row customHeight="1" ht="14.25" hidden="1">
      <c r="J1" s="239" t="s">
        <v>14</v>
      </c>
    </row>
    <row customHeight="1" ht="14.25" hidden="1">
      <c r="J2" s="239">
        <v>0</v>
      </c>
    </row>
    <row customHeight="1" ht="14.25" hidden="1">
      <c r="J3" s="239">
        <v>0</v>
      </c>
    </row>
    <row customHeight="1" ht="14.25" hidden="1">
      <c r="J4" s="239">
        <v>0</v>
      </c>
    </row>
    <row customHeight="1" ht="14.25" hidden="1">
      <c r="J5" s="239">
        <v>0</v>
      </c>
    </row>
    <row customHeight="1" ht="3">
      <c r="C6" s="262"/>
      <c r="D6" s="240"/>
      <c r="E6" s="240"/>
      <c r="J6" s="239">
        <v>3</v>
      </c>
    </row>
    <row customHeight="1" ht="23.25">
      <c r="C7" s="262"/>
      <c r="D7" s="2667" t="s">
        <v>1912</v>
      </c>
      <c r="E7" s="2668"/>
      <c r="F7" s="437"/>
      <c r="J7" s="239">
        <v>22</v>
      </c>
    </row>
    <row customHeight="1" ht="3">
      <c r="C8" s="262"/>
      <c r="D8" s="240"/>
      <c r="E8" s="240"/>
      <c r="J8" s="239">
        <v>3</v>
      </c>
    </row>
    <row customHeight="1" ht="16.8">
      <c r="C9" s="262"/>
      <c r="D9" s="275" t="s">
        <v>91</v>
      </c>
      <c r="E9" s="430" t="s">
        <v>1913</v>
      </c>
      <c r="J9" s="239">
        <v>16</v>
      </c>
    </row>
    <row customHeight="1" ht="1.05">
      <c r="C10" s="262"/>
      <c r="D10" s="257"/>
      <c r="E10" s="257"/>
      <c r="J10" s="239">
        <v>1</v>
      </c>
    </row>
    <row customHeight="1" ht="11.25" hidden="1">
      <c r="C11" s="262"/>
      <c r="D11" s="320">
        <v>0</v>
      </c>
      <c r="E11" s="431"/>
      <c r="J11" s="239">
        <v>0</v>
      </c>
    </row>
    <row customHeight="1" ht="37.5">
      <c r="C12" s="306"/>
      <c r="D12" s="283">
        <v>1</v>
      </c>
      <c r="E12" s="547" t="s">
        <v>1914</v>
      </c>
      <c r="J12" s="239">
        <v>15</v>
      </c>
    </row>
    <row customHeight="1" ht="89.25">
      <c r="A13" s="11360"/>
      <c r="B13" s="11360"/>
      <c r="C13" s="11361" t="s">
        <v>437</v>
      </c>
      <c r="D13" s="283" t="s">
        <v>113</v>
      </c>
      <c r="E13" s="547" t="s">
        <v>1915</v>
      </c>
      <c r="F13" s="11360"/>
      <c r="G13" s="11360"/>
      <c r="H13" s="11360"/>
      <c r="I13" s="11360"/>
      <c r="J13" s="11360"/>
    </row>
    <row customHeight="1" ht="12.75">
      <c r="C14" s="262"/>
      <c r="D14" s="432"/>
      <c r="E14" s="433" t="s">
        <v>1916</v>
      </c>
      <c r="J14" s="239">
        <v>12</v>
      </c>
    </row>
    <row customHeight="1" ht="3">
      <c r="J15" s="239">
        <v>3</v>
      </c>
    </row>
    <row customHeight="1" ht="23.25">
      <c r="C16" s="307"/>
      <c r="D16" s="2669" t="s">
        <v>1917</v>
      </c>
      <c r="E16" s="2669"/>
      <c r="F16" s="308"/>
      <c r="G16" s="308"/>
      <c r="H16" s="308"/>
      <c r="I16" s="308"/>
      <c r="J16" s="239">
        <v>22</v>
      </c>
    </row>
    <row customHeight="1" ht="14.25" hidden="1">
      <c r="A17" s="239" t="s">
        <v>85</v>
      </c>
      <c r="B17" s="239">
        <v>0</v>
      </c>
      <c r="C17" s="261">
        <v>3</v>
      </c>
      <c r="D17" s="239">
        <v>6</v>
      </c>
      <c r="E17" s="239">
        <v>94</v>
      </c>
      <c r="F17" s="239">
        <v>8</v>
      </c>
      <c r="G17" s="239">
        <v>8</v>
      </c>
      <c r="H17" s="239">
        <v>8</v>
      </c>
      <c r="I17" s="239">
        <v>8</v>
      </c>
      <c r="J17" s="239">
        <v>14</v>
      </c>
    </row>
  </sheetData>
  <sheetProtection formatColumns="0" formatRows="0" sort="0" autoFilter="0" insertRows="0" insertColumns="1" deleteRows="0" deleteColumns="0"/>
  <mergeCells count="2">
    <mergeCell ref="D7:E7"/>
    <mergeCell ref="D16:E16"/>
  </mergeCells>
  <dataValidations count="2">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54A6AF-074C-EF77-BAC4-B8A450BFF128}"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15402" width="9.140625" hidden="1"/>
    <col min="3" max="3" style="15403" width="3.00390625" customWidth="1"/>
    <col min="4" max="4" style="15402" width="6.00390625" customWidth="1"/>
    <col min="5" max="5" style="15402" width="94.00390625" customWidth="1"/>
    <col min="6" max="12" style="15402" width="8.00390625" customWidth="1"/>
    <col min="13" max="13" style="15402" width="9.140625" hidden="1"/>
  </cols>
  <sheetData>
    <row customHeight="1" ht="14.25" hidden="1">
      <c r="L1" s="434"/>
      <c r="M1" s="239" t="s">
        <v>14</v>
      </c>
    </row>
    <row customHeight="1" ht="14.25" hidden="1">
      <c r="M2" s="239">
        <v>0</v>
      </c>
    </row>
    <row customHeight="1" ht="14.25" hidden="1">
      <c r="M3" s="239">
        <v>0</v>
      </c>
    </row>
    <row customHeight="1" ht="14.25" hidden="1">
      <c r="M4" s="239">
        <v>0</v>
      </c>
    </row>
    <row customHeight="1" ht="14.25" hidden="1">
      <c r="M5" s="239">
        <v>0</v>
      </c>
    </row>
    <row customHeight="1" ht="3">
      <c r="C6" s="262"/>
      <c r="D6" s="240"/>
      <c r="E6" s="240"/>
      <c r="M6" s="239">
        <v>3</v>
      </c>
    </row>
    <row customHeight="1" ht="23.25">
      <c r="C7" s="262"/>
      <c r="D7" s="2270" t="s">
        <v>1918</v>
      </c>
      <c r="E7" s="2270"/>
      <c r="F7" s="437"/>
      <c r="M7" s="239">
        <v>22</v>
      </c>
    </row>
    <row customHeight="1" ht="3">
      <c r="C8" s="262"/>
      <c r="D8" s="240"/>
      <c r="E8" s="240"/>
      <c r="M8" s="239">
        <v>3</v>
      </c>
    </row>
    <row customHeight="1" ht="16.8">
      <c r="C9" s="262"/>
      <c r="D9" s="275" t="s">
        <v>91</v>
      </c>
      <c r="E9" s="278" t="s">
        <v>299</v>
      </c>
      <c r="M9" s="239">
        <v>16</v>
      </c>
    </row>
    <row customHeight="1" ht="12.75">
      <c r="C10" s="262"/>
      <c r="D10" s="257" t="s">
        <v>112</v>
      </c>
      <c r="E10" s="257" t="s">
        <v>113</v>
      </c>
      <c r="M10" s="239">
        <v>12</v>
      </c>
    </row>
    <row customHeight="1" ht="15" hidden="1">
      <c r="C11" s="262"/>
      <c r="D11" s="283">
        <v>0</v>
      </c>
      <c r="E11" s="319"/>
      <c r="M11" s="239">
        <v>0</v>
      </c>
    </row>
    <row customHeight="1" ht="14.699999999999998">
      <c r="C12" s="262"/>
      <c r="D12" s="279"/>
      <c r="E12" s="277" t="s">
        <v>1916</v>
      </c>
      <c r="M12" s="239">
        <v>14</v>
      </c>
    </row>
    <row customHeight="1" ht="14.25" hidden="1">
      <c r="A13" s="239" t="s">
        <v>85</v>
      </c>
      <c r="B13" s="239">
        <v>0</v>
      </c>
      <c r="C13" s="261">
        <v>3</v>
      </c>
      <c r="D13" s="239">
        <v>6</v>
      </c>
      <c r="E13" s="239">
        <v>94</v>
      </c>
      <c r="F13" s="239">
        <v>8</v>
      </c>
      <c r="G13" s="239">
        <v>8</v>
      </c>
      <c r="H13" s="239">
        <v>8</v>
      </c>
      <c r="I13" s="239">
        <v>8</v>
      </c>
      <c r="J13" s="239">
        <v>8</v>
      </c>
      <c r="K13" s="239">
        <v>8</v>
      </c>
      <c r="L13" s="239">
        <v>8</v>
      </c>
      <c r="M13" s="23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49DDA3-F24F-A0D9-77C5-811714A3C023}"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2053" width="9.140625" hidden="1"/>
    <col min="3" max="4" style="12053" width="3.00390625" customWidth="1"/>
    <col min="5" max="6" style="12053" width="15.00390625" customWidth="1"/>
    <col min="7" max="7" style="12053" width="11.57421875" customWidth="1"/>
    <col min="8" max="9" style="12053" width="3.00390625" customWidth="1"/>
    <col min="10" max="10" style="12053" width="12.00390625" customWidth="1"/>
    <col min="11" max="11" style="12053" width="0.28125" customWidth="1"/>
    <col min="12" max="13" style="12053" width="10.00390625" customWidth="1"/>
    <col min="14" max="15" style="12053" width="3.00390625" customWidth="1"/>
    <col min="16" max="16" style="12053" width="19.00390625" customWidth="1"/>
    <col min="17" max="17" style="12053" width="0.28125" customWidth="1"/>
    <col min="18" max="19" style="12053" width="10.00390625" customWidth="1"/>
    <col min="20" max="21" style="12053" width="3.00390625" customWidth="1"/>
    <col min="22" max="22" style="12053" width="25.00390625" customWidth="1"/>
    <col min="23" max="23" style="12053" width="0.28125" customWidth="1"/>
    <col min="24" max="25" style="12053" width="10.00390625" customWidth="1"/>
    <col min="26" max="27" style="12053" width="3.00390625" customWidth="1"/>
    <col min="28" max="28" style="12053" width="16.00390625" customWidth="1"/>
    <col min="29" max="29" style="12053" width="0.28125" customWidth="1"/>
    <col min="30" max="31" style="12053" width="10.00390625" customWidth="1"/>
    <col min="32" max="33" style="12053" width="3.00390625" customWidth="1"/>
    <col min="34" max="34" style="12053" width="8.00390625" customWidth="1"/>
    <col min="35" max="35" style="12053" width="21.00390625" customWidth="1"/>
    <col min="36" max="36" style="12053" width="8.00390625" customWidth="1"/>
    <col min="37" max="37" style="12534" width="8.00390625" customWidth="1"/>
    <col min="38" max="64" style="12053" width="8.00390625" customWidth="1"/>
    <col min="65" max="65" style="12053" width="9.140625" hidden="1"/>
  </cols>
  <sheetData>
    <row s="12458" customFormat="1" customHeight="1" ht="11.25" hidden="1">
      <c r="AJ1" s="592"/>
      <c r="AK1" s="592"/>
      <c r="AL1" s="592"/>
      <c r="AM1" s="592"/>
      <c r="AN1" s="592"/>
      <c r="AO1" s="592"/>
      <c r="AP1" s="592"/>
      <c r="AQ1" s="592"/>
      <c r="AR1" s="592"/>
      <c r="AS1" s="592"/>
      <c r="AT1" s="592"/>
      <c r="AU1" s="592"/>
      <c r="AV1" s="592"/>
      <c r="AW1" s="592"/>
      <c r="AX1" s="592"/>
      <c r="AY1" s="592"/>
      <c r="AZ1" s="592"/>
      <c r="BA1" s="592"/>
      <c r="BB1" s="592"/>
      <c r="BC1" s="592"/>
      <c r="BD1" s="592"/>
      <c r="BE1" s="592"/>
      <c r="BF1" s="592"/>
      <c r="BG1" s="592"/>
      <c r="BH1" s="592"/>
      <c r="BI1" s="592"/>
      <c r="BJ1" s="592"/>
      <c r="BK1" s="592"/>
      <c r="BL1" s="592"/>
      <c r="BM1" s="589" t="s">
        <v>14</v>
      </c>
    </row>
    <row s="12459" customFormat="1" customHeight="1" ht="11.25" hidden="1">
      <c r="L2" s="1723" t="s">
        <v>291</v>
      </c>
      <c r="M2" s="1723" t="s">
        <v>292</v>
      </c>
      <c r="R2" s="1723" t="s">
        <v>293</v>
      </c>
      <c r="S2" s="1723" t="s">
        <v>292</v>
      </c>
      <c r="X2" s="1723" t="s">
        <v>291</v>
      </c>
      <c r="Y2" s="1723" t="s">
        <v>292</v>
      </c>
      <c r="AD2" s="1723" t="s">
        <v>291</v>
      </c>
      <c r="AE2" s="1723" t="s">
        <v>292</v>
      </c>
      <c r="AJ2" s="1745"/>
      <c r="AK2" s="1745"/>
      <c r="AL2" s="1745"/>
      <c r="AM2" s="1745"/>
      <c r="AN2" s="1745"/>
      <c r="AO2" s="1745"/>
      <c r="AP2" s="1745"/>
      <c r="AQ2" s="1745"/>
      <c r="AR2" s="1745"/>
      <c r="AS2" s="1745"/>
      <c r="AT2" s="1745"/>
      <c r="AU2" s="1745"/>
      <c r="AV2" s="1745"/>
      <c r="AW2" s="1745"/>
      <c r="AX2" s="1745"/>
      <c r="AY2" s="1745"/>
      <c r="AZ2" s="1745"/>
      <c r="BA2" s="1745"/>
      <c r="BB2" s="1745"/>
      <c r="BC2" s="1745"/>
      <c r="BD2" s="1745"/>
      <c r="BE2" s="1745"/>
      <c r="BF2" s="1745"/>
      <c r="BG2" s="1745"/>
      <c r="BH2" s="1745"/>
      <c r="BI2" s="1745"/>
      <c r="BJ2" s="1745"/>
      <c r="BK2" s="1745"/>
      <c r="BL2" s="1745"/>
      <c r="BM2" s="1723">
        <v>0</v>
      </c>
    </row>
    <row s="12462" customFormat="1" customHeight="1" ht="11.549999999999999">
      <c r="AJ3" s="1744"/>
      <c r="AK3" s="476"/>
      <c r="AL3" s="1744"/>
      <c r="AM3" s="1744"/>
      <c r="AN3" s="1744"/>
      <c r="AO3" s="1744"/>
      <c r="AP3" s="1744"/>
      <c r="AQ3" s="1744"/>
      <c r="AR3" s="1744"/>
      <c r="AS3" s="1744"/>
      <c r="AT3" s="1744"/>
      <c r="AU3" s="1744"/>
      <c r="AV3" s="1744"/>
      <c r="AW3" s="1744"/>
      <c r="AX3" s="1744"/>
      <c r="AY3" s="1744"/>
      <c r="AZ3" s="1744"/>
      <c r="BA3" s="1744"/>
      <c r="BB3" s="1744"/>
      <c r="BC3" s="1744"/>
      <c r="BD3" s="1744"/>
      <c r="BE3" s="1744"/>
      <c r="BF3" s="1744"/>
      <c r="BG3" s="1744"/>
      <c r="BH3" s="1744"/>
      <c r="BI3" s="1744"/>
      <c r="BJ3" s="1744"/>
      <c r="BK3" s="1744"/>
      <c r="BL3" s="1744"/>
      <c r="BM3" s="1724">
        <v>11</v>
      </c>
    </row>
    <row s="12008" customFormat="1" customHeight="1" ht="34.5">
      <c r="A4" s="1326"/>
      <c r="B4" s="1325"/>
      <c r="C4" s="1685"/>
      <c r="D4" s="2361" t="s">
        <v>294</v>
      </c>
      <c r="E4" s="2361"/>
      <c r="F4" s="2361"/>
      <c r="G4" s="2361"/>
      <c r="H4" s="2361"/>
      <c r="I4" s="2361"/>
      <c r="J4" s="2361"/>
      <c r="K4" s="869"/>
      <c r="T4" s="1725"/>
      <c r="AJ4" s="1746"/>
      <c r="AK4" s="1747"/>
      <c r="AL4" s="1746"/>
      <c r="AM4" s="1746"/>
      <c r="AN4" s="1746"/>
      <c r="AO4" s="1746"/>
      <c r="AP4" s="1746"/>
      <c r="AQ4" s="1746"/>
      <c r="AR4" s="1746"/>
      <c r="AS4" s="1746"/>
      <c r="AT4" s="1746"/>
      <c r="AU4" s="1746"/>
      <c r="AV4" s="1746"/>
      <c r="AW4" s="1746"/>
      <c r="AX4" s="1746"/>
      <c r="AY4" s="1746"/>
      <c r="AZ4" s="1746"/>
      <c r="BA4" s="1746"/>
      <c r="BB4" s="1746"/>
      <c r="BC4" s="1746"/>
      <c r="BD4" s="1746"/>
      <c r="BE4" s="1746"/>
      <c r="BF4" s="1746"/>
      <c r="BG4" s="1746"/>
      <c r="BH4" s="1746"/>
      <c r="BI4" s="1746"/>
      <c r="BJ4" s="1746"/>
      <c r="BK4" s="1746"/>
      <c r="BL4" s="1746"/>
      <c r="BM4" s="677">
        <v>33</v>
      </c>
    </row>
    <row s="12008" customFormat="1" customHeight="1" ht="14.699999999999998">
      <c r="A5" s="1802"/>
      <c r="B5" s="1801"/>
      <c r="C5" s="1685"/>
      <c r="D5" s="2346" t="str">
        <f>IF(org=0,"Не определено",org)</f>
        <v>Филиал "Шатурская ГРЭС" ПАО "Юнипро"</v>
      </c>
      <c r="E5" s="2346"/>
      <c r="F5" s="2346"/>
      <c r="G5" s="2346"/>
      <c r="H5" s="2346"/>
      <c r="I5" s="2346"/>
      <c r="J5" s="2346"/>
      <c r="K5" s="869"/>
      <c r="T5" s="1725"/>
      <c r="AJ5" s="1746"/>
      <c r="AK5" s="1747"/>
      <c r="AL5" s="1746"/>
      <c r="AM5" s="1746"/>
      <c r="AN5" s="1746"/>
      <c r="AO5" s="1746"/>
      <c r="AP5" s="1746"/>
      <c r="AQ5" s="1746"/>
      <c r="AR5" s="1746"/>
      <c r="AS5" s="1746"/>
      <c r="AT5" s="1746"/>
      <c r="AU5" s="1746"/>
      <c r="AV5" s="1746"/>
      <c r="AW5" s="1746"/>
      <c r="AX5" s="1746"/>
      <c r="AY5" s="1746"/>
      <c r="AZ5" s="1746"/>
      <c r="BA5" s="1746"/>
      <c r="BB5" s="1746"/>
      <c r="BC5" s="1746"/>
      <c r="BD5" s="1746"/>
      <c r="BE5" s="1746"/>
      <c r="BF5" s="1746"/>
      <c r="BG5" s="1746"/>
      <c r="BH5" s="1746"/>
      <c r="BI5" s="1746"/>
      <c r="BJ5" s="1746"/>
      <c r="BK5" s="1746"/>
      <c r="BL5" s="1746"/>
      <c r="BM5" s="1779">
        <v>14</v>
      </c>
    </row>
    <row s="12008" customFormat="1" customHeight="1" ht="14.699999999999998">
      <c r="A6" s="1326"/>
      <c r="B6" s="1325"/>
      <c r="C6" s="1685"/>
      <c r="D6" s="869"/>
      <c r="E6" s="869"/>
      <c r="F6" s="869"/>
      <c r="G6" s="869"/>
      <c r="H6" s="869"/>
      <c r="I6" s="869"/>
      <c r="J6" s="869"/>
      <c r="K6" s="869"/>
      <c r="T6" s="1725"/>
      <c r="AJ6" s="1746"/>
      <c r="AK6" s="1747"/>
      <c r="AL6" s="1746"/>
      <c r="AM6" s="1746"/>
      <c r="AN6" s="1746"/>
      <c r="AO6" s="1746"/>
      <c r="AP6" s="1746"/>
      <c r="AQ6" s="1746"/>
      <c r="AR6" s="1746"/>
      <c r="AS6" s="1746"/>
      <c r="AT6" s="1746"/>
      <c r="AU6" s="1746"/>
      <c r="AV6" s="1746"/>
      <c r="AW6" s="1746"/>
      <c r="AX6" s="1746"/>
      <c r="AY6" s="1746"/>
      <c r="AZ6" s="1746"/>
      <c r="BA6" s="1746"/>
      <c r="BB6" s="1746"/>
      <c r="BC6" s="1746"/>
      <c r="BD6" s="1746"/>
      <c r="BE6" s="1746"/>
      <c r="BF6" s="1746"/>
      <c r="BG6" s="1746"/>
      <c r="BH6" s="1746"/>
      <c r="BI6" s="1746"/>
      <c r="BJ6" s="1746"/>
      <c r="BK6" s="1746"/>
      <c r="BL6" s="1746"/>
      <c r="BM6" s="677">
        <v>14</v>
      </c>
    </row>
    <row s="12458" customFormat="1" customHeight="1" ht="1.05">
      <c r="AJ7" s="592"/>
      <c r="AK7" s="592"/>
      <c r="AL7" s="592"/>
      <c r="AM7" s="592"/>
      <c r="AN7" s="592"/>
      <c r="AO7" s="592"/>
      <c r="AP7" s="592"/>
      <c r="AQ7" s="592"/>
      <c r="AR7" s="592"/>
      <c r="AS7" s="592"/>
      <c r="AT7" s="592"/>
      <c r="AU7" s="592"/>
      <c r="AV7" s="592"/>
      <c r="AW7" s="592"/>
      <c r="AX7" s="592"/>
      <c r="AY7" s="592"/>
      <c r="AZ7" s="592"/>
      <c r="BA7" s="592"/>
      <c r="BB7" s="592"/>
      <c r="BC7" s="592"/>
      <c r="BD7" s="592"/>
      <c r="BE7" s="592"/>
      <c r="BF7" s="592"/>
      <c r="BG7" s="592"/>
      <c r="BH7" s="592"/>
      <c r="BI7" s="592"/>
      <c r="BJ7" s="592"/>
      <c r="BK7" s="592"/>
      <c r="BL7" s="592"/>
      <c r="BM7" s="589">
        <v>1</v>
      </c>
    </row>
    <row customHeight="1" ht="33.75">
      <c r="D8" s="2297" t="s">
        <v>91</v>
      </c>
      <c r="E8" s="2297" t="s">
        <v>108</v>
      </c>
      <c r="F8" s="2362" t="s">
        <v>125</v>
      </c>
      <c r="G8" s="2363"/>
      <c r="H8" s="2362" t="s">
        <v>91</v>
      </c>
      <c r="I8" s="2363"/>
      <c r="J8" s="2297" t="s">
        <v>126</v>
      </c>
      <c r="K8" s="1726"/>
      <c r="L8" s="2366" t="s">
        <v>295</v>
      </c>
      <c r="M8" s="2366"/>
      <c r="N8" s="2366"/>
      <c r="O8" s="2366"/>
      <c r="P8" s="2366"/>
      <c r="Q8" s="1727"/>
      <c r="R8" s="2266" t="s">
        <v>296</v>
      </c>
      <c r="S8" s="2367"/>
      <c r="T8" s="2367"/>
      <c r="U8" s="2367"/>
      <c r="V8" s="2367"/>
      <c r="W8" s="1727"/>
      <c r="X8" s="2368" t="s">
        <v>297</v>
      </c>
      <c r="Y8" s="2368"/>
      <c r="Z8" s="2368"/>
      <c r="AA8" s="2368"/>
      <c r="AB8" s="2368"/>
      <c r="AC8" s="1728"/>
      <c r="AD8" s="2297" t="s">
        <v>298</v>
      </c>
      <c r="AE8" s="2297"/>
      <c r="AF8" s="2297"/>
      <c r="AG8" s="2297"/>
      <c r="AH8" s="2271"/>
      <c r="AI8" s="2297" t="s">
        <v>299</v>
      </c>
      <c r="AJ8" s="1744"/>
      <c r="BM8" s="463">
        <v>32</v>
      </c>
    </row>
    <row customHeight="1" ht="23.25">
      <c r="D9" s="2297"/>
      <c r="E9" s="2297"/>
      <c r="F9" s="2345" t="s">
        <v>92</v>
      </c>
      <c r="G9" s="2345" t="s">
        <v>131</v>
      </c>
      <c r="H9" s="2364"/>
      <c r="I9" s="2365"/>
      <c r="J9" s="2271"/>
      <c r="K9" s="1729"/>
      <c r="L9" s="2297" t="s">
        <v>300</v>
      </c>
      <c r="M9" s="2271"/>
      <c r="N9" s="2362" t="s">
        <v>91</v>
      </c>
      <c r="O9" s="2363"/>
      <c r="P9" s="2297" t="s">
        <v>132</v>
      </c>
      <c r="Q9" s="1726"/>
      <c r="R9" s="2297" t="s">
        <v>300</v>
      </c>
      <c r="S9" s="2271"/>
      <c r="T9" s="2362" t="s">
        <v>91</v>
      </c>
      <c r="U9" s="2363"/>
      <c r="V9" s="2297" t="s">
        <v>132</v>
      </c>
      <c r="W9" s="1726"/>
      <c r="X9" s="2297" t="s">
        <v>300</v>
      </c>
      <c r="Y9" s="2271"/>
      <c r="Z9" s="2362" t="s">
        <v>91</v>
      </c>
      <c r="AA9" s="2363"/>
      <c r="AB9" s="2297" t="s">
        <v>301</v>
      </c>
      <c r="AC9" s="1726"/>
      <c r="AD9" s="2297" t="s">
        <v>300</v>
      </c>
      <c r="AE9" s="2271"/>
      <c r="AF9" s="2362" t="s">
        <v>91</v>
      </c>
      <c r="AG9" s="2363"/>
      <c r="AH9" s="2271" t="s">
        <v>301</v>
      </c>
      <c r="AI9" s="2297"/>
      <c r="AJ9" s="1744"/>
      <c r="BM9" s="463">
        <v>22</v>
      </c>
    </row>
    <row customHeight="1" ht="24">
      <c r="D10" s="2345"/>
      <c r="E10" s="2345"/>
      <c r="F10" s="2369"/>
      <c r="G10" s="2369"/>
      <c r="H10" s="2370"/>
      <c r="I10" s="2371"/>
      <c r="J10" s="2362"/>
      <c r="K10" s="1729"/>
      <c r="L10" s="1748" t="s">
        <v>302</v>
      </c>
      <c r="M10" s="1743" t="s">
        <v>303</v>
      </c>
      <c r="N10" s="2364"/>
      <c r="O10" s="2365"/>
      <c r="P10" s="2345"/>
      <c r="Q10" s="1726"/>
      <c r="R10" s="1748" t="s">
        <v>302</v>
      </c>
      <c r="S10" s="1743" t="s">
        <v>303</v>
      </c>
      <c r="T10" s="2364"/>
      <c r="U10" s="2365"/>
      <c r="V10" s="2345"/>
      <c r="W10" s="1726"/>
      <c r="X10" s="1748" t="s">
        <v>302</v>
      </c>
      <c r="Y10" s="1743" t="s">
        <v>303</v>
      </c>
      <c r="Z10" s="2364"/>
      <c r="AA10" s="2365"/>
      <c r="AB10" s="2345"/>
      <c r="AC10" s="1726"/>
      <c r="AD10" s="1748" t="s">
        <v>302</v>
      </c>
      <c r="AE10" s="1743" t="s">
        <v>303</v>
      </c>
      <c r="AF10" s="2364"/>
      <c r="AG10" s="2365"/>
      <c r="AH10" s="2362"/>
      <c r="AI10" s="2345"/>
      <c r="AJ10" s="1744"/>
      <c r="AK10" s="424" t="s">
        <v>304</v>
      </c>
      <c r="AL10" s="424" t="s">
        <v>133</v>
      </c>
      <c r="BM10" s="463">
        <v>23</v>
      </c>
    </row>
    <row customHeight="1" ht="15">
      <c r="D11" s="2353" t="s">
        <v>112</v>
      </c>
      <c r="E11" s="2349" t="s">
        <v>305</v>
      </c>
      <c r="F11" s="2349" t="s">
        <v>306</v>
      </c>
      <c r="G11" s="2355" t="s">
        <v>19</v>
      </c>
      <c r="H11" s="1769"/>
      <c r="I11" s="2351"/>
      <c r="J11" s="2322"/>
      <c r="K11" s="1684"/>
      <c r="L11" s="2307"/>
      <c r="M11" s="2307"/>
      <c r="N11" s="1754"/>
      <c r="O11" s="2307"/>
      <c r="P11" s="2322"/>
      <c r="Q11" s="1755"/>
      <c r="R11" s="2307"/>
      <c r="S11" s="2307"/>
      <c r="T11" s="1756"/>
      <c r="U11" s="2307"/>
      <c r="V11" s="2322"/>
      <c r="W11" s="1757"/>
      <c r="X11" s="2307"/>
      <c r="Y11" s="2307"/>
      <c r="Z11" s="1754"/>
      <c r="AA11" s="2307"/>
      <c r="AB11" s="2322"/>
      <c r="AC11" s="1758"/>
      <c r="AD11" s="2307"/>
      <c r="AE11" s="2307"/>
      <c r="AF11" s="1683"/>
      <c r="AG11" s="1683"/>
      <c r="AH11" s="1759"/>
      <c r="AI11" s="1466"/>
      <c r="AJ11" s="1744"/>
      <c r="BM11" s="463">
        <v>14</v>
      </c>
    </row>
    <row customHeight="1" ht="14.699999999999998">
      <c r="D12" s="2353"/>
      <c r="E12" s="2349"/>
      <c r="F12" s="2349"/>
      <c r="G12" s="2356"/>
      <c r="H12" s="1770"/>
      <c r="I12" s="2352"/>
      <c r="J12" s="2323"/>
      <c r="K12" s="1780"/>
      <c r="L12" s="2308"/>
      <c r="M12" s="2308"/>
      <c r="N12" s="1760"/>
      <c r="O12" s="2308"/>
      <c r="P12" s="2323"/>
      <c r="Q12" s="1761"/>
      <c r="R12" s="2308"/>
      <c r="S12" s="2308"/>
      <c r="T12" s="1762"/>
      <c r="U12" s="2308"/>
      <c r="V12" s="2323"/>
      <c r="W12" s="1763"/>
      <c r="X12" s="2308"/>
      <c r="Y12" s="2308"/>
      <c r="Z12" s="1760"/>
      <c r="AA12" s="2308"/>
      <c r="AB12" s="2323"/>
      <c r="AC12" s="1764"/>
      <c r="AD12" s="2308"/>
      <c r="AE12" s="2308"/>
      <c r="AF12" s="1765"/>
      <c r="AG12" s="1765"/>
      <c r="AH12" s="2347"/>
      <c r="AI12" s="2348"/>
      <c r="AJ12" s="1744"/>
      <c r="BM12" s="463">
        <v>14</v>
      </c>
    </row>
    <row customHeight="1" ht="14.699999999999998">
      <c r="D13" s="2353"/>
      <c r="E13" s="2349"/>
      <c r="F13" s="2349"/>
      <c r="G13" s="2356"/>
      <c r="H13" s="1770"/>
      <c r="I13" s="2352"/>
      <c r="J13" s="2323"/>
      <c r="K13" s="1780"/>
      <c r="L13" s="2308"/>
      <c r="M13" s="2308"/>
      <c r="N13" s="1760"/>
      <c r="O13" s="2308"/>
      <c r="P13" s="2323"/>
      <c r="Q13" s="1761"/>
      <c r="R13" s="2308"/>
      <c r="S13" s="2308"/>
      <c r="T13" s="1762"/>
      <c r="U13" s="2308"/>
      <c r="V13" s="2323"/>
      <c r="W13" s="1763"/>
      <c r="X13" s="2308"/>
      <c r="Y13" s="2308"/>
      <c r="Z13" s="1682"/>
      <c r="AA13" s="1765"/>
      <c r="AB13" s="2347"/>
      <c r="AC13" s="2347"/>
      <c r="AD13" s="2347"/>
      <c r="AE13" s="2347"/>
      <c r="AF13" s="2347"/>
      <c r="AG13" s="2347"/>
      <c r="AH13" s="2347"/>
      <c r="AI13" s="2348"/>
      <c r="AJ13" s="1744"/>
      <c r="BM13" s="463">
        <v>14</v>
      </c>
    </row>
    <row customHeight="1" ht="14.699999999999998">
      <c r="D14" s="2353"/>
      <c r="E14" s="2349"/>
      <c r="F14" s="2349"/>
      <c r="G14" s="2356"/>
      <c r="H14" s="1770"/>
      <c r="I14" s="2352"/>
      <c r="J14" s="2323"/>
      <c r="K14" s="1780"/>
      <c r="L14" s="2308"/>
      <c r="M14" s="2308"/>
      <c r="N14" s="1760"/>
      <c r="O14" s="2308"/>
      <c r="P14" s="2323"/>
      <c r="Q14" s="1761"/>
      <c r="R14" s="2308"/>
      <c r="S14" s="2308"/>
      <c r="T14" s="1766"/>
      <c r="U14" s="1767"/>
      <c r="V14" s="2347"/>
      <c r="W14" s="2347"/>
      <c r="X14" s="2347"/>
      <c r="Y14" s="2347"/>
      <c r="Z14" s="2347"/>
      <c r="AA14" s="2347"/>
      <c r="AB14" s="2347"/>
      <c r="AC14" s="2347"/>
      <c r="AD14" s="2347"/>
      <c r="AE14" s="2347"/>
      <c r="AF14" s="2347"/>
      <c r="AG14" s="2347"/>
      <c r="AH14" s="2347"/>
      <c r="AI14" s="2348"/>
      <c r="AJ14" s="1744"/>
      <c r="BM14" s="463">
        <v>14</v>
      </c>
    </row>
    <row customHeight="1" ht="11.549999999999999">
      <c r="D15" s="2353"/>
      <c r="E15" s="2349"/>
      <c r="F15" s="2349"/>
      <c r="G15" s="2356"/>
      <c r="H15" s="1771"/>
      <c r="I15" s="2352"/>
      <c r="J15" s="2323"/>
      <c r="K15" s="1780"/>
      <c r="L15" s="2308"/>
      <c r="M15" s="2308"/>
      <c r="N15" s="1765"/>
      <c r="O15" s="1765"/>
      <c r="P15" s="2347"/>
      <c r="Q15" s="2347"/>
      <c r="R15" s="2347"/>
      <c r="S15" s="2347"/>
      <c r="T15" s="2347"/>
      <c r="U15" s="2347"/>
      <c r="V15" s="2347"/>
      <c r="W15" s="2347"/>
      <c r="X15" s="2347"/>
      <c r="Y15" s="2347"/>
      <c r="Z15" s="2347"/>
      <c r="AA15" s="2347"/>
      <c r="AB15" s="2347"/>
      <c r="AC15" s="2347"/>
      <c r="AD15" s="2347"/>
      <c r="AE15" s="2347"/>
      <c r="AF15" s="2347"/>
      <c r="AG15" s="2347"/>
      <c r="AH15" s="2347"/>
      <c r="AI15" s="2348"/>
      <c r="AJ15" s="1744"/>
      <c r="BM15" s="463">
        <v>11</v>
      </c>
    </row>
    <row s="12462" customFormat="1" customHeight="1" ht="11.549999999999999">
      <c r="D16" s="2359"/>
      <c r="E16" s="2360"/>
      <c r="F16" s="2350"/>
      <c r="G16" s="2282"/>
      <c r="H16" s="1768"/>
      <c r="I16" s="1772"/>
      <c r="J16" s="2357"/>
      <c r="K16" s="2357"/>
      <c r="L16" s="2357"/>
      <c r="M16" s="2357"/>
      <c r="N16" s="2357"/>
      <c r="O16" s="2357"/>
      <c r="P16" s="2357"/>
      <c r="Q16" s="2357"/>
      <c r="R16" s="2357"/>
      <c r="S16" s="2357"/>
      <c r="T16" s="2357"/>
      <c r="U16" s="2357"/>
      <c r="V16" s="2357"/>
      <c r="W16" s="2357"/>
      <c r="X16" s="2357"/>
      <c r="Y16" s="2357"/>
      <c r="Z16" s="2357"/>
      <c r="AA16" s="2357"/>
      <c r="AB16" s="2357"/>
      <c r="AC16" s="2357"/>
      <c r="AD16" s="2357"/>
      <c r="AE16" s="2357"/>
      <c r="AF16" s="2357"/>
      <c r="AG16" s="2357"/>
      <c r="AH16" s="2357"/>
      <c r="AI16" s="2358"/>
      <c r="AJ16" s="1744"/>
      <c r="AK16" s="476"/>
      <c r="AL16" s="1744"/>
      <c r="AM16" s="1744"/>
      <c r="AN16" s="1744"/>
      <c r="AO16" s="1744"/>
      <c r="AP16" s="1744"/>
      <c r="AQ16" s="1744"/>
      <c r="AR16" s="1744"/>
      <c r="AS16" s="1744"/>
      <c r="AT16" s="1744"/>
      <c r="AU16" s="1744"/>
      <c r="AV16" s="1744"/>
      <c r="AW16" s="1744"/>
      <c r="AX16" s="1744"/>
      <c r="AY16" s="1744"/>
      <c r="AZ16" s="1744"/>
      <c r="BA16" s="1744"/>
      <c r="BB16" s="1744"/>
      <c r="BC16" s="1744"/>
      <c r="BD16" s="1744"/>
      <c r="BE16" s="1744"/>
      <c r="BF16" s="1744"/>
      <c r="BG16" s="1744"/>
      <c r="BH16" s="1744"/>
      <c r="BI16" s="1744"/>
      <c r="BJ16" s="1744"/>
      <c r="BK16" s="1744"/>
      <c r="BL16" s="1744"/>
      <c r="BM16" s="1724">
        <v>11</v>
      </c>
    </row>
    <row customHeight="1" ht="15">
      <c r="D17" s="2353" t="s">
        <v>113</v>
      </c>
      <c r="E17" s="2349" t="s">
        <v>305</v>
      </c>
      <c r="F17" s="2349" t="s">
        <v>307</v>
      </c>
      <c r="G17" s="2355" t="s">
        <v>19</v>
      </c>
      <c r="H17" s="1769"/>
      <c r="I17" s="2351"/>
      <c r="J17" s="2322"/>
      <c r="K17" s="1684"/>
      <c r="L17" s="2307"/>
      <c r="M17" s="2307"/>
      <c r="N17" s="1754"/>
      <c r="O17" s="2307"/>
      <c r="P17" s="2322"/>
      <c r="Q17" s="1755"/>
      <c r="R17" s="2307"/>
      <c r="S17" s="2307"/>
      <c r="T17" s="1756"/>
      <c r="U17" s="2307"/>
      <c r="V17" s="2322"/>
      <c r="W17" s="1757"/>
      <c r="X17" s="2307"/>
      <c r="Y17" s="2307"/>
      <c r="Z17" s="1754"/>
      <c r="AA17" s="2307"/>
      <c r="AB17" s="2322"/>
      <c r="AC17" s="1758"/>
      <c r="AD17" s="2307"/>
      <c r="AE17" s="2307"/>
      <c r="AF17" s="1683"/>
      <c r="AG17" s="1683"/>
      <c r="AH17" s="1759"/>
      <c r="AI17" s="1466"/>
      <c r="AJ17" s="1744"/>
      <c r="BM17" s="463">
        <v>14</v>
      </c>
    </row>
    <row customHeight="1" ht="14.699999999999998">
      <c r="D18" s="2353"/>
      <c r="E18" s="2349"/>
      <c r="F18" s="2349"/>
      <c r="G18" s="2356"/>
      <c r="H18" s="1770"/>
      <c r="I18" s="2352"/>
      <c r="J18" s="2323"/>
      <c r="K18" s="1753"/>
      <c r="L18" s="2308"/>
      <c r="M18" s="2308"/>
      <c r="N18" s="1760"/>
      <c r="O18" s="2308"/>
      <c r="P18" s="2323"/>
      <c r="Q18" s="1761"/>
      <c r="R18" s="2308"/>
      <c r="S18" s="2308"/>
      <c r="T18" s="1762"/>
      <c r="U18" s="2308"/>
      <c r="V18" s="2323"/>
      <c r="W18" s="1763"/>
      <c r="X18" s="2308"/>
      <c r="Y18" s="2308"/>
      <c r="Z18" s="1760"/>
      <c r="AA18" s="2308"/>
      <c r="AB18" s="2323"/>
      <c r="AC18" s="1764"/>
      <c r="AD18" s="2308"/>
      <c r="AE18" s="2308"/>
      <c r="AF18" s="1765"/>
      <c r="AG18" s="1765"/>
      <c r="AH18" s="2347"/>
      <c r="AI18" s="2348"/>
      <c r="AJ18" s="1744"/>
      <c r="BM18" s="463">
        <v>14</v>
      </c>
    </row>
    <row customHeight="1" ht="14.699999999999998">
      <c r="D19" s="2353"/>
      <c r="E19" s="2349"/>
      <c r="F19" s="2349"/>
      <c r="G19" s="2356"/>
      <c r="H19" s="1770"/>
      <c r="I19" s="2352"/>
      <c r="J19" s="2323"/>
      <c r="K19" s="1753"/>
      <c r="L19" s="2308"/>
      <c r="M19" s="2308"/>
      <c r="N19" s="1760"/>
      <c r="O19" s="2308"/>
      <c r="P19" s="2323"/>
      <c r="Q19" s="1761"/>
      <c r="R19" s="2308"/>
      <c r="S19" s="2308"/>
      <c r="T19" s="1762"/>
      <c r="U19" s="2308"/>
      <c r="V19" s="2323"/>
      <c r="W19" s="1763"/>
      <c r="X19" s="2308"/>
      <c r="Y19" s="2308"/>
      <c r="Z19" s="1682"/>
      <c r="AA19" s="1765"/>
      <c r="AB19" s="2347"/>
      <c r="AC19" s="2347"/>
      <c r="AD19" s="2347"/>
      <c r="AE19" s="2347"/>
      <c r="AF19" s="2347"/>
      <c r="AG19" s="2347"/>
      <c r="AH19" s="2347"/>
      <c r="AI19" s="2348"/>
      <c r="AJ19" s="1744"/>
      <c r="BM19" s="463">
        <v>14</v>
      </c>
    </row>
    <row customHeight="1" ht="14.699999999999998">
      <c r="D20" s="2353"/>
      <c r="E20" s="2349"/>
      <c r="F20" s="2349"/>
      <c r="G20" s="2356"/>
      <c r="H20" s="1770"/>
      <c r="I20" s="2352"/>
      <c r="J20" s="2323"/>
      <c r="K20" s="1753"/>
      <c r="L20" s="2308"/>
      <c r="M20" s="2308"/>
      <c r="N20" s="1760"/>
      <c r="O20" s="2308"/>
      <c r="P20" s="2323"/>
      <c r="Q20" s="1761"/>
      <c r="R20" s="2308"/>
      <c r="S20" s="2308"/>
      <c r="T20" s="1766"/>
      <c r="U20" s="1767"/>
      <c r="V20" s="2347"/>
      <c r="W20" s="2347"/>
      <c r="X20" s="2347"/>
      <c r="Y20" s="2347"/>
      <c r="Z20" s="2347"/>
      <c r="AA20" s="2347"/>
      <c r="AB20" s="2347"/>
      <c r="AC20" s="2347"/>
      <c r="AD20" s="2347"/>
      <c r="AE20" s="2347"/>
      <c r="AF20" s="2347"/>
      <c r="AG20" s="2347"/>
      <c r="AH20" s="2347"/>
      <c r="AI20" s="2348"/>
      <c r="AJ20" s="1744"/>
      <c r="BM20" s="463">
        <v>14</v>
      </c>
    </row>
    <row customHeight="1" ht="11.549999999999999">
      <c r="D21" s="2353"/>
      <c r="E21" s="2349"/>
      <c r="F21" s="2349"/>
      <c r="G21" s="2356"/>
      <c r="H21" s="1771"/>
      <c r="I21" s="2352"/>
      <c r="J21" s="2323"/>
      <c r="K21" s="1753"/>
      <c r="L21" s="2308"/>
      <c r="M21" s="2308"/>
      <c r="N21" s="1765"/>
      <c r="O21" s="1765"/>
      <c r="P21" s="2347"/>
      <c r="Q21" s="2347"/>
      <c r="R21" s="2347"/>
      <c r="S21" s="2347"/>
      <c r="T21" s="2347"/>
      <c r="U21" s="2347"/>
      <c r="V21" s="2347"/>
      <c r="W21" s="2347"/>
      <c r="X21" s="2347"/>
      <c r="Y21" s="2347"/>
      <c r="Z21" s="2347"/>
      <c r="AA21" s="2347"/>
      <c r="AB21" s="2347"/>
      <c r="AC21" s="2347"/>
      <c r="AD21" s="2347"/>
      <c r="AE21" s="2347"/>
      <c r="AF21" s="2347"/>
      <c r="AG21" s="2347"/>
      <c r="AH21" s="2347"/>
      <c r="AI21" s="2348"/>
      <c r="AJ21" s="1744"/>
      <c r="BM21" s="463">
        <v>11</v>
      </c>
    </row>
    <row s="12462" customFormat="1" customHeight="1" ht="11.549999999999999">
      <c r="D22" s="2359"/>
      <c r="E22" s="2360"/>
      <c r="F22" s="2350"/>
      <c r="G22" s="2282"/>
      <c r="H22" s="1768"/>
      <c r="I22" s="1772"/>
      <c r="J22" s="2357"/>
      <c r="K22" s="2357"/>
      <c r="L22" s="2357"/>
      <c r="M22" s="2357"/>
      <c r="N22" s="2357"/>
      <c r="O22" s="2357"/>
      <c r="P22" s="2357"/>
      <c r="Q22" s="2357"/>
      <c r="R22" s="2357"/>
      <c r="S22" s="2357"/>
      <c r="T22" s="2357"/>
      <c r="U22" s="2357"/>
      <c r="V22" s="2357"/>
      <c r="W22" s="2357"/>
      <c r="X22" s="2357"/>
      <c r="Y22" s="2357"/>
      <c r="Z22" s="2357"/>
      <c r="AA22" s="2357"/>
      <c r="AB22" s="2357"/>
      <c r="AC22" s="2357"/>
      <c r="AD22" s="2357"/>
      <c r="AE22" s="2357"/>
      <c r="AF22" s="2357"/>
      <c r="AG22" s="2357"/>
      <c r="AH22" s="2357"/>
      <c r="AI22" s="2358"/>
      <c r="AJ22" s="1744"/>
      <c r="AK22" s="476"/>
      <c r="AL22" s="1744"/>
      <c r="AM22" s="1744"/>
      <c r="AN22" s="1744"/>
      <c r="AO22" s="1744"/>
      <c r="AP22" s="1744"/>
      <c r="AQ22" s="1744"/>
      <c r="AR22" s="1744"/>
      <c r="AS22" s="1744"/>
      <c r="AT22" s="1744"/>
      <c r="AU22" s="1744"/>
      <c r="AV22" s="1744"/>
      <c r="AW22" s="1744"/>
      <c r="AX22" s="1744"/>
      <c r="AY22" s="1744"/>
      <c r="AZ22" s="1744"/>
      <c r="BA22" s="1744"/>
      <c r="BB22" s="1744"/>
      <c r="BC22" s="1744"/>
      <c r="BD22" s="1744"/>
      <c r="BE22" s="1744"/>
      <c r="BF22" s="1744"/>
      <c r="BG22" s="1744"/>
      <c r="BH22" s="1744"/>
      <c r="BI22" s="1744"/>
      <c r="BJ22" s="1744"/>
      <c r="BK22" s="1744"/>
      <c r="BL22" s="1744"/>
      <c r="BM22" s="1724">
        <v>11</v>
      </c>
    </row>
    <row customHeight="1" ht="15">
      <c r="D23" s="2353" t="s">
        <v>93</v>
      </c>
      <c r="E23" s="2349" t="s">
        <v>305</v>
      </c>
      <c r="F23" s="2349" t="s">
        <v>308</v>
      </c>
      <c r="G23" s="2355" t="s">
        <v>19</v>
      </c>
      <c r="H23" s="1769"/>
      <c r="I23" s="2351"/>
      <c r="J23" s="2322"/>
      <c r="K23" s="1684"/>
      <c r="L23" s="2307"/>
      <c r="M23" s="2307"/>
      <c r="N23" s="1754"/>
      <c r="O23" s="2307"/>
      <c r="P23" s="2322"/>
      <c r="Q23" s="1755"/>
      <c r="R23" s="2307"/>
      <c r="S23" s="2307"/>
      <c r="T23" s="1756"/>
      <c r="U23" s="2307"/>
      <c r="V23" s="2322"/>
      <c r="W23" s="1757"/>
      <c r="X23" s="2307"/>
      <c r="Y23" s="2307"/>
      <c r="Z23" s="1754"/>
      <c r="AA23" s="2307"/>
      <c r="AB23" s="2322"/>
      <c r="AC23" s="1758"/>
      <c r="AD23" s="2307"/>
      <c r="AE23" s="2307"/>
      <c r="AF23" s="1683"/>
      <c r="AG23" s="1683"/>
      <c r="AH23" s="1759"/>
      <c r="AI23" s="1466"/>
      <c r="AJ23" s="1744"/>
      <c r="AK23" s="476" t="s">
        <v>101</v>
      </c>
      <c r="BM23" s="463">
        <v>14</v>
      </c>
    </row>
    <row customHeight="1" ht="14.699999999999998">
      <c r="D24" s="2353"/>
      <c r="E24" s="2349"/>
      <c r="F24" s="2349"/>
      <c r="G24" s="2356"/>
      <c r="H24" s="1770"/>
      <c r="I24" s="2352"/>
      <c r="J24" s="2323"/>
      <c r="K24" s="1780"/>
      <c r="L24" s="2308"/>
      <c r="M24" s="2308"/>
      <c r="N24" s="1760"/>
      <c r="O24" s="2308"/>
      <c r="P24" s="2323"/>
      <c r="Q24" s="1761"/>
      <c r="R24" s="2308"/>
      <c r="S24" s="2308"/>
      <c r="T24" s="1762"/>
      <c r="U24" s="2308"/>
      <c r="V24" s="2323"/>
      <c r="W24" s="1763"/>
      <c r="X24" s="2308"/>
      <c r="Y24" s="2308"/>
      <c r="Z24" s="1760"/>
      <c r="AA24" s="2308"/>
      <c r="AB24" s="2323"/>
      <c r="AC24" s="1764"/>
      <c r="AD24" s="2308"/>
      <c r="AE24" s="2308"/>
      <c r="AF24" s="1765"/>
      <c r="AG24" s="1765"/>
      <c r="AH24" s="2347"/>
      <c r="AI24" s="2348"/>
      <c r="AJ24" s="1744"/>
      <c r="BM24" s="463">
        <v>14</v>
      </c>
    </row>
    <row customHeight="1" ht="14.699999999999998">
      <c r="D25" s="2353"/>
      <c r="E25" s="2349"/>
      <c r="F25" s="2349"/>
      <c r="G25" s="2356"/>
      <c r="H25" s="1770"/>
      <c r="I25" s="2352"/>
      <c r="J25" s="2323"/>
      <c r="K25" s="1780"/>
      <c r="L25" s="2308"/>
      <c r="M25" s="2308"/>
      <c r="N25" s="1760"/>
      <c r="O25" s="2308"/>
      <c r="P25" s="2323"/>
      <c r="Q25" s="1761"/>
      <c r="R25" s="2308"/>
      <c r="S25" s="2308"/>
      <c r="T25" s="1762"/>
      <c r="U25" s="2308"/>
      <c r="V25" s="2323"/>
      <c r="W25" s="1763"/>
      <c r="X25" s="2308"/>
      <c r="Y25" s="2308"/>
      <c r="Z25" s="1682"/>
      <c r="AA25" s="1765"/>
      <c r="AB25" s="2347"/>
      <c r="AC25" s="2347"/>
      <c r="AD25" s="2347"/>
      <c r="AE25" s="2347"/>
      <c r="AF25" s="2347"/>
      <c r="AG25" s="2347"/>
      <c r="AH25" s="2347"/>
      <c r="AI25" s="2348"/>
      <c r="AJ25" s="1744"/>
      <c r="BM25" s="463">
        <v>14</v>
      </c>
    </row>
    <row customHeight="1" ht="14.699999999999998">
      <c r="D26" s="2353"/>
      <c r="E26" s="2349"/>
      <c r="F26" s="2349"/>
      <c r="G26" s="2356"/>
      <c r="H26" s="1770"/>
      <c r="I26" s="2352"/>
      <c r="J26" s="2323"/>
      <c r="K26" s="1780"/>
      <c r="L26" s="2308"/>
      <c r="M26" s="2308"/>
      <c r="N26" s="1760"/>
      <c r="O26" s="2308"/>
      <c r="P26" s="2323"/>
      <c r="Q26" s="1761"/>
      <c r="R26" s="2308"/>
      <c r="S26" s="2308"/>
      <c r="T26" s="1766"/>
      <c r="U26" s="1767"/>
      <c r="V26" s="2347"/>
      <c r="W26" s="2347"/>
      <c r="X26" s="2347"/>
      <c r="Y26" s="2347"/>
      <c r="Z26" s="2347"/>
      <c r="AA26" s="2347"/>
      <c r="AB26" s="2347"/>
      <c r="AC26" s="2347"/>
      <c r="AD26" s="2347"/>
      <c r="AE26" s="2347"/>
      <c r="AF26" s="2347"/>
      <c r="AG26" s="2347"/>
      <c r="AH26" s="2347"/>
      <c r="AI26" s="2348"/>
      <c r="AJ26" s="1744"/>
      <c r="BM26" s="463">
        <v>14</v>
      </c>
    </row>
    <row customHeight="1" ht="11.549999999999999">
      <c r="D27" s="2353"/>
      <c r="E27" s="2349"/>
      <c r="F27" s="2349"/>
      <c r="G27" s="2356"/>
      <c r="H27" s="1771"/>
      <c r="I27" s="2352"/>
      <c r="J27" s="2323"/>
      <c r="K27" s="1780"/>
      <c r="L27" s="2308"/>
      <c r="M27" s="2308"/>
      <c r="N27" s="1765"/>
      <c r="O27" s="1765"/>
      <c r="P27" s="2347"/>
      <c r="Q27" s="2347"/>
      <c r="R27" s="2347"/>
      <c r="S27" s="2347"/>
      <c r="T27" s="2347"/>
      <c r="U27" s="2347"/>
      <c r="V27" s="2347"/>
      <c r="W27" s="2347"/>
      <c r="X27" s="2347"/>
      <c r="Y27" s="2347"/>
      <c r="Z27" s="2347"/>
      <c r="AA27" s="2347"/>
      <c r="AB27" s="2347"/>
      <c r="AC27" s="2347"/>
      <c r="AD27" s="2347"/>
      <c r="AE27" s="2347"/>
      <c r="AF27" s="2347"/>
      <c r="AG27" s="2347"/>
      <c r="AH27" s="2347"/>
      <c r="AI27" s="2348"/>
      <c r="AJ27" s="1744"/>
      <c r="BM27" s="463">
        <v>11</v>
      </c>
    </row>
    <row s="12462" customFormat="1" customHeight="1" ht="11.549999999999999">
      <c r="D28" s="2359"/>
      <c r="E28" s="2360"/>
      <c r="F28" s="2350"/>
      <c r="G28" s="2282"/>
      <c r="H28" s="1768"/>
      <c r="I28" s="1772"/>
      <c r="J28" s="2357"/>
      <c r="K28" s="2357"/>
      <c r="L28" s="2357"/>
      <c r="M28" s="2357"/>
      <c r="N28" s="2357"/>
      <c r="O28" s="2357"/>
      <c r="P28" s="2357"/>
      <c r="Q28" s="2357"/>
      <c r="R28" s="2357"/>
      <c r="S28" s="2357"/>
      <c r="T28" s="2357"/>
      <c r="U28" s="2357"/>
      <c r="V28" s="2357"/>
      <c r="W28" s="2357"/>
      <c r="X28" s="2357"/>
      <c r="Y28" s="2357"/>
      <c r="Z28" s="2357"/>
      <c r="AA28" s="2357"/>
      <c r="AB28" s="2357"/>
      <c r="AC28" s="2357"/>
      <c r="AD28" s="2357"/>
      <c r="AE28" s="2357"/>
      <c r="AF28" s="2357"/>
      <c r="AG28" s="2357"/>
      <c r="AH28" s="2357"/>
      <c r="AI28" s="2358"/>
      <c r="AJ28" s="1744"/>
      <c r="AK28" s="476"/>
      <c r="AL28" s="1744"/>
      <c r="AM28" s="1744"/>
      <c r="AN28" s="1744"/>
      <c r="AO28" s="1744"/>
      <c r="AP28" s="1744"/>
      <c r="AQ28" s="1744"/>
      <c r="AR28" s="1744"/>
      <c r="AS28" s="1744"/>
      <c r="AT28" s="1744"/>
      <c r="AU28" s="1744"/>
      <c r="AV28" s="1744"/>
      <c r="AW28" s="1744"/>
      <c r="AX28" s="1744"/>
      <c r="AY28" s="1744"/>
      <c r="AZ28" s="1744"/>
      <c r="BA28" s="1744"/>
      <c r="BB28" s="1744"/>
      <c r="BC28" s="1744"/>
      <c r="BD28" s="1744"/>
      <c r="BE28" s="1744"/>
      <c r="BF28" s="1744"/>
      <c r="BG28" s="1744"/>
      <c r="BH28" s="1744"/>
      <c r="BI28" s="1744"/>
      <c r="BJ28" s="1744"/>
      <c r="BK28" s="1744"/>
      <c r="BL28" s="1744"/>
      <c r="BM28" s="1724">
        <v>11</v>
      </c>
    </row>
    <row customHeight="1" ht="15">
      <c r="D29" s="2353" t="s">
        <v>94</v>
      </c>
      <c r="E29" s="2349" t="s">
        <v>305</v>
      </c>
      <c r="F29" s="2349" t="s">
        <v>309</v>
      </c>
      <c r="G29" s="2355" t="s">
        <v>19</v>
      </c>
      <c r="H29" s="1769"/>
      <c r="I29" s="2351"/>
      <c r="J29" s="2322"/>
      <c r="K29" s="1684"/>
      <c r="L29" s="2307"/>
      <c r="M29" s="2307"/>
      <c r="N29" s="1754"/>
      <c r="O29" s="2307"/>
      <c r="P29" s="2322"/>
      <c r="Q29" s="1755"/>
      <c r="R29" s="2307"/>
      <c r="S29" s="2307"/>
      <c r="T29" s="1756"/>
      <c r="U29" s="2307"/>
      <c r="V29" s="2322"/>
      <c r="W29" s="1757"/>
      <c r="X29" s="2307"/>
      <c r="Y29" s="2307"/>
      <c r="Z29" s="1754"/>
      <c r="AA29" s="2307"/>
      <c r="AB29" s="2322"/>
      <c r="AC29" s="1758"/>
      <c r="AD29" s="2307"/>
      <c r="AE29" s="2307"/>
      <c r="AF29" s="1683"/>
      <c r="AG29" s="1683"/>
      <c r="AH29" s="1759"/>
      <c r="AI29" s="1466"/>
      <c r="AJ29" s="1744"/>
      <c r="BM29" s="463">
        <v>14</v>
      </c>
    </row>
    <row customHeight="1" ht="14.699999999999998">
      <c r="D30" s="2353"/>
      <c r="E30" s="2349"/>
      <c r="F30" s="2349"/>
      <c r="G30" s="2356"/>
      <c r="H30" s="1770"/>
      <c r="I30" s="2352"/>
      <c r="J30" s="2323"/>
      <c r="K30" s="1753"/>
      <c r="L30" s="2308"/>
      <c r="M30" s="2308"/>
      <c r="N30" s="1760"/>
      <c r="O30" s="2308"/>
      <c r="P30" s="2323"/>
      <c r="Q30" s="1761"/>
      <c r="R30" s="2308"/>
      <c r="S30" s="2308"/>
      <c r="T30" s="1762"/>
      <c r="U30" s="2308"/>
      <c r="V30" s="2323"/>
      <c r="W30" s="1763"/>
      <c r="X30" s="2308"/>
      <c r="Y30" s="2308"/>
      <c r="Z30" s="1760"/>
      <c r="AA30" s="2308"/>
      <c r="AB30" s="2323"/>
      <c r="AC30" s="1764"/>
      <c r="AD30" s="2308"/>
      <c r="AE30" s="2308"/>
      <c r="AF30" s="1765"/>
      <c r="AG30" s="1765"/>
      <c r="AH30" s="2347"/>
      <c r="AI30" s="2348"/>
      <c r="AJ30" s="1744"/>
      <c r="BM30" s="463">
        <v>14</v>
      </c>
    </row>
    <row customHeight="1" ht="14.699999999999998">
      <c r="D31" s="2353"/>
      <c r="E31" s="2349"/>
      <c r="F31" s="2349"/>
      <c r="G31" s="2356"/>
      <c r="H31" s="1770"/>
      <c r="I31" s="2352"/>
      <c r="J31" s="2323"/>
      <c r="K31" s="1753"/>
      <c r="L31" s="2308"/>
      <c r="M31" s="2308"/>
      <c r="N31" s="1760"/>
      <c r="O31" s="2308"/>
      <c r="P31" s="2323"/>
      <c r="Q31" s="1761"/>
      <c r="R31" s="2308"/>
      <c r="S31" s="2308"/>
      <c r="T31" s="1762"/>
      <c r="U31" s="2308"/>
      <c r="V31" s="2323"/>
      <c r="W31" s="1763"/>
      <c r="X31" s="2308"/>
      <c r="Y31" s="2308"/>
      <c r="Z31" s="1682"/>
      <c r="AA31" s="1765"/>
      <c r="AB31" s="2347"/>
      <c r="AC31" s="2347"/>
      <c r="AD31" s="2347"/>
      <c r="AE31" s="2347"/>
      <c r="AF31" s="2347"/>
      <c r="AG31" s="2347"/>
      <c r="AH31" s="2347"/>
      <c r="AI31" s="2348"/>
      <c r="AJ31" s="1744"/>
      <c r="BM31" s="463">
        <v>14</v>
      </c>
    </row>
    <row customHeight="1" ht="14.699999999999998">
      <c r="D32" s="2353"/>
      <c r="E32" s="2349"/>
      <c r="F32" s="2349"/>
      <c r="G32" s="2356"/>
      <c r="H32" s="1770"/>
      <c r="I32" s="2352"/>
      <c r="J32" s="2323"/>
      <c r="K32" s="1753"/>
      <c r="L32" s="2308"/>
      <c r="M32" s="2308"/>
      <c r="N32" s="1760"/>
      <c r="O32" s="2308"/>
      <c r="P32" s="2323"/>
      <c r="Q32" s="1761"/>
      <c r="R32" s="2308"/>
      <c r="S32" s="2308"/>
      <c r="T32" s="1766"/>
      <c r="U32" s="1767"/>
      <c r="V32" s="2347"/>
      <c r="W32" s="2347"/>
      <c r="X32" s="2347"/>
      <c r="Y32" s="2347"/>
      <c r="Z32" s="2347"/>
      <c r="AA32" s="2347"/>
      <c r="AB32" s="2347"/>
      <c r="AC32" s="2347"/>
      <c r="AD32" s="2347"/>
      <c r="AE32" s="2347"/>
      <c r="AF32" s="2347"/>
      <c r="AG32" s="2347"/>
      <c r="AH32" s="2347"/>
      <c r="AI32" s="2348"/>
      <c r="AJ32" s="1744"/>
      <c r="BM32" s="463">
        <v>14</v>
      </c>
    </row>
    <row customHeight="1" ht="11.549999999999999">
      <c r="D33" s="2353"/>
      <c r="E33" s="2349"/>
      <c r="F33" s="2349"/>
      <c r="G33" s="2356"/>
      <c r="H33" s="1771"/>
      <c r="I33" s="2352"/>
      <c r="J33" s="2323"/>
      <c r="K33" s="1753"/>
      <c r="L33" s="2308"/>
      <c r="M33" s="2308"/>
      <c r="N33" s="1765"/>
      <c r="O33" s="1765"/>
      <c r="P33" s="2347"/>
      <c r="Q33" s="2347"/>
      <c r="R33" s="2347"/>
      <c r="S33" s="2347"/>
      <c r="T33" s="2347"/>
      <c r="U33" s="2347"/>
      <c r="V33" s="2347"/>
      <c r="W33" s="2347"/>
      <c r="X33" s="2347"/>
      <c r="Y33" s="2347"/>
      <c r="Z33" s="2347"/>
      <c r="AA33" s="2347"/>
      <c r="AB33" s="2347"/>
      <c r="AC33" s="2347"/>
      <c r="AD33" s="2347"/>
      <c r="AE33" s="2347"/>
      <c r="AF33" s="2347"/>
      <c r="AG33" s="2347"/>
      <c r="AH33" s="2347"/>
      <c r="AI33" s="2348"/>
      <c r="AJ33" s="1744"/>
      <c r="BM33" s="463">
        <v>11</v>
      </c>
    </row>
    <row s="12462" customFormat="1" customHeight="1" ht="11.549999999999999">
      <c r="D34" s="2359"/>
      <c r="E34" s="2360"/>
      <c r="F34" s="2350"/>
      <c r="G34" s="2282"/>
      <c r="H34" s="1768"/>
      <c r="I34" s="1772"/>
      <c r="J34" s="2357"/>
      <c r="K34" s="2357"/>
      <c r="L34" s="2357"/>
      <c r="M34" s="2357"/>
      <c r="N34" s="2357"/>
      <c r="O34" s="2357"/>
      <c r="P34" s="2357"/>
      <c r="Q34" s="2357"/>
      <c r="R34" s="2357"/>
      <c r="S34" s="2357"/>
      <c r="T34" s="2357"/>
      <c r="U34" s="2357"/>
      <c r="V34" s="2357"/>
      <c r="W34" s="2357"/>
      <c r="X34" s="2357"/>
      <c r="Y34" s="2357"/>
      <c r="Z34" s="2357"/>
      <c r="AA34" s="2357"/>
      <c r="AB34" s="2357"/>
      <c r="AC34" s="2357"/>
      <c r="AD34" s="2357"/>
      <c r="AE34" s="2357"/>
      <c r="AF34" s="2357"/>
      <c r="AG34" s="2357"/>
      <c r="AH34" s="2357"/>
      <c r="AI34" s="2358"/>
      <c r="AJ34" s="1744"/>
      <c r="AK34" s="476"/>
      <c r="AL34" s="1744"/>
      <c r="AM34" s="1744"/>
      <c r="AN34" s="1744"/>
      <c r="AO34" s="1744"/>
      <c r="AP34" s="1744"/>
      <c r="AQ34" s="1744"/>
      <c r="AR34" s="1744"/>
      <c r="AS34" s="1744"/>
      <c r="AT34" s="1744"/>
      <c r="AU34" s="1744"/>
      <c r="AV34" s="1744"/>
      <c r="AW34" s="1744"/>
      <c r="AX34" s="1744"/>
      <c r="AY34" s="1744"/>
      <c r="AZ34" s="1744"/>
      <c r="BA34" s="1744"/>
      <c r="BB34" s="1744"/>
      <c r="BC34" s="1744"/>
      <c r="BD34" s="1744"/>
      <c r="BE34" s="1744"/>
      <c r="BF34" s="1744"/>
      <c r="BG34" s="1744"/>
      <c r="BH34" s="1744"/>
      <c r="BI34" s="1744"/>
      <c r="BJ34" s="1744"/>
      <c r="BK34" s="1744"/>
      <c r="BL34" s="1744"/>
      <c r="BM34" s="1724">
        <v>11</v>
      </c>
    </row>
    <row customHeight="1" ht="15">
      <c r="D35" s="2353" t="s">
        <v>114</v>
      </c>
      <c r="E35" s="2349" t="s">
        <v>305</v>
      </c>
      <c r="F35" s="2349" t="s">
        <v>310</v>
      </c>
      <c r="G35" s="2355" t="s">
        <v>19</v>
      </c>
      <c r="H35" s="1769"/>
      <c r="I35" s="2351"/>
      <c r="J35" s="2322"/>
      <c r="K35" s="1684"/>
      <c r="L35" s="2307"/>
      <c r="M35" s="2307"/>
      <c r="N35" s="1754"/>
      <c r="O35" s="2307"/>
      <c r="P35" s="2322"/>
      <c r="Q35" s="1755"/>
      <c r="R35" s="2307"/>
      <c r="S35" s="2307"/>
      <c r="T35" s="1756"/>
      <c r="U35" s="2307"/>
      <c r="V35" s="2322"/>
      <c r="W35" s="1757"/>
      <c r="X35" s="2307"/>
      <c r="Y35" s="2307"/>
      <c r="Z35" s="1754"/>
      <c r="AA35" s="2307"/>
      <c r="AB35" s="2322"/>
      <c r="AC35" s="1758"/>
      <c r="AD35" s="2307"/>
      <c r="AE35" s="2307"/>
      <c r="AF35" s="1683"/>
      <c r="AG35" s="1683"/>
      <c r="AH35" s="1759"/>
      <c r="AI35" s="1466"/>
      <c r="AJ35" s="1744"/>
      <c r="BM35" s="463">
        <v>14</v>
      </c>
    </row>
    <row customHeight="1" ht="14.699999999999998">
      <c r="D36" s="2353"/>
      <c r="E36" s="2349"/>
      <c r="F36" s="2349"/>
      <c r="G36" s="2356"/>
      <c r="H36" s="1770"/>
      <c r="I36" s="2352"/>
      <c r="J36" s="2323"/>
      <c r="K36" s="1753"/>
      <c r="L36" s="2308"/>
      <c r="M36" s="2308"/>
      <c r="N36" s="1760"/>
      <c r="O36" s="2308"/>
      <c r="P36" s="2323"/>
      <c r="Q36" s="1761"/>
      <c r="R36" s="2308"/>
      <c r="S36" s="2308"/>
      <c r="T36" s="1762"/>
      <c r="U36" s="2308"/>
      <c r="V36" s="2323"/>
      <c r="W36" s="1763"/>
      <c r="X36" s="2308"/>
      <c r="Y36" s="2308"/>
      <c r="Z36" s="1760"/>
      <c r="AA36" s="2308"/>
      <c r="AB36" s="2323"/>
      <c r="AC36" s="1764"/>
      <c r="AD36" s="2308"/>
      <c r="AE36" s="2308"/>
      <c r="AF36" s="1765"/>
      <c r="AG36" s="1765"/>
      <c r="AH36" s="2347"/>
      <c r="AI36" s="2348"/>
      <c r="AJ36" s="1744"/>
      <c r="BM36" s="463">
        <v>14</v>
      </c>
    </row>
    <row customHeight="1" ht="14.699999999999998">
      <c r="D37" s="2353"/>
      <c r="E37" s="2349"/>
      <c r="F37" s="2349"/>
      <c r="G37" s="2356"/>
      <c r="H37" s="1770"/>
      <c r="I37" s="2352"/>
      <c r="J37" s="2323"/>
      <c r="K37" s="1753"/>
      <c r="L37" s="2308"/>
      <c r="M37" s="2308"/>
      <c r="N37" s="1760"/>
      <c r="O37" s="2308"/>
      <c r="P37" s="2323"/>
      <c r="Q37" s="1761"/>
      <c r="R37" s="2308"/>
      <c r="S37" s="2308"/>
      <c r="T37" s="1762"/>
      <c r="U37" s="2308"/>
      <c r="V37" s="2323"/>
      <c r="W37" s="1763"/>
      <c r="X37" s="2308"/>
      <c r="Y37" s="2308"/>
      <c r="Z37" s="1682"/>
      <c r="AA37" s="1765"/>
      <c r="AB37" s="2347"/>
      <c r="AC37" s="2347"/>
      <c r="AD37" s="2347"/>
      <c r="AE37" s="2347"/>
      <c r="AF37" s="2347"/>
      <c r="AG37" s="2347"/>
      <c r="AH37" s="2347"/>
      <c r="AI37" s="2348"/>
      <c r="AJ37" s="1744"/>
      <c r="BM37" s="463">
        <v>14</v>
      </c>
    </row>
    <row customHeight="1" ht="14.699999999999998">
      <c r="D38" s="2353"/>
      <c r="E38" s="2349"/>
      <c r="F38" s="2349"/>
      <c r="G38" s="2356"/>
      <c r="H38" s="1770"/>
      <c r="I38" s="2352"/>
      <c r="J38" s="2323"/>
      <c r="K38" s="1753"/>
      <c r="L38" s="2308"/>
      <c r="M38" s="2308"/>
      <c r="N38" s="1760"/>
      <c r="O38" s="2308"/>
      <c r="P38" s="2323"/>
      <c r="Q38" s="1761"/>
      <c r="R38" s="2308"/>
      <c r="S38" s="2308"/>
      <c r="T38" s="1766"/>
      <c r="U38" s="1767"/>
      <c r="V38" s="2347"/>
      <c r="W38" s="2347"/>
      <c r="X38" s="2347"/>
      <c r="Y38" s="2347"/>
      <c r="Z38" s="2347"/>
      <c r="AA38" s="2347"/>
      <c r="AB38" s="2347"/>
      <c r="AC38" s="2347"/>
      <c r="AD38" s="2347"/>
      <c r="AE38" s="2347"/>
      <c r="AF38" s="2347"/>
      <c r="AG38" s="2347"/>
      <c r="AH38" s="2347"/>
      <c r="AI38" s="2348"/>
      <c r="AJ38" s="1744"/>
      <c r="BM38" s="463">
        <v>14</v>
      </c>
    </row>
    <row customHeight="1" ht="11.549999999999999">
      <c r="D39" s="2353"/>
      <c r="E39" s="2349"/>
      <c r="F39" s="2349"/>
      <c r="G39" s="2356"/>
      <c r="H39" s="1771"/>
      <c r="I39" s="2352"/>
      <c r="J39" s="2323"/>
      <c r="K39" s="1753"/>
      <c r="L39" s="2308"/>
      <c r="M39" s="2308"/>
      <c r="N39" s="1765"/>
      <c r="O39" s="1765"/>
      <c r="P39" s="2347"/>
      <c r="Q39" s="2347"/>
      <c r="R39" s="2347"/>
      <c r="S39" s="2347"/>
      <c r="T39" s="2347"/>
      <c r="U39" s="2347"/>
      <c r="V39" s="2347"/>
      <c r="W39" s="2347"/>
      <c r="X39" s="2347"/>
      <c r="Y39" s="2347"/>
      <c r="Z39" s="2347"/>
      <c r="AA39" s="2347"/>
      <c r="AB39" s="2347"/>
      <c r="AC39" s="2347"/>
      <c r="AD39" s="2347"/>
      <c r="AE39" s="2347"/>
      <c r="AF39" s="2347"/>
      <c r="AG39" s="2347"/>
      <c r="AH39" s="2347"/>
      <c r="AI39" s="2348"/>
      <c r="AJ39" s="1744"/>
      <c r="BM39" s="463">
        <v>11</v>
      </c>
    </row>
    <row s="12462" customFormat="1" customHeight="1" ht="11.549999999999999">
      <c r="D40" s="2353"/>
      <c r="E40" s="2349"/>
      <c r="F40" s="2354"/>
      <c r="G40" s="2282"/>
      <c r="H40" s="1768"/>
      <c r="I40" s="1772"/>
      <c r="J40" s="2357"/>
      <c r="K40" s="2357"/>
      <c r="L40" s="2357"/>
      <c r="M40" s="2357"/>
      <c r="N40" s="2357"/>
      <c r="O40" s="2357"/>
      <c r="P40" s="2357"/>
      <c r="Q40" s="2357"/>
      <c r="R40" s="2357"/>
      <c r="S40" s="2357"/>
      <c r="T40" s="2357"/>
      <c r="U40" s="2357"/>
      <c r="V40" s="2357"/>
      <c r="W40" s="2357"/>
      <c r="X40" s="2357"/>
      <c r="Y40" s="2357"/>
      <c r="Z40" s="2357"/>
      <c r="AA40" s="2357"/>
      <c r="AB40" s="2357"/>
      <c r="AC40" s="2357"/>
      <c r="AD40" s="2357"/>
      <c r="AE40" s="2357"/>
      <c r="AF40" s="2357"/>
      <c r="AG40" s="2357"/>
      <c r="AH40" s="2357"/>
      <c r="AI40" s="2358"/>
      <c r="AJ40" s="1744"/>
      <c r="AK40" s="476"/>
      <c r="AL40" s="1744"/>
      <c r="AM40" s="1744"/>
      <c r="AN40" s="1744"/>
      <c r="AO40" s="1744"/>
      <c r="AP40" s="1744"/>
      <c r="AQ40" s="1744"/>
      <c r="AR40" s="1744"/>
      <c r="AS40" s="1744"/>
      <c r="AT40" s="1744"/>
      <c r="AU40" s="1744"/>
      <c r="AV40" s="1744"/>
      <c r="AW40" s="1744"/>
      <c r="AX40" s="1744"/>
      <c r="AY40" s="1744"/>
      <c r="AZ40" s="1744"/>
      <c r="BA40" s="1744"/>
      <c r="BB40" s="1744"/>
      <c r="BC40" s="1744"/>
      <c r="BD40" s="1744"/>
      <c r="BE40" s="1744"/>
      <c r="BF40" s="1744"/>
      <c r="BG40" s="1744"/>
      <c r="BH40" s="1744"/>
      <c r="BI40" s="1744"/>
      <c r="BJ40" s="1744"/>
      <c r="BK40" s="1744"/>
      <c r="BL40" s="1744"/>
      <c r="BM40" s="1724">
        <v>11</v>
      </c>
    </row>
    <row customHeight="1" ht="11.549999999999999">
      <c r="AK41" s="593"/>
      <c r="BM41" s="463">
        <v>11</v>
      </c>
    </row>
    <row customHeight="1" ht="11.549999999999999">
      <c r="AK42" s="593"/>
      <c r="BM42" s="463">
        <v>11</v>
      </c>
    </row>
    <row customHeight="1" ht="11.549999999999999">
      <c r="AK43" s="593"/>
      <c r="BM43" s="463">
        <v>11</v>
      </c>
    </row>
    <row customHeight="1" ht="11.549999999999999">
      <c r="AK44" s="593"/>
      <c r="BM44" s="463">
        <v>11</v>
      </c>
    </row>
    <row customHeight="1" ht="11.549999999999999">
      <c r="AK45" s="593"/>
      <c r="BM45" s="463">
        <v>11</v>
      </c>
    </row>
    <row customHeight="1" ht="11.549999999999999">
      <c r="AK46" s="593"/>
      <c r="BM46" s="463">
        <v>11</v>
      </c>
    </row>
    <row customHeight="1" ht="11.549999999999999">
      <c r="AK47" s="593"/>
      <c r="BM47" s="463">
        <v>11</v>
      </c>
    </row>
    <row customHeight="1" ht="11.549999999999999">
      <c r="AK48" s="593"/>
      <c r="BM48" s="463">
        <v>11</v>
      </c>
    </row>
    <row customHeight="1" ht="11.549999999999999">
      <c r="AK49" s="593"/>
      <c r="BM49" s="463">
        <v>11</v>
      </c>
    </row>
    <row customHeight="1" ht="11.25" hidden="1">
      <c r="A50" s="463" t="s">
        <v>85</v>
      </c>
      <c r="B50" s="463">
        <v>0</v>
      </c>
      <c r="C50" s="463">
        <v>3</v>
      </c>
      <c r="D50" s="463">
        <v>3</v>
      </c>
      <c r="E50" s="463">
        <v>15</v>
      </c>
      <c r="F50" s="463">
        <v>15</v>
      </c>
      <c r="G50" s="463">
        <v>11</v>
      </c>
      <c r="H50" s="463">
        <v>3</v>
      </c>
      <c r="I50" s="463">
        <v>3</v>
      </c>
      <c r="J50" s="463">
        <v>12</v>
      </c>
      <c r="K50" s="463">
        <v>0</v>
      </c>
      <c r="L50" s="463">
        <v>10</v>
      </c>
      <c r="M50" s="463">
        <v>10</v>
      </c>
      <c r="N50" s="463">
        <v>3</v>
      </c>
      <c r="O50" s="463">
        <v>3</v>
      </c>
      <c r="P50" s="463">
        <v>19</v>
      </c>
      <c r="Q50" s="463">
        <v>0</v>
      </c>
      <c r="R50" s="463">
        <v>10</v>
      </c>
      <c r="S50" s="463">
        <v>10</v>
      </c>
      <c r="T50" s="463">
        <v>3</v>
      </c>
      <c r="U50" s="463">
        <v>3</v>
      </c>
      <c r="V50" s="463">
        <v>25</v>
      </c>
      <c r="W50" s="463">
        <v>0</v>
      </c>
      <c r="X50" s="463">
        <v>10</v>
      </c>
      <c r="Y50" s="463">
        <v>10</v>
      </c>
      <c r="Z50" s="463">
        <v>3</v>
      </c>
      <c r="AA50" s="463">
        <v>3</v>
      </c>
      <c r="AB50" s="463">
        <v>16</v>
      </c>
      <c r="AC50" s="463">
        <v>0</v>
      </c>
      <c r="AD50" s="463">
        <v>10</v>
      </c>
      <c r="AE50" s="463">
        <v>10</v>
      </c>
      <c r="AF50" s="463">
        <v>3</v>
      </c>
      <c r="AG50" s="463">
        <v>3</v>
      </c>
      <c r="AH50" s="463">
        <v>8</v>
      </c>
      <c r="AI50" s="463">
        <v>21</v>
      </c>
      <c r="AJ50" s="593">
        <v>8</v>
      </c>
      <c r="AK50" s="476">
        <v>8</v>
      </c>
      <c r="AL50" s="593">
        <v>8</v>
      </c>
      <c r="AM50" s="593">
        <v>8</v>
      </c>
      <c r="AN50" s="593">
        <v>8</v>
      </c>
      <c r="AO50" s="593">
        <v>8</v>
      </c>
      <c r="AP50" s="593">
        <v>8</v>
      </c>
      <c r="AQ50" s="593">
        <v>8</v>
      </c>
      <c r="AR50" s="593">
        <v>8</v>
      </c>
      <c r="AS50" s="593">
        <v>8</v>
      </c>
      <c r="AT50" s="593">
        <v>8</v>
      </c>
      <c r="AU50" s="593">
        <v>8</v>
      </c>
      <c r="AV50" s="593">
        <v>8</v>
      </c>
      <c r="AW50" s="593">
        <v>8</v>
      </c>
      <c r="AX50" s="593">
        <v>8</v>
      </c>
      <c r="AY50" s="593">
        <v>8</v>
      </c>
      <c r="AZ50" s="593">
        <v>8</v>
      </c>
      <c r="BA50" s="593">
        <v>8</v>
      </c>
      <c r="BB50" s="593">
        <v>8</v>
      </c>
      <c r="BC50" s="593">
        <v>8</v>
      </c>
      <c r="BD50" s="593">
        <v>8</v>
      </c>
      <c r="BE50" s="593">
        <v>8</v>
      </c>
      <c r="BF50" s="593">
        <v>8</v>
      </c>
      <c r="BG50" s="593">
        <v>8</v>
      </c>
      <c r="BH50" s="593">
        <v>8</v>
      </c>
      <c r="BI50" s="593">
        <v>8</v>
      </c>
      <c r="BJ50" s="593">
        <v>8</v>
      </c>
      <c r="BK50" s="593">
        <v>8</v>
      </c>
      <c r="BL50" s="593">
        <v>8</v>
      </c>
      <c r="BM50" s="46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580968-B075-D89B-F692-FDD2C651FF1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2053" width="1.7109375" customWidth="1"/>
    <col min="2" max="2" style="12053" width="34.57421875" customWidth="1"/>
    <col min="3" max="3" style="12053" width="85.00390625" customWidth="1"/>
    <col min="4" max="4" style="12053" width="17.00390625" customWidth="1"/>
    <col min="5" max="5" style="12053" width="8.00390625" customWidth="1"/>
    <col min="6" max="6" style="12053" width="9.140625" hidden="1"/>
  </cols>
  <sheetData>
    <row customHeight="1" ht="3">
      <c r="F1" s="259" t="s">
        <v>14</v>
      </c>
    </row>
    <row customHeight="1" ht="22.5">
      <c r="B2" s="2783" t="s">
        <v>1919</v>
      </c>
      <c r="C2" s="2670"/>
      <c r="D2" s="2670"/>
      <c r="E2" s="438"/>
      <c r="F2" s="259">
        <v>22</v>
      </c>
    </row>
    <row customHeight="1" ht="3">
      <c r="F3" s="259">
        <v>3</v>
      </c>
    </row>
    <row customHeight="1" ht="23.25">
      <c r="B4" s="2784" t="s">
        <v>1920</v>
      </c>
      <c r="C4" s="553" t="s">
        <v>1921</v>
      </c>
      <c r="D4" s="553" t="s">
        <v>1922</v>
      </c>
      <c r="F4" s="259">
        <v>22</v>
      </c>
    </row>
    <row customHeight="1" ht="11.25" hidden="1">
      <c r="A5" s="259" t="s">
        <v>85</v>
      </c>
      <c r="B5" s="259">
        <v>34</v>
      </c>
      <c r="C5" s="259">
        <v>85</v>
      </c>
      <c r="D5" s="259">
        <v>17</v>
      </c>
      <c r="E5" s="259">
        <v>8</v>
      </c>
      <c r="F5" s="25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F9CC0B-CC07-1DC5-B065-1EDF3E867176}"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2053" width="26.57421875" customWidth="1"/>
    <col min="2" max="2" style="12053" width="10.00390625" customWidth="1"/>
    <col min="3" max="3" style="12053" width="9.140625"/>
    <col min="4" max="4" style="12053" width="11.140625" customWidth="1"/>
    <col min="5" max="5" style="12053" width="16.57421875" customWidth="1"/>
    <col min="6" max="6" style="12053" width="16.28125" customWidth="1"/>
    <col min="7" max="7" style="12053" width="19.140625" customWidth="1"/>
    <col min="8" max="11" style="12053" width="10.00390625" customWidth="1"/>
    <col min="12" max="12" style="12053" width="12.7109375" customWidth="1"/>
    <col min="13" max="13" style="12053" width="61.28125" customWidth="1"/>
    <col min="14" max="14" style="12053" width="10.00390625" customWidth="1"/>
    <col min="15" max="17" style="12053" width="23.7109375" customWidth="1"/>
    <col min="18" max="18" style="12053" width="11.7109375" customWidth="1"/>
    <col min="19" max="19" style="12053" width="8.57421875" customWidth="1"/>
    <col min="20" max="20" style="12053" width="11.7109375" customWidth="1"/>
    <col min="21" max="21" style="12053" width="8.57421875" customWidth="1"/>
    <col min="22" max="22" style="12053" width="4.7109375" customWidth="1"/>
    <col min="23" max="23" style="12053" width="115.7109375" customWidth="1"/>
    <col min="24" max="24" style="12053" width="115.28125" customWidth="1"/>
    <col min="25" max="27" style="12053" width="9.140625"/>
    <col min="28" max="28" style="12053" width="115.7109375" customWidth="1"/>
    <col min="29" max="29" style="12053" width="9.140625"/>
    <col min="30" max="90" style="12053" width="115.7109375" customWidth="1"/>
    <col min="91" max="184" style="12053" width="9.140625"/>
  </cols>
  <sheetData>
    <row r="2" s="15413" customFormat="1" customHeight="1" ht="17.25">
      <c r="A2" s="1985" t="s">
        <v>1923</v>
      </c>
    </row>
    <row r="4" s="15402" customFormat="1" customHeight="1" ht="15">
      <c r="C4" s="1986"/>
      <c r="D4" s="283"/>
      <c r="E4" s="547"/>
    </row>
    <row r="6" s="15413" customFormat="1" customHeight="1" ht="17.25">
      <c r="A6" s="1985" t="s">
        <v>1924</v>
      </c>
    </row>
    <row r="8" s="15402" customFormat="1" customHeight="1" ht="17.25">
      <c r="C8" s="1987"/>
      <c r="D8" s="283"/>
      <c r="E8" s="284"/>
    </row>
    <row r="11" s="15413" customFormat="1" customHeight="1" ht="17.25">
      <c r="A11" s="1985" t="s">
        <v>1925</v>
      </c>
    </row>
    <row r="13" s="12008" customFormat="1" customHeight="1" ht="15">
      <c r="A13" s="2387">
        <v>1</v>
      </c>
      <c r="B13" s="1330"/>
      <c r="C13" s="971" t="s">
        <v>437</v>
      </c>
      <c r="D13" s="1988"/>
      <c r="E13" s="1975">
        <f>A13</f>
        <v>1</v>
      </c>
      <c r="F13" s="974"/>
      <c r="G13" s="710" t="str">
        <f>"Территория "&amp;E13</f>
        <v>Территория 1</v>
      </c>
      <c r="H13" s="962"/>
      <c r="I13" s="962"/>
      <c r="J13" s="959"/>
      <c r="K13" s="1794"/>
      <c r="L13" s="1794"/>
      <c r="M13" s="1794"/>
      <c r="N13" s="396"/>
      <c r="O13" s="1794"/>
      <c r="P13" s="395"/>
      <c r="Q13" s="395"/>
      <c r="R13" s="395"/>
      <c r="S13" s="395"/>
    </row>
    <row s="12053" customFormat="1" customHeight="1" ht="15">
      <c r="A14" s="2387"/>
      <c r="B14" s="1330">
        <v>1</v>
      </c>
      <c r="C14" s="1330"/>
      <c r="D14" s="970"/>
      <c r="E14" s="1983" t="str">
        <f>A13&amp;"."&amp;B14</f>
        <v>1.1</v>
      </c>
      <c r="F14" s="973">
        <f>$F$20</f>
        <v>0</v>
      </c>
      <c r="G14" s="963"/>
      <c r="H14" s="963"/>
      <c r="I14" s="961"/>
      <c r="J14" s="1794"/>
      <c r="K14" s="1806"/>
      <c r="L14" s="1806"/>
      <c r="M14" s="1794" t="str">
        <f t="array" ref="M14:M14">IF(ISERROR(MATCH(MID(N14,1,250),MID(note_ter,1,250),0)),"n","y")</f>
        <v>n</v>
      </c>
      <c r="N14" s="1806"/>
      <c r="O14" s="1794" t="str">
        <f>H14&amp;"("&amp;I14&amp;")"</f>
        <v>()</v>
      </c>
      <c r="P14" s="1330"/>
      <c r="Q14" s="1330"/>
      <c r="R14" s="590"/>
      <c r="S14" s="1330"/>
      <c r="T14" s="1330"/>
      <c r="U14" s="1330"/>
      <c r="V14" s="592"/>
      <c r="W14" s="592"/>
      <c r="X14" s="589"/>
      <c r="Y14" s="589"/>
      <c r="Z14" s="589"/>
      <c r="AA14" s="589"/>
      <c r="AB14" s="589"/>
      <c r="AC14" s="589"/>
      <c r="AD14" s="589"/>
      <c r="AE14" s="589"/>
      <c r="AF14" s="589"/>
      <c r="AG14" s="589"/>
      <c r="AH14" s="589"/>
      <c r="AI14" s="589"/>
      <c r="AJ14" s="589"/>
      <c r="AK14" s="589"/>
      <c r="AL14" s="589"/>
      <c r="AM14" s="589"/>
      <c r="AN14" s="589"/>
      <c r="AO14" s="589"/>
      <c r="AP14" s="589"/>
      <c r="AQ14" s="589"/>
      <c r="AR14" s="589"/>
      <c r="AS14" s="589"/>
      <c r="AT14" s="589"/>
      <c r="AU14" s="589"/>
      <c r="AV14" s="589"/>
      <c r="AW14" s="589"/>
      <c r="AX14" s="589"/>
      <c r="AY14" s="589"/>
      <c r="AZ14" s="589"/>
      <c r="BA14" s="589"/>
      <c r="BB14" s="589"/>
      <c r="BC14" s="589"/>
      <c r="BD14" s="589"/>
      <c r="BE14" s="589"/>
      <c r="BF14" s="589"/>
      <c r="BG14" s="589"/>
      <c r="BH14" s="589"/>
      <c r="BI14" s="589"/>
      <c r="BJ14" s="589"/>
      <c r="BK14" s="589"/>
      <c r="BL14" s="589"/>
      <c r="BM14" s="589"/>
      <c r="BN14" s="589"/>
      <c r="BO14" s="589"/>
      <c r="BP14" s="589"/>
      <c r="BQ14" s="589"/>
      <c r="BR14" s="589"/>
      <c r="BS14" s="592"/>
      <c r="BT14" s="592"/>
      <c r="BU14" s="592"/>
      <c r="BV14" s="592"/>
      <c r="BW14" s="592"/>
      <c r="BX14" s="592"/>
      <c r="BY14" s="592"/>
      <c r="BZ14" s="592"/>
      <c r="CA14" s="592"/>
      <c r="CB14" s="592"/>
    </row>
    <row s="12053" customFormat="1" customHeight="1" ht="15">
      <c r="A15" s="2387"/>
      <c r="B15" s="1330"/>
      <c r="C15" s="582"/>
      <c r="D15" s="971"/>
      <c r="E15" s="591"/>
      <c r="F15" s="347"/>
      <c r="G15" s="585" t="s">
        <v>105</v>
      </c>
      <c r="H15" s="357"/>
      <c r="I15" s="594"/>
      <c r="J15" s="1806"/>
      <c r="K15" s="1806"/>
      <c r="L15" s="1806"/>
      <c r="M15" s="1806"/>
      <c r="N15" s="1794"/>
      <c r="O15" s="1806"/>
      <c r="P15" s="1330"/>
      <c r="Q15" s="1330"/>
      <c r="R15" s="590"/>
      <c r="S15" s="1330"/>
      <c r="T15" s="1330"/>
      <c r="U15" s="1330"/>
      <c r="V15" s="592"/>
      <c r="W15" s="592"/>
      <c r="X15" s="589"/>
      <c r="Y15" s="589"/>
      <c r="Z15" s="589"/>
      <c r="AA15" s="589"/>
      <c r="AB15" s="589"/>
      <c r="AC15" s="589"/>
      <c r="AD15" s="589"/>
      <c r="AE15" s="589"/>
      <c r="AF15" s="589"/>
      <c r="AG15" s="589"/>
      <c r="AH15" s="589"/>
      <c r="AI15" s="589"/>
      <c r="AJ15" s="589"/>
      <c r="AK15" s="589"/>
      <c r="AL15" s="589"/>
      <c r="AM15" s="589"/>
      <c r="AN15" s="589"/>
      <c r="AO15" s="589"/>
      <c r="AP15" s="589"/>
      <c r="AQ15" s="589"/>
      <c r="AR15" s="589"/>
      <c r="AS15" s="589"/>
      <c r="AT15" s="589"/>
      <c r="AU15" s="589"/>
      <c r="AV15" s="589"/>
      <c r="AW15" s="589"/>
      <c r="AX15" s="589"/>
      <c r="AY15" s="589"/>
      <c r="AZ15" s="589"/>
      <c r="BA15" s="589"/>
      <c r="BB15" s="589"/>
      <c r="BC15" s="589"/>
      <c r="BD15" s="589"/>
      <c r="BE15" s="589"/>
      <c r="BF15" s="589"/>
      <c r="BG15" s="589"/>
      <c r="BH15" s="589"/>
      <c r="BI15" s="589"/>
      <c r="BJ15" s="589"/>
      <c r="BK15" s="589"/>
      <c r="BL15" s="589"/>
      <c r="BM15" s="589"/>
      <c r="BN15" s="589"/>
      <c r="BO15" s="589"/>
      <c r="BP15" s="589"/>
      <c r="BQ15" s="589"/>
      <c r="BR15" s="589"/>
      <c r="BS15" s="592"/>
      <c r="BT15" s="592"/>
      <c r="BU15" s="592"/>
      <c r="BV15" s="592"/>
      <c r="BW15" s="592"/>
      <c r="BX15" s="592"/>
      <c r="BY15" s="592"/>
      <c r="BZ15" s="592"/>
      <c r="CA15" s="592"/>
      <c r="CB15" s="592"/>
    </row>
    <row r="17" s="15413" customFormat="1" customHeight="1" ht="17.25">
      <c r="A17" s="1985" t="s">
        <v>1926</v>
      </c>
    </row>
    <row r="19" s="12053" customFormat="1" customHeight="1" ht="15">
      <c r="A19" s="2052"/>
      <c r="B19" s="1536">
        <v>1</v>
      </c>
      <c r="C19" s="1536"/>
      <c r="D19" s="970" t="s">
        <v>437</v>
      </c>
      <c r="E19" s="2048"/>
      <c r="F19" s="2053">
        <f>$F$20</f>
        <v>0</v>
      </c>
      <c r="G19" s="2057"/>
      <c r="H19" s="2057"/>
      <c r="I19" s="2055"/>
      <c r="J19" s="1794"/>
      <c r="K19" s="1806"/>
      <c r="L19" s="1806"/>
      <c r="M19" s="1794" t="str">
        <f t="array" ref="M19:M19">IF(ISERROR(MATCH(MID(N19,1,250),MID(note_ter,1,250),0)),"n","y")</f>
        <v>n</v>
      </c>
      <c r="N19" s="1806"/>
      <c r="O19" s="1794" t="str">
        <f>H19&amp;"("&amp;I19&amp;")"</f>
        <v>()</v>
      </c>
      <c r="P19" s="1536"/>
      <c r="Q19" s="1536"/>
      <c r="R19" s="590"/>
      <c r="S19" s="1536"/>
      <c r="T19" s="1536"/>
      <c r="U19" s="1536"/>
      <c r="V19" s="1003"/>
      <c r="W19" s="1003"/>
      <c r="X19" s="797"/>
      <c r="Y19" s="797"/>
      <c r="Z19" s="797"/>
      <c r="AA19" s="797"/>
      <c r="AB19" s="797"/>
      <c r="AC19" s="797"/>
      <c r="AD19" s="797"/>
      <c r="AE19" s="797"/>
      <c r="AF19" s="797"/>
      <c r="AG19" s="797"/>
      <c r="AH19" s="797"/>
      <c r="AI19" s="797"/>
      <c r="AJ19" s="797"/>
      <c r="AK19" s="797"/>
      <c r="AL19" s="797"/>
      <c r="AM19" s="797"/>
      <c r="AN19" s="797"/>
      <c r="AO19" s="797"/>
      <c r="AP19" s="797"/>
      <c r="AQ19" s="797"/>
      <c r="AR19" s="797"/>
      <c r="AS19" s="797"/>
      <c r="AT19" s="797"/>
      <c r="AU19" s="797"/>
      <c r="AV19" s="797"/>
      <c r="AW19" s="797"/>
      <c r="AX19" s="797"/>
      <c r="AY19" s="797"/>
      <c r="AZ19" s="797"/>
      <c r="BA19" s="797"/>
      <c r="BB19" s="797"/>
      <c r="BC19" s="797"/>
      <c r="BD19" s="797"/>
      <c r="BE19" s="797"/>
      <c r="BF19" s="797"/>
      <c r="BG19" s="797"/>
      <c r="BH19" s="797"/>
      <c r="BI19" s="797"/>
      <c r="BJ19" s="797"/>
      <c r="BK19" s="797"/>
      <c r="BL19" s="797"/>
      <c r="BM19" s="797"/>
      <c r="BN19" s="797"/>
      <c r="BO19" s="797"/>
      <c r="BP19" s="797"/>
      <c r="BQ19" s="797"/>
      <c r="BR19" s="797"/>
      <c r="BS19" s="1003"/>
      <c r="BT19" s="1003"/>
      <c r="BU19" s="1003"/>
      <c r="BV19" s="1003"/>
      <c r="BW19" s="1003"/>
      <c r="BX19" s="1003"/>
      <c r="BY19" s="1003"/>
      <c r="BZ19" s="1003"/>
      <c r="CA19" s="1003"/>
      <c r="CB19" s="1003"/>
    </row>
    <row r="21" s="12053" customFormat="1" customHeight="1" ht="15">
      <c r="A21" s="1985" t="s">
        <v>1927</v>
      </c>
      <c r="B21" s="1985"/>
      <c r="C21" s="1985"/>
      <c r="D21" s="1985"/>
      <c r="E21" s="1985"/>
      <c r="F21" s="1985"/>
      <c r="G21" s="1985"/>
      <c r="H21" s="1985"/>
      <c r="I21" s="1985"/>
      <c r="J21" s="1985"/>
      <c r="K21" s="1985"/>
      <c r="L21" s="1985"/>
      <c r="M21" s="1985"/>
      <c r="N21" s="1985"/>
      <c r="O21" s="1985"/>
      <c r="P21" s="1985"/>
      <c r="Q21" s="1985"/>
      <c r="R21" s="1985"/>
      <c r="S21" s="1985"/>
      <c r="T21" s="1985"/>
      <c r="U21" s="354"/>
      <c r="V21" s="1985"/>
      <c r="W21" s="1985"/>
    </row>
    <row s="12053" customFormat="1" customHeight="1" ht="15">
      <c r="U22" s="355"/>
    </row>
    <row s="12119" customFormat="1" customHeight="1" ht="15">
      <c r="A23" s="593"/>
      <c r="B23" s="593"/>
      <c r="C23" s="1898" t="s">
        <v>437</v>
      </c>
      <c r="D23" s="2278" t="s">
        <v>112</v>
      </c>
      <c r="E23" s="2279"/>
      <c r="F23" s="2277" t="s">
        <v>19</v>
      </c>
      <c r="G23" s="2727"/>
      <c r="H23" s="2297">
        <v>1</v>
      </c>
      <c r="I23" s="2729" t="str">
        <f>IF(U23="","",INDEX(TERRITORY_MR_LIST,MATCH(U23,TERRITORY_LIST_ID,0)))</f>
        <v/>
      </c>
      <c r="J23" s="2277" t="s">
        <v>19</v>
      </c>
      <c r="K23" s="1002"/>
      <c r="L23" s="1952" t="s">
        <v>112</v>
      </c>
      <c r="M23" s="773"/>
      <c r="N23" s="774"/>
      <c r="O23" s="774"/>
      <c r="P23" s="774"/>
      <c r="Q23" s="774"/>
      <c r="R23" s="774"/>
      <c r="S23" s="774"/>
      <c r="T23" s="774"/>
      <c r="U23" s="775"/>
      <c r="V23" s="774"/>
      <c r="W23" s="774"/>
      <c r="X23" s="765"/>
      <c r="Y23" s="765" t="s">
        <v>121</v>
      </c>
      <c r="Z23" s="765">
        <v>1705000</v>
      </c>
      <c r="AA23" s="765"/>
      <c r="AB23" s="765"/>
      <c r="AC23" s="765"/>
      <c r="AD23" s="765"/>
      <c r="AE23" s="765"/>
      <c r="AF23" s="765"/>
      <c r="AG23" s="765"/>
      <c r="AH23" s="765"/>
      <c r="AI23" s="765"/>
      <c r="AJ23" s="765"/>
      <c r="AK23" s="765"/>
      <c r="AL23" s="765"/>
    </row>
    <row s="12119" customFormat="1" customHeight="1" ht="15">
      <c r="A24" s="593"/>
      <c r="B24" s="593"/>
      <c r="C24" s="346"/>
      <c r="D24" s="2278"/>
      <c r="E24" s="2280"/>
      <c r="F24" s="2277"/>
      <c r="G24" s="2728"/>
      <c r="H24" s="2297"/>
      <c r="I24" s="2730"/>
      <c r="J24" s="2277"/>
      <c r="K24" s="591"/>
      <c r="L24" s="347"/>
      <c r="M24" s="777" t="s">
        <v>122</v>
      </c>
      <c r="N24" s="774"/>
      <c r="O24" s="774"/>
      <c r="P24" s="774"/>
      <c r="Q24" s="774"/>
      <c r="R24" s="774"/>
      <c r="S24" s="774"/>
      <c r="T24" s="774"/>
      <c r="U24" s="775"/>
      <c r="V24" s="774"/>
      <c r="W24" s="774"/>
      <c r="X24" s="765"/>
      <c r="Y24" s="765"/>
      <c r="Z24" s="765"/>
      <c r="AA24" s="765"/>
      <c r="AB24" s="765"/>
      <c r="AC24" s="765"/>
      <c r="AD24" s="765"/>
      <c r="AE24" s="765"/>
      <c r="AF24" s="765"/>
      <c r="AG24" s="765"/>
      <c r="AH24" s="765"/>
      <c r="AI24" s="765"/>
      <c r="AJ24" s="765"/>
      <c r="AK24" s="765"/>
      <c r="AL24" s="765"/>
    </row>
    <row s="12119" customFormat="1" customHeight="1" ht="15">
      <c r="A25" s="593"/>
      <c r="B25" s="593"/>
      <c r="C25" s="346"/>
      <c r="D25" s="2278"/>
      <c r="E25" s="2281"/>
      <c r="F25" s="2277"/>
      <c r="G25" s="591"/>
      <c r="H25" s="347"/>
      <c r="I25" s="750" t="s">
        <v>123</v>
      </c>
      <c r="J25" s="347"/>
      <c r="K25" s="347"/>
      <c r="L25" s="347"/>
      <c r="M25" s="778"/>
      <c r="N25" s="774"/>
      <c r="O25" s="774"/>
      <c r="P25" s="774"/>
      <c r="Q25" s="774"/>
      <c r="R25" s="774"/>
      <c r="S25" s="774"/>
      <c r="T25" s="774"/>
      <c r="U25" s="775"/>
      <c r="V25" s="774"/>
      <c r="W25" s="774"/>
      <c r="X25" s="765"/>
      <c r="Y25" s="765"/>
      <c r="Z25" s="765"/>
      <c r="AA25" s="765"/>
      <c r="AB25" s="765"/>
      <c r="AC25" s="765"/>
      <c r="AD25" s="765"/>
      <c r="AE25" s="765"/>
      <c r="AF25" s="765"/>
      <c r="AG25" s="765"/>
      <c r="AH25" s="765"/>
      <c r="AI25" s="765"/>
      <c r="AJ25" s="765"/>
      <c r="AK25" s="765"/>
      <c r="AL25" s="765"/>
    </row>
    <row s="12053" customFormat="1" customHeight="1" ht="15">
      <c r="U26" s="355"/>
    </row>
    <row s="12053" customFormat="1" customHeight="1" ht="15">
      <c r="A27" s="1985" t="s">
        <v>1928</v>
      </c>
      <c r="B27" s="1985"/>
      <c r="C27" s="1985"/>
      <c r="D27" s="1985"/>
      <c r="E27" s="1985"/>
      <c r="F27" s="1985"/>
      <c r="G27" s="1985"/>
      <c r="H27" s="1985"/>
      <c r="I27" s="1985"/>
      <c r="J27" s="1985"/>
      <c r="K27" s="1985"/>
      <c r="L27" s="1985"/>
      <c r="M27" s="1985"/>
      <c r="N27" s="1985"/>
      <c r="O27" s="1985"/>
      <c r="P27" s="1985"/>
      <c r="Q27" s="1985"/>
      <c r="R27" s="1985"/>
      <c r="S27" s="1985"/>
      <c r="T27" s="1985"/>
      <c r="U27" s="354"/>
      <c r="V27" s="1985"/>
      <c r="W27" s="1985"/>
    </row>
    <row s="12053" customFormat="1" customHeight="1" ht="15">
      <c r="U28" s="355"/>
    </row>
    <row s="12119" customFormat="1" customHeight="1" ht="15">
      <c r="A29" s="593"/>
      <c r="B29" s="593"/>
      <c r="C29" s="346"/>
      <c r="D29" s="1991"/>
      <c r="E29" s="1991"/>
      <c r="F29" s="1991"/>
      <c r="G29" s="2731" t="s">
        <v>437</v>
      </c>
      <c r="H29" s="2273">
        <v>1</v>
      </c>
      <c r="I29" s="2732" t="str">
        <f>IF(U29="","",INDEX(TERRITORY_MR_LIST,MATCH(U29,TERRITORY_LIST_ID,0)))</f>
        <v/>
      </c>
      <c r="J29" s="2277" t="s">
        <v>19</v>
      </c>
      <c r="K29" s="1002"/>
      <c r="L29" s="1952" t="s">
        <v>112</v>
      </c>
      <c r="M29" s="773"/>
      <c r="N29" s="774"/>
      <c r="O29" s="774"/>
      <c r="P29" s="774"/>
      <c r="Q29" s="774"/>
      <c r="R29" s="774"/>
      <c r="S29" s="774"/>
      <c r="T29" s="774"/>
      <c r="U29" s="775"/>
      <c r="V29" s="774"/>
      <c r="W29" s="774"/>
      <c r="X29" s="765"/>
      <c r="Y29" s="765" t="s">
        <v>121</v>
      </c>
      <c r="Z29" s="765">
        <v>1705000</v>
      </c>
      <c r="AA29" s="765"/>
      <c r="AB29" s="765"/>
      <c r="AC29" s="765"/>
      <c r="AD29" s="765"/>
      <c r="AE29" s="765"/>
      <c r="AF29" s="765"/>
      <c r="AG29" s="765"/>
      <c r="AH29" s="765"/>
      <c r="AI29" s="765"/>
      <c r="AJ29" s="765"/>
      <c r="AK29" s="765"/>
      <c r="AL29" s="765"/>
    </row>
    <row s="12119" customFormat="1" customHeight="1" ht="15">
      <c r="A30" s="593"/>
      <c r="B30" s="593"/>
      <c r="C30" s="346"/>
      <c r="D30" s="1991"/>
      <c r="E30" s="1991"/>
      <c r="F30" s="1991"/>
      <c r="G30" s="2731"/>
      <c r="H30" s="2273"/>
      <c r="I30" s="2732"/>
      <c r="J30" s="2277"/>
      <c r="K30" s="591"/>
      <c r="L30" s="347"/>
      <c r="M30" s="777" t="s">
        <v>122</v>
      </c>
      <c r="N30" s="774"/>
      <c r="O30" s="774"/>
      <c r="P30" s="774"/>
      <c r="Q30" s="774"/>
      <c r="R30" s="774"/>
      <c r="S30" s="774"/>
      <c r="T30" s="774"/>
      <c r="U30" s="775"/>
      <c r="V30" s="774"/>
      <c r="W30" s="774"/>
      <c r="X30" s="765"/>
      <c r="Y30" s="765"/>
      <c r="Z30" s="765"/>
      <c r="AA30" s="765"/>
      <c r="AB30" s="765"/>
      <c r="AC30" s="765"/>
      <c r="AD30" s="765"/>
      <c r="AE30" s="765"/>
      <c r="AF30" s="765"/>
      <c r="AG30" s="765"/>
      <c r="AH30" s="765"/>
      <c r="AI30" s="765"/>
      <c r="AJ30" s="765"/>
      <c r="AK30" s="765"/>
      <c r="AL30" s="765"/>
    </row>
    <row s="12053" customFormat="1" customHeight="1" ht="15">
      <c r="U31" s="355"/>
    </row>
    <row s="12053" customFormat="1" customHeight="1" ht="15">
      <c r="A32" s="1985" t="s">
        <v>1929</v>
      </c>
      <c r="B32" s="1985"/>
      <c r="C32" s="1985"/>
      <c r="D32" s="1985"/>
      <c r="E32" s="1985"/>
      <c r="F32" s="1985"/>
      <c r="G32" s="1985"/>
      <c r="H32" s="1985"/>
      <c r="I32" s="1985"/>
      <c r="J32" s="1985"/>
      <c r="K32" s="1985"/>
      <c r="L32" s="1985"/>
      <c r="M32" s="1985"/>
      <c r="N32" s="1985"/>
      <c r="O32" s="1985"/>
      <c r="P32" s="1985"/>
      <c r="Q32" s="1985"/>
      <c r="R32" s="1985"/>
      <c r="S32" s="1985"/>
      <c r="T32" s="1985"/>
      <c r="U32" s="354"/>
      <c r="V32" s="1985"/>
      <c r="W32" s="1985"/>
    </row>
    <row s="12053" customFormat="1" customHeight="1" ht="15">
      <c r="U33" s="355"/>
    </row>
    <row s="12119" customFormat="1" customHeight="1" ht="15">
      <c r="A34" s="593"/>
      <c r="B34" s="593"/>
      <c r="C34" s="346"/>
      <c r="D34" s="1991"/>
      <c r="E34" s="1991"/>
      <c r="F34" s="1991"/>
      <c r="G34" s="1991"/>
      <c r="H34" s="1991"/>
      <c r="I34" s="1991"/>
      <c r="J34" s="1991"/>
      <c r="K34" s="1969" t="s">
        <v>437</v>
      </c>
      <c r="L34" s="1899" t="s">
        <v>112</v>
      </c>
      <c r="M34" s="981"/>
      <c r="N34" s="982"/>
      <c r="O34" s="774"/>
      <c r="P34" s="774"/>
      <c r="Q34" s="774"/>
      <c r="R34" s="774"/>
      <c r="S34" s="774"/>
      <c r="T34" s="774"/>
      <c r="U34" s="775"/>
      <c r="V34" s="774"/>
      <c r="W34" s="774"/>
      <c r="X34" s="765"/>
      <c r="Y34" s="765" t="s">
        <v>121</v>
      </c>
      <c r="Z34" s="765">
        <v>1705000</v>
      </c>
      <c r="AA34" s="765"/>
      <c r="AB34" s="765"/>
      <c r="AC34" s="765"/>
      <c r="AD34" s="765"/>
      <c r="AE34" s="765"/>
      <c r="AF34" s="765"/>
      <c r="AG34" s="765"/>
      <c r="AH34" s="765"/>
      <c r="AI34" s="765"/>
      <c r="AJ34" s="765"/>
      <c r="AK34" s="765"/>
      <c r="AL34" s="765"/>
    </row>
    <row s="12053" customFormat="1" customHeight="1" ht="15">
      <c r="U35" s="355"/>
    </row>
    <row s="12053" customFormat="1" customHeight="1" ht="15">
      <c r="U36" s="355"/>
    </row>
    <row s="15413" customFormat="1" customHeight="1" ht="11.25">
      <c r="A37" s="1985" t="s">
        <v>1930</v>
      </c>
    </row>
    <row customHeight="1" ht="11.25"/>
    <row s="12623" customFormat="1" customHeight="1" ht="22.5">
      <c r="A39" s="1961"/>
      <c r="B39" s="627"/>
      <c r="C39" s="1029"/>
      <c r="D39" s="610"/>
      <c r="E39" s="1030"/>
      <c r="F39" s="1982"/>
      <c r="G39" s="1992"/>
      <c r="H39" s="645"/>
    </row>
    <row customHeight="1" ht="11.25"/>
    <row s="15413" customFormat="1" customHeight="1" ht="11.25">
      <c r="A41" s="1985" t="s">
        <v>1931</v>
      </c>
    </row>
    <row customHeight="1" ht="11.25"/>
    <row s="12623" customFormat="1" customHeight="1" ht="22.5">
      <c r="A43" s="627"/>
      <c r="B43" s="627"/>
      <c r="C43" s="627"/>
      <c r="D43" s="610"/>
      <c r="E43" s="1030"/>
      <c r="F43" s="1031"/>
      <c r="G43" s="1992"/>
      <c r="H43" s="645"/>
    </row>
    <row customHeight="1" ht="11.25"/>
    <row s="15413" customFormat="1" customHeight="1" ht="11.25">
      <c r="A45" s="1985" t="s">
        <v>1932</v>
      </c>
    </row>
    <row customHeight="1" ht="11.25"/>
    <row s="12623" customFormat="1" customHeight="1" ht="24">
      <c r="A47" s="2372" t="s">
        <v>325</v>
      </c>
      <c r="B47" s="672"/>
      <c r="C47" s="2383"/>
      <c r="D47" s="615" t="str">
        <f>A47</f>
        <v>5.1</v>
      </c>
      <c r="E47" s="612" t="s">
        <v>326</v>
      </c>
      <c r="F47" s="2146" t="s">
        <v>318</v>
      </c>
      <c r="G47" s="614" t="s">
        <v>327</v>
      </c>
      <c r="H47" s="645"/>
      <c r="I47" s="1022"/>
    </row>
    <row s="12623" customFormat="1" customHeight="1" ht="22.5">
      <c r="A48" s="2372"/>
      <c r="B48" s="672"/>
      <c r="C48" s="2383"/>
      <c r="D48" s="610" t="str">
        <f>D47&amp;".1"</f>
        <v>5.1.1</v>
      </c>
      <c r="E48" s="609" t="s">
        <v>328</v>
      </c>
      <c r="F48" s="2147" t="s">
        <v>28</v>
      </c>
      <c r="G48" s="644"/>
      <c r="H48" s="645"/>
      <c r="I48" s="1022"/>
    </row>
    <row s="12623" customFormat="1" customHeight="1" ht="22.5">
      <c r="A49" s="2372"/>
      <c r="B49" s="672"/>
      <c r="C49" s="2383"/>
      <c r="D49" s="610" t="str">
        <f>D47&amp;".2"</f>
        <v>5.1.2</v>
      </c>
      <c r="E49" s="609" t="s">
        <v>329</v>
      </c>
      <c r="F49" s="1902" t="s">
        <v>28</v>
      </c>
      <c r="G49" s="614" t="s">
        <v>330</v>
      </c>
      <c r="H49" s="645"/>
      <c r="I49" s="1022"/>
    </row>
    <row s="12623" customFormat="1" customHeight="1" ht="22.5">
      <c r="A50" s="2372"/>
      <c r="B50" s="672"/>
      <c r="C50" s="2383"/>
      <c r="D50" s="610" t="str">
        <f>D47&amp;".3"</f>
        <v>5.1.3</v>
      </c>
      <c r="E50" s="609" t="s">
        <v>331</v>
      </c>
      <c r="F50" s="2147" t="s">
        <v>28</v>
      </c>
      <c r="G50" s="644"/>
      <c r="H50" s="645"/>
      <c r="I50" s="1022"/>
    </row>
    <row s="12623" customFormat="1" customHeight="1" ht="22.5">
      <c r="A51" s="2372"/>
      <c r="B51" s="672"/>
      <c r="C51" s="2383"/>
      <c r="D51" s="610" t="str">
        <f>D47&amp;".4"</f>
        <v>5.1.4</v>
      </c>
      <c r="E51" s="609" t="s">
        <v>332</v>
      </c>
      <c r="F51" s="2147" t="s">
        <v>28</v>
      </c>
      <c r="G51" s="614" t="s">
        <v>333</v>
      </c>
      <c r="H51" s="645"/>
      <c r="I51" s="1022"/>
    </row>
    <row r="54" s="15413" customFormat="1" customHeight="1" ht="17.25">
      <c r="A54" s="1985" t="s">
        <v>1933</v>
      </c>
    </row>
    <row r="56" s="11888" customFormat="1" customHeight="1" ht="18.75">
      <c r="A56" s="259"/>
      <c r="B56" s="1993"/>
      <c r="C56" s="1993"/>
      <c r="D56" s="1994"/>
      <c r="E56" s="1979"/>
      <c r="F56" s="1038">
        <v>13</v>
      </c>
      <c r="G56" s="1037"/>
      <c r="H56" s="963"/>
      <c r="I56" s="961"/>
      <c r="J56" s="690" t="s">
        <v>64</v>
      </c>
      <c r="K56" s="1995" t="s">
        <v>28</v>
      </c>
      <c r="L56" s="259"/>
      <c r="M56" s="1806"/>
      <c r="N56" s="1806"/>
      <c r="O56" s="1806"/>
      <c r="P56" s="686" t="s">
        <v>404</v>
      </c>
      <c r="Q56" s="686" t="s">
        <v>405</v>
      </c>
      <c r="R56" s="687" t="s">
        <v>406</v>
      </c>
      <c r="S56" s="1806" t="s">
        <v>407</v>
      </c>
      <c r="T56" s="1806"/>
      <c r="U56" s="1806"/>
      <c r="V56" s="1806"/>
    </row>
    <row r="58" s="15413" customFormat="1" customHeight="1" ht="11.25">
      <c r="A58" s="1985" t="s">
        <v>1934</v>
      </c>
    </row>
    <row r="60" s="11913" customFormat="1" customHeight="1" ht="14.25">
      <c r="C60" s="1858"/>
      <c r="D60" s="2039"/>
      <c r="E60" s="1947" t="s">
        <v>28</v>
      </c>
      <c r="F60" s="2038"/>
      <c r="G60" s="1026"/>
      <c r="H60" s="1948"/>
      <c r="I60" s="1948"/>
      <c r="J60" s="603"/>
      <c r="K60" s="2033"/>
      <c r="L60" s="602"/>
      <c r="M60" s="2033"/>
      <c r="N60" s="603"/>
      <c r="O60" s="2033"/>
      <c r="P60" s="603"/>
      <c r="Q60" s="2033"/>
      <c r="R60" s="603"/>
      <c r="S60" s="1024"/>
      <c r="T60" s="1948"/>
      <c r="U60" s="603"/>
      <c r="V60" s="603"/>
      <c r="W60" s="2037"/>
      <c r="X60" s="1948"/>
      <c r="Y60" s="603"/>
      <c r="Z60" s="603"/>
      <c r="AA60" s="2037"/>
      <c r="AB60" s="1948"/>
      <c r="AC60" s="603"/>
      <c r="AD60" s="2037"/>
      <c r="AE60" s="259"/>
      <c r="AF60" s="259"/>
      <c r="AG60" s="259"/>
      <c r="AH60" s="259"/>
      <c r="AJ60" s="1806"/>
      <c r="AK60" s="1806"/>
      <c r="AL60" s="1806"/>
      <c r="AM60" s="1806"/>
      <c r="AN60" s="1806"/>
      <c r="AO60" s="1806"/>
      <c r="AP60" s="1794" t="s">
        <v>393</v>
      </c>
      <c r="AQ60" s="1794" t="s">
        <v>393</v>
      </c>
      <c r="AR60" s="1806"/>
      <c r="AS60" s="1806"/>
    </row>
    <row r="62" s="15413" customFormat="1" customHeight="1" ht="11.25">
      <c r="A62" s="1985" t="s">
        <v>1935</v>
      </c>
    </row>
    <row r="64" s="15059" customFormat="1" customHeight="1" ht="15">
      <c r="A64" s="315" t="s">
        <v>93</v>
      </c>
      <c r="B64" s="295" t="s">
        <v>28</v>
      </c>
      <c r="C64" s="1996"/>
      <c r="D64" s="298"/>
      <c r="E64" s="551"/>
      <c r="F64" s="551"/>
      <c r="G64" s="1973"/>
      <c r="H64" s="1995"/>
      <c r="I64" s="1974"/>
      <c r="K64" s="442"/>
      <c r="L64" s="443"/>
    </row>
    <row r="66" s="15413" customFormat="1" customHeight="1" ht="11.25">
      <c r="A66" s="1985" t="s">
        <v>1936</v>
      </c>
    </row>
    <row r="68" s="11913" customFormat="1" customHeight="1" ht="14.25">
      <c r="A68" s="513"/>
      <c r="B68" s="1330"/>
      <c r="C68" s="546"/>
      <c r="D68" s="1980"/>
      <c r="E68" s="1056"/>
      <c r="F68" s="1995"/>
      <c r="G68" s="259"/>
      <c r="I68" s="1794"/>
      <c r="J68" s="1794"/>
    </row>
    <row r="70" s="15413" customFormat="1" customHeight="1" ht="11.25">
      <c r="A70" s="1985" t="s">
        <v>1937</v>
      </c>
    </row>
    <row r="72" s="11913" customFormat="1" customHeight="1" ht="27">
      <c r="A72" s="1336"/>
      <c r="B72" s="1336"/>
      <c r="C72" s="1336"/>
      <c r="D72" s="1330"/>
      <c r="E72" s="1997"/>
      <c r="F72" s="2751"/>
      <c r="G72" s="2752"/>
      <c r="H72" s="2753" t="s">
        <v>64</v>
      </c>
      <c r="I72" s="2755"/>
      <c r="J72" s="2718"/>
      <c r="K72" s="2757"/>
      <c r="L72" s="2720"/>
      <c r="M72" s="2720"/>
      <c r="N72" s="2721"/>
      <c r="O72" s="2721"/>
      <c r="P72" s="2722">
        <f>DATEDIF(DATEVALUE(N72),DATEVALUE(O72),"y")&amp;"г. "&amp;DATEDIF(DATEVALUE(N72),DATEVALUE(O72),"ym")&amp;"мес. "&amp;DATEVALUE(O72)-DATE(YEAR(DATEVALUE(O72)),MONTH(DATEVALUE(O72)),1)&amp;"дн. "</f>
      </c>
      <c r="Q72" s="2717"/>
      <c r="R72" s="2717"/>
      <c r="S72" s="2717"/>
      <c r="T72" s="2718"/>
      <c r="U72" s="2717"/>
      <c r="V72" s="2717"/>
      <c r="W72" s="2717"/>
      <c r="X72" s="2718"/>
      <c r="Y72" s="2715" t="s">
        <v>64</v>
      </c>
      <c r="Z72" s="1978"/>
      <c r="AA72" s="1962">
        <v>1</v>
      </c>
      <c r="AB72" s="1412"/>
      <c r="AD72" s="1806" t="s">
        <v>1938</v>
      </c>
    </row>
    <row s="11913" customFormat="1" customHeight="1" ht="10.5">
      <c r="A73" s="1336"/>
      <c r="B73" s="1336"/>
      <c r="C73" s="1336"/>
      <c r="D73" s="1330"/>
      <c r="E73" s="1117"/>
      <c r="F73" s="2751"/>
      <c r="G73" s="2752"/>
      <c r="H73" s="2754"/>
      <c r="I73" s="2756"/>
      <c r="J73" s="2719"/>
      <c r="K73" s="2757"/>
      <c r="L73" s="2720"/>
      <c r="M73" s="2720"/>
      <c r="N73" s="2721"/>
      <c r="O73" s="2721"/>
      <c r="P73" s="2722"/>
      <c r="Q73" s="2717"/>
      <c r="R73" s="2717"/>
      <c r="S73" s="2717"/>
      <c r="T73" s="2719"/>
      <c r="U73" s="2717"/>
      <c r="V73" s="2717"/>
      <c r="W73" s="2717"/>
      <c r="X73" s="2719"/>
      <c r="Y73" s="2716"/>
      <c r="Z73" s="517"/>
      <c r="AA73" s="742"/>
      <c r="AB73" s="822" t="s">
        <v>1939</v>
      </c>
    </row>
    <row r="75" s="15413" customFormat="1" customHeight="1" ht="11.25">
      <c r="A75" s="1985" t="s">
        <v>1940</v>
      </c>
    </row>
    <row r="77" s="11913" customFormat="1" customHeight="1" ht="27">
      <c r="A77" s="1336"/>
      <c r="B77" s="1336"/>
      <c r="C77" s="1336"/>
      <c r="D77" s="1330"/>
      <c r="E77" s="1997"/>
      <c r="F77" s="1967"/>
      <c r="G77" s="1917"/>
      <c r="H77" s="1918"/>
      <c r="I77" s="1919"/>
      <c r="J77" s="1920"/>
      <c r="K77" s="1921"/>
      <c r="L77" s="1922"/>
      <c r="M77" s="1922"/>
      <c r="N77" s="1923"/>
      <c r="O77" s="1923"/>
      <c r="P77" s="1924"/>
      <c r="Q77" s="1925"/>
      <c r="R77" s="1925"/>
      <c r="S77" s="1925"/>
      <c r="T77" s="1920"/>
      <c r="U77" s="1925"/>
      <c r="V77" s="1925"/>
      <c r="W77" s="1925"/>
      <c r="X77" s="1920"/>
      <c r="Y77" s="1918"/>
      <c r="Z77" s="1978"/>
      <c r="AA77" s="1962">
        <v>1</v>
      </c>
      <c r="AB77" s="1412"/>
      <c r="AD77" s="1806" t="s">
        <v>1938</v>
      </c>
    </row>
    <row r="79" s="15413" customFormat="1" customHeight="1" ht="11.25">
      <c r="A79" s="1985" t="s">
        <v>1941</v>
      </c>
    </row>
    <row customHeight="1" ht="17.25"/>
    <row s="11913" customFormat="1" customHeight="1" ht="21">
      <c r="A81" s="1337"/>
      <c r="B81" s="1336"/>
      <c r="C81" s="1336"/>
      <c r="D81" s="1330"/>
      <c r="E81" s="1340"/>
      <c r="F81" s="1292">
        <f>INDEX(IP_MAIN_LIST_NAME_IP,MATCH(A81,IP_MAIN_LIST_IP_ID,0))&amp;" ("&amp;INDEX(IP_MAIN_START_DATE,MATCH(A81,IP_MAIN_LIST_IP_ID,0))&amp;"-"&amp;INDEX(IP_MAIN_END_DATE,MATCH(A81,IP_MAIN_LIST_IP_ID,0))&amp;")"</f>
      </c>
      <c r="G81" s="1293"/>
      <c r="H81" s="1293"/>
      <c r="I81" s="1355"/>
      <c r="J81" s="1355"/>
      <c r="K81" s="1356"/>
      <c r="L81" s="1356"/>
      <c r="M81" s="1356"/>
      <c r="N81" s="1357"/>
      <c r="O81" s="1357"/>
      <c r="P81" s="1357"/>
      <c r="Q81" s="1357"/>
      <c r="R81" s="1357"/>
      <c r="S81" s="1357"/>
      <c r="T81" s="1357"/>
      <c r="U81" s="1357"/>
      <c r="V81" s="1357"/>
      <c r="W81" s="1357"/>
      <c r="X81" s="1357"/>
      <c r="Y81" s="1357"/>
      <c r="Z81" s="1357"/>
      <c r="AA81" s="1357"/>
      <c r="AB81" s="1357"/>
      <c r="AC81" s="1357"/>
      <c r="AD81" s="1357"/>
      <c r="AE81" s="1358"/>
      <c r="AF81" s="1356"/>
      <c r="AG81" s="1356"/>
      <c r="AH81" s="1356"/>
      <c r="AI81" s="1356"/>
      <c r="AJ81" s="1356"/>
      <c r="AK81" s="1356"/>
      <c r="AL81" s="2158"/>
      <c r="AM81" s="1993"/>
      <c r="AN81" s="1993"/>
      <c r="AO81" s="1993"/>
      <c r="AP81" s="1993"/>
      <c r="AQ81" s="1993"/>
      <c r="AR81" s="1993"/>
      <c r="AS81" s="1993"/>
      <c r="AT81" s="1993"/>
      <c r="AU81" s="1993"/>
      <c r="AV81" s="1993"/>
      <c r="AW81" s="1993"/>
      <c r="AX81" s="1993"/>
      <c r="AY81" s="1993"/>
      <c r="AZ81" s="1993"/>
      <c r="BA81" s="1993"/>
      <c r="BB81" s="1993"/>
      <c r="BC81" s="1993"/>
      <c r="BD81" s="1993"/>
      <c r="BE81" s="1993"/>
      <c r="BF81" s="1993"/>
    </row>
    <row s="11913" customFormat="1" customHeight="1" ht="0.75">
      <c r="A82" s="1336"/>
      <c r="B82" s="1336"/>
      <c r="C82" s="1336"/>
      <c r="D82" s="1330"/>
      <c r="E82" s="1340"/>
      <c r="F82" s="2706"/>
      <c r="G82" s="2685"/>
      <c r="H82" s="2710" t="s">
        <v>388</v>
      </c>
      <c r="I82" s="2711"/>
      <c r="J82" s="2712"/>
      <c r="K82" s="2712"/>
      <c r="L82" s="2704"/>
      <c r="M82" s="2438"/>
      <c r="N82" s="2206"/>
      <c r="O82" s="2205"/>
      <c r="P82" s="2206"/>
      <c r="Q82" s="2206"/>
      <c r="R82" s="2206"/>
      <c r="S82" s="2206"/>
      <c r="T82" s="2206"/>
      <c r="U82" s="2206"/>
      <c r="V82" s="2206"/>
      <c r="W82" s="2206"/>
      <c r="X82" s="2206"/>
      <c r="Y82" s="2206"/>
      <c r="Z82" s="2206"/>
      <c r="AA82" s="2206"/>
      <c r="AB82" s="2206"/>
      <c r="AC82" s="2206"/>
      <c r="AD82" s="2206"/>
      <c r="AE82" s="2206"/>
      <c r="AF82" s="2708"/>
      <c r="AG82" s="2704"/>
      <c r="AH82" s="2704"/>
      <c r="AI82" s="2708"/>
      <c r="AJ82" s="2704"/>
      <c r="AK82" s="2704"/>
      <c r="AL82" s="2158"/>
      <c r="AM82" s="1993"/>
      <c r="AN82" s="1993"/>
      <c r="AO82" s="1993"/>
      <c r="AP82" s="1993"/>
      <c r="AQ82" s="1993"/>
      <c r="AR82" s="1993"/>
      <c r="AS82" s="1993"/>
      <c r="AT82" s="1993"/>
      <c r="AU82" s="1993"/>
      <c r="AV82" s="1993"/>
      <c r="AW82" s="1993"/>
      <c r="AX82" s="1993"/>
      <c r="AY82" s="1993"/>
      <c r="AZ82" s="1993"/>
      <c r="BA82" s="1993"/>
      <c r="BB82" s="1993"/>
      <c r="BC82" s="1993"/>
      <c r="BD82" s="1993"/>
      <c r="BE82" s="1993"/>
      <c r="BF82" s="1993"/>
    </row>
    <row s="11913" customFormat="1" customHeight="1" ht="0.75">
      <c r="A83" s="1336"/>
      <c r="B83" s="1336"/>
      <c r="C83" s="1336"/>
      <c r="D83" s="1330"/>
      <c r="E83" s="1340"/>
      <c r="F83" s="2706"/>
      <c r="G83" s="2685"/>
      <c r="H83" s="2710"/>
      <c r="I83" s="2711"/>
      <c r="J83" s="2712"/>
      <c r="K83" s="2712"/>
      <c r="L83" s="2704"/>
      <c r="M83" s="2438"/>
      <c r="N83" s="2713"/>
      <c r="O83" s="2714"/>
      <c r="P83" s="2758"/>
      <c r="Q83" s="2709"/>
      <c r="R83" s="2709"/>
      <c r="S83" s="2709"/>
      <c r="T83" s="2709"/>
      <c r="U83" s="2709"/>
      <c r="V83" s="2709"/>
      <c r="W83" s="2709"/>
      <c r="X83" s="2709"/>
      <c r="Y83" s="2709"/>
      <c r="Z83" s="2207"/>
      <c r="AA83" s="2208"/>
      <c r="AB83" s="2208"/>
      <c r="AC83" s="2209"/>
      <c r="AD83" s="2209"/>
      <c r="AE83" s="2210"/>
      <c r="AF83" s="2708"/>
      <c r="AG83" s="2704"/>
      <c r="AH83" s="2704"/>
      <c r="AI83" s="2708"/>
      <c r="AJ83" s="2704"/>
      <c r="AK83" s="2704"/>
      <c r="AL83" s="2158"/>
      <c r="AM83" s="1993"/>
      <c r="AN83" s="1993"/>
      <c r="AO83" s="1993"/>
      <c r="AP83" s="1993"/>
      <c r="AQ83" s="1993"/>
      <c r="AR83" s="1993"/>
      <c r="AS83" s="1993"/>
      <c r="AT83" s="1993"/>
      <c r="AU83" s="1993"/>
      <c r="AV83" s="1993"/>
      <c r="AW83" s="1993"/>
      <c r="AX83" s="1993"/>
      <c r="AY83" s="1993"/>
      <c r="AZ83" s="1993"/>
      <c r="BA83" s="1993"/>
      <c r="BB83" s="1993"/>
      <c r="BC83" s="1993"/>
      <c r="BD83" s="1993"/>
      <c r="BE83" s="1993"/>
      <c r="BF83" s="1993"/>
    </row>
    <row s="11913" customFormat="1" customHeight="1" ht="0.75">
      <c r="A84" s="1336"/>
      <c r="B84" s="1336"/>
      <c r="C84" s="1336"/>
      <c r="D84" s="1330"/>
      <c r="E84" s="1340"/>
      <c r="F84" s="2706"/>
      <c r="G84" s="2685"/>
      <c r="H84" s="2710"/>
      <c r="I84" s="2711"/>
      <c r="J84" s="2712"/>
      <c r="K84" s="2712"/>
      <c r="L84" s="2704"/>
      <c r="M84" s="2438"/>
      <c r="N84" s="2713"/>
      <c r="O84" s="2714"/>
      <c r="P84" s="2759"/>
      <c r="Q84" s="2709"/>
      <c r="R84" s="2709"/>
      <c r="S84" s="2709"/>
      <c r="T84" s="2709"/>
      <c r="U84" s="2709"/>
      <c r="V84" s="2709"/>
      <c r="W84" s="2709"/>
      <c r="X84" s="2709"/>
      <c r="Y84" s="2709"/>
      <c r="Z84" s="2211"/>
      <c r="AA84" s="2212"/>
      <c r="AB84" s="2213"/>
      <c r="AC84" s="2214"/>
      <c r="AD84" s="2213"/>
      <c r="AE84" s="2214"/>
      <c r="AF84" s="2708"/>
      <c r="AG84" s="2704"/>
      <c r="AH84" s="2704"/>
      <c r="AI84" s="2708"/>
      <c r="AJ84" s="2704"/>
      <c r="AK84" s="2704"/>
      <c r="AL84" s="2158"/>
      <c r="AM84" s="1993"/>
      <c r="AN84" s="1993"/>
      <c r="AO84" s="1993"/>
      <c r="AP84" s="1993"/>
      <c r="AQ84" s="1993"/>
      <c r="AR84" s="1993"/>
      <c r="AS84" s="1993"/>
      <c r="AT84" s="1993"/>
      <c r="AU84" s="1993"/>
      <c r="AV84" s="1993"/>
      <c r="AW84" s="1993"/>
      <c r="AX84" s="1993"/>
      <c r="AY84" s="1993"/>
      <c r="AZ84" s="1993"/>
      <c r="BA84" s="1993"/>
      <c r="BB84" s="1993"/>
      <c r="BC84" s="1993"/>
      <c r="BD84" s="1993"/>
      <c r="BE84" s="1993"/>
      <c r="BF84" s="1993"/>
    </row>
    <row s="11913" customFormat="1" customHeight="1" ht="0.75">
      <c r="A85" s="1336"/>
      <c r="B85" s="1336"/>
      <c r="C85" s="1336"/>
      <c r="D85" s="1330"/>
      <c r="E85" s="1340"/>
      <c r="F85" s="2706"/>
      <c r="G85" s="2685"/>
      <c r="H85" s="2710"/>
      <c r="I85" s="2711"/>
      <c r="J85" s="2712"/>
      <c r="K85" s="2712"/>
      <c r="L85" s="2704"/>
      <c r="M85" s="2438"/>
      <c r="N85" s="2713"/>
      <c r="O85" s="2714"/>
      <c r="P85" s="2760"/>
      <c r="Q85" s="2709"/>
      <c r="R85" s="2709"/>
      <c r="S85" s="2709"/>
      <c r="T85" s="2709"/>
      <c r="U85" s="2709"/>
      <c r="V85" s="2709"/>
      <c r="W85" s="2709"/>
      <c r="X85" s="2709"/>
      <c r="Y85" s="2709"/>
      <c r="Z85" s="2207"/>
      <c r="AA85" s="2208"/>
      <c r="AB85" s="2215"/>
      <c r="AC85" s="2209"/>
      <c r="AD85" s="2209"/>
      <c r="AE85" s="2216"/>
      <c r="AF85" s="2708"/>
      <c r="AG85" s="2704"/>
      <c r="AH85" s="2704"/>
      <c r="AI85" s="2708"/>
      <c r="AJ85" s="2704"/>
      <c r="AK85" s="2704"/>
      <c r="AL85" s="2158"/>
      <c r="AM85" s="1993"/>
      <c r="AN85" s="1993"/>
      <c r="AO85" s="1993"/>
      <c r="AP85" s="1993"/>
      <c r="AQ85" s="1993"/>
      <c r="AR85" s="1993"/>
      <c r="AS85" s="1993"/>
      <c r="AT85" s="1993"/>
      <c r="AU85" s="1993"/>
      <c r="AV85" s="1993"/>
      <c r="AW85" s="1993"/>
      <c r="AX85" s="1993"/>
      <c r="AY85" s="1993"/>
      <c r="AZ85" s="1993"/>
      <c r="BA85" s="1993"/>
      <c r="BB85" s="1993"/>
      <c r="BC85" s="1993"/>
      <c r="BD85" s="1993"/>
      <c r="BE85" s="1993"/>
      <c r="BF85" s="1993"/>
    </row>
    <row s="11913" customFormat="1" customHeight="1" ht="0.75">
      <c r="A86" s="1336"/>
      <c r="B86" s="1336"/>
      <c r="C86" s="1336"/>
      <c r="D86" s="1330"/>
      <c r="E86" s="1340"/>
      <c r="F86" s="2706"/>
      <c r="G86" s="2685"/>
      <c r="H86" s="2710"/>
      <c r="I86" s="2711"/>
      <c r="J86" s="2712"/>
      <c r="K86" s="2712"/>
      <c r="L86" s="2704"/>
      <c r="M86" s="2438"/>
      <c r="N86" s="2208"/>
      <c r="O86" s="2208"/>
      <c r="P86" s="2215"/>
      <c r="Q86" s="2208"/>
      <c r="R86" s="2208"/>
      <c r="S86" s="2208"/>
      <c r="T86" s="2208"/>
      <c r="U86" s="2208"/>
      <c r="V86" s="2208"/>
      <c r="W86" s="2208"/>
      <c r="X86" s="2208"/>
      <c r="Y86" s="2208"/>
      <c r="Z86" s="2208"/>
      <c r="AA86" s="2208"/>
      <c r="AB86" s="2208"/>
      <c r="AC86" s="2208"/>
      <c r="AD86" s="2208"/>
      <c r="AE86" s="2217"/>
      <c r="AF86" s="2708"/>
      <c r="AG86" s="2704"/>
      <c r="AH86" s="2704"/>
      <c r="AI86" s="2708"/>
      <c r="AJ86" s="2704"/>
      <c r="AK86" s="2704"/>
      <c r="AL86" s="2158"/>
      <c r="AM86" s="1993"/>
      <c r="AN86" s="1993"/>
      <c r="AO86" s="1993"/>
      <c r="AP86" s="1993"/>
      <c r="AQ86" s="1993"/>
      <c r="AR86" s="1993"/>
      <c r="AS86" s="1993"/>
      <c r="AT86" s="1993"/>
      <c r="AU86" s="1993"/>
      <c r="AV86" s="1993"/>
      <c r="AW86" s="1993"/>
      <c r="AX86" s="1993"/>
      <c r="AY86" s="1993"/>
      <c r="AZ86" s="1993"/>
      <c r="BA86" s="1993"/>
      <c r="BB86" s="1993"/>
      <c r="BC86" s="1993"/>
      <c r="BD86" s="1993"/>
      <c r="BE86" s="1993"/>
      <c r="BF86" s="1993"/>
    </row>
    <row s="11913" customFormat="1" customHeight="1" ht="12">
      <c r="A87" s="1336"/>
      <c r="B87" s="1336"/>
      <c r="C87" s="1336"/>
      <c r="D87" s="1330"/>
      <c r="E87" s="1340"/>
      <c r="F87" s="2707"/>
      <c r="G87" s="1360"/>
      <c r="H87" s="1360"/>
      <c r="I87" s="2705" t="s">
        <v>1942</v>
      </c>
      <c r="J87" s="2705"/>
      <c r="K87" s="2705"/>
      <c r="L87" s="1343"/>
      <c r="M87" s="1343"/>
      <c r="N87" s="1344"/>
      <c r="O87" s="1344"/>
      <c r="P87" s="1344"/>
      <c r="Q87" s="1344"/>
      <c r="R87" s="1344"/>
      <c r="S87" s="1344"/>
      <c r="T87" s="1344"/>
      <c r="U87" s="1344"/>
      <c r="V87" s="1344"/>
      <c r="W87" s="1344"/>
      <c r="X87" s="1344"/>
      <c r="Y87" s="1344"/>
      <c r="Z87" s="1344"/>
      <c r="AA87" s="1344"/>
      <c r="AB87" s="1344"/>
      <c r="AC87" s="1344"/>
      <c r="AD87" s="1344"/>
      <c r="AE87" s="1344"/>
      <c r="AF87" s="1344"/>
      <c r="AG87" s="1343"/>
      <c r="AH87" s="1343"/>
      <c r="AI87" s="1344"/>
      <c r="AJ87" s="1343"/>
      <c r="AK87" s="1344"/>
      <c r="AL87" s="2158"/>
      <c r="AM87" s="1993"/>
      <c r="AN87" s="1993"/>
      <c r="AO87" s="1993"/>
      <c r="AP87" s="1993"/>
      <c r="AQ87" s="1993"/>
      <c r="AR87" s="1993"/>
      <c r="AS87" s="1993"/>
      <c r="AT87" s="1993"/>
      <c r="AU87" s="1993"/>
      <c r="AV87" s="1993"/>
      <c r="AW87" s="1993"/>
      <c r="AX87" s="1993"/>
      <c r="AY87" s="1993"/>
      <c r="AZ87" s="1993"/>
      <c r="BA87" s="1993"/>
      <c r="BB87" s="1993"/>
      <c r="BC87" s="1993"/>
      <c r="BD87" s="1993"/>
      <c r="BE87" s="1993"/>
      <c r="BF87" s="1993"/>
    </row>
    <row r="89" s="15413" customFormat="1" customHeight="1" ht="11.25">
      <c r="A89" s="1985" t="s">
        <v>1943</v>
      </c>
    </row>
    <row r="91" s="11913" customFormat="1" customHeight="1" ht="11.25">
      <c r="A91" s="1336"/>
      <c r="B91" s="1336"/>
      <c r="C91" s="1336"/>
      <c r="D91" s="1330"/>
      <c r="E91" s="1340"/>
      <c r="F91" s="1999"/>
      <c r="G91" s="2000"/>
      <c r="H91" s="2000"/>
      <c r="I91" s="1934"/>
      <c r="J91" s="1934"/>
      <c r="K91" s="2001"/>
      <c r="L91" s="1934"/>
      <c r="M91" s="2000"/>
      <c r="N91" s="2678"/>
      <c r="O91" s="2761">
        <v>1</v>
      </c>
      <c r="P91" s="2680" t="s">
        <v>19</v>
      </c>
      <c r="Q91" s="2683" t="s">
        <v>28</v>
      </c>
      <c r="R91" s="2683" t="s">
        <v>28</v>
      </c>
      <c r="S91" s="2683" t="s">
        <v>28</v>
      </c>
      <c r="T91" s="2683" t="s">
        <v>28</v>
      </c>
      <c r="U91" s="2683" t="s">
        <v>28</v>
      </c>
      <c r="V91" s="2683" t="s">
        <v>28</v>
      </c>
      <c r="W91" s="2683" t="s">
        <v>28</v>
      </c>
      <c r="X91" s="2683" t="s">
        <v>28</v>
      </c>
      <c r="Y91" s="2683"/>
      <c r="Z91" s="1345"/>
      <c r="AA91" s="1346"/>
      <c r="AB91" s="1346"/>
      <c r="AC91" s="1350"/>
      <c r="AD91" s="1350"/>
      <c r="AE91" s="1350"/>
      <c r="AF91" s="2002"/>
      <c r="AG91" s="1929"/>
      <c r="AH91" s="1929"/>
      <c r="AI91" s="2002"/>
      <c r="AJ91" s="1929"/>
      <c r="AK91" s="2157"/>
      <c r="AL91" s="2158"/>
      <c r="AM91" s="1993"/>
      <c r="AN91" s="1993"/>
      <c r="AO91" s="1993"/>
      <c r="AP91" s="1993"/>
      <c r="AQ91" s="1993"/>
      <c r="AR91" s="1993"/>
      <c r="AS91" s="1993"/>
      <c r="AT91" s="1993"/>
      <c r="AU91" s="1993"/>
      <c r="AV91" s="1993"/>
      <c r="AW91" s="1993"/>
      <c r="AX91" s="1993"/>
      <c r="AY91" s="1993"/>
      <c r="AZ91" s="1993"/>
      <c r="BA91" s="1993"/>
      <c r="BB91" s="1993"/>
      <c r="BC91" s="1993"/>
      <c r="BD91" s="1993"/>
      <c r="BE91" s="1993"/>
      <c r="BF91" s="1993"/>
    </row>
    <row s="11913" customFormat="1" customHeight="1" ht="11.25">
      <c r="A92" s="1336"/>
      <c r="B92" s="1336"/>
      <c r="C92" s="1336"/>
      <c r="D92" s="1330"/>
      <c r="E92" s="1340"/>
      <c r="F92" s="1999"/>
      <c r="G92" s="2000"/>
      <c r="H92" s="2000"/>
      <c r="I92" s="1935"/>
      <c r="J92" s="1935"/>
      <c r="K92" s="2001"/>
      <c r="L92" s="1935"/>
      <c r="M92" s="2000"/>
      <c r="N92" s="2678"/>
      <c r="O92" s="2761"/>
      <c r="P92" s="2681"/>
      <c r="Q92" s="2683"/>
      <c r="R92" s="2683"/>
      <c r="S92" s="2684"/>
      <c r="T92" s="2683"/>
      <c r="U92" s="2683"/>
      <c r="V92" s="2683"/>
      <c r="W92" s="2683"/>
      <c r="X92" s="2683"/>
      <c r="Y92" s="2683"/>
      <c r="Z92" s="1998"/>
      <c r="AA92" s="1964">
        <v>1</v>
      </c>
      <c r="AB92" s="1349"/>
      <c r="AC92" s="1339"/>
      <c r="AD92" s="1349">
        <f>AB92</f>
        <v>0</v>
      </c>
      <c r="AE92" s="894"/>
      <c r="AF92" s="2001"/>
      <c r="AG92" s="1929"/>
      <c r="AH92" s="1929"/>
      <c r="AI92" s="2001"/>
      <c r="AJ92" s="1929"/>
      <c r="AK92" s="2157"/>
      <c r="AL92" s="2158"/>
      <c r="AM92" s="1993"/>
      <c r="AN92" s="1993"/>
      <c r="AO92" s="1993"/>
      <c r="AP92" s="1993"/>
      <c r="AQ92" s="1993"/>
      <c r="AR92" s="1993"/>
      <c r="AS92" s="1993"/>
      <c r="AT92" s="1993"/>
      <c r="AU92" s="1993"/>
      <c r="AV92" s="1993"/>
      <c r="AW92" s="1993"/>
      <c r="AX92" s="1993"/>
      <c r="AY92" s="1993"/>
      <c r="AZ92" s="1993"/>
      <c r="BA92" s="1993"/>
      <c r="BB92" s="1993"/>
      <c r="BC92" s="1993"/>
      <c r="BD92" s="1993"/>
      <c r="BE92" s="1993"/>
      <c r="BF92" s="1993"/>
    </row>
    <row s="11913" customFormat="1" customHeight="1" ht="11.25">
      <c r="A93" s="1336"/>
      <c r="B93" s="1336"/>
      <c r="C93" s="1336"/>
      <c r="D93" s="1330"/>
      <c r="E93" s="1340"/>
      <c r="F93" s="1999"/>
      <c r="G93" s="2000"/>
      <c r="H93" s="2000"/>
      <c r="I93" s="1936"/>
      <c r="J93" s="1936"/>
      <c r="K93" s="2001"/>
      <c r="L93" s="1936"/>
      <c r="M93" s="2000"/>
      <c r="N93" s="2678"/>
      <c r="O93" s="2761"/>
      <c r="P93" s="2682"/>
      <c r="Q93" s="2683"/>
      <c r="R93" s="2683"/>
      <c r="S93" s="2684"/>
      <c r="T93" s="2683"/>
      <c r="U93" s="2683"/>
      <c r="V93" s="2683"/>
      <c r="W93" s="2683"/>
      <c r="X93" s="2683"/>
      <c r="Y93" s="2683"/>
      <c r="Z93" s="1345"/>
      <c r="AA93" s="1346"/>
      <c r="AB93" s="1411" t="s">
        <v>1944</v>
      </c>
      <c r="AC93" s="1350"/>
      <c r="AD93" s="1350"/>
      <c r="AE93" s="1350"/>
      <c r="AF93" s="2003"/>
      <c r="AG93" s="1929"/>
      <c r="AH93" s="1929"/>
      <c r="AI93" s="2003"/>
      <c r="AJ93" s="1929"/>
      <c r="AK93" s="2157"/>
      <c r="AL93" s="2158"/>
      <c r="AM93" s="1993"/>
      <c r="AN93" s="1993"/>
      <c r="AO93" s="1993"/>
      <c r="AP93" s="1993"/>
      <c r="AQ93" s="1993"/>
      <c r="AR93" s="1993"/>
      <c r="AS93" s="1993"/>
      <c r="AT93" s="1993"/>
      <c r="AU93" s="1993"/>
      <c r="AV93" s="1993"/>
      <c r="AW93" s="1993"/>
      <c r="AX93" s="1993"/>
      <c r="AY93" s="1993"/>
      <c r="AZ93" s="1993"/>
      <c r="BA93" s="1993"/>
      <c r="BB93" s="1993"/>
      <c r="BC93" s="1993"/>
      <c r="BD93" s="1993"/>
      <c r="BE93" s="1993"/>
      <c r="BF93" s="1993"/>
    </row>
    <row r="95" s="15413" customFormat="1" customHeight="1" ht="11.25">
      <c r="A95" s="1985" t="s">
        <v>1945</v>
      </c>
    </row>
    <row r="97" s="11913" customFormat="1" customHeight="1" ht="11.25">
      <c r="A97" s="1336"/>
      <c r="B97" s="1336"/>
      <c r="C97" s="1336"/>
      <c r="D97" s="1330"/>
      <c r="E97" s="1340"/>
      <c r="F97" s="2000"/>
      <c r="G97" s="2000"/>
      <c r="H97" s="2000"/>
      <c r="I97" s="2000"/>
      <c r="J97" s="2000"/>
      <c r="K97" s="2000"/>
      <c r="L97" s="2000"/>
      <c r="M97" s="2000"/>
      <c r="N97" s="2000"/>
      <c r="O97" s="2000"/>
      <c r="P97" s="2000"/>
      <c r="Q97" s="2000"/>
      <c r="R97" s="2000"/>
      <c r="S97" s="2000"/>
      <c r="T97" s="2000"/>
      <c r="U97" s="2000"/>
      <c r="V97" s="2000"/>
      <c r="W97" s="2000"/>
      <c r="X97" s="2000"/>
      <c r="Y97" s="2000"/>
      <c r="Z97" s="2004"/>
      <c r="AA97" s="1984">
        <v>1</v>
      </c>
      <c r="AB97" s="1349"/>
      <c r="AC97" s="1339"/>
      <c r="AD97" s="1349">
        <f>AB97</f>
        <v>0</v>
      </c>
      <c r="AE97" s="1339"/>
      <c r="AF97" s="2001"/>
      <c r="AG97" s="1929"/>
      <c r="AH97" s="1929"/>
      <c r="AI97" s="2001"/>
      <c r="AJ97" s="1929"/>
      <c r="AK97" s="2157"/>
      <c r="AL97" s="2158"/>
      <c r="AM97" s="1993"/>
      <c r="AN97" s="1993"/>
      <c r="AO97" s="1993"/>
      <c r="AP97" s="1993"/>
      <c r="AQ97" s="1993"/>
      <c r="AR97" s="1993"/>
      <c r="AS97" s="1993"/>
      <c r="AT97" s="1993"/>
      <c r="AU97" s="1993"/>
      <c r="AV97" s="1993"/>
      <c r="AW97" s="1993"/>
      <c r="AX97" s="1993"/>
      <c r="AY97" s="1993"/>
      <c r="AZ97" s="1993"/>
      <c r="BA97" s="1993"/>
      <c r="BB97" s="1993"/>
      <c r="BC97" s="1993"/>
      <c r="BD97" s="1993"/>
      <c r="BE97" s="1993"/>
      <c r="BF97" s="1993"/>
    </row>
    <row r="99" s="15413" customFormat="1" customHeight="1" ht="11.25">
      <c r="A99" s="1985" t="s">
        <v>1946</v>
      </c>
    </row>
    <row r="101" s="11913" customFormat="1" customHeight="1" ht="11.25">
      <c r="A101" s="1336"/>
      <c r="B101" s="1336"/>
      <c r="C101" s="1336"/>
      <c r="D101" s="1330"/>
      <c r="E101" s="1340"/>
      <c r="F101" s="1999"/>
      <c r="G101" s="2000"/>
      <c r="H101" s="2685" t="s">
        <v>112</v>
      </c>
      <c r="I101" s="2686"/>
      <c r="J101" s="2655"/>
      <c r="K101" s="2687"/>
      <c r="L101" s="2277" t="s">
        <v>19</v>
      </c>
      <c r="M101" s="2278"/>
      <c r="N101" s="2156"/>
      <c r="O101" s="1347" t="s">
        <v>388</v>
      </c>
      <c r="P101" s="1348"/>
      <c r="Q101" s="1348"/>
      <c r="R101" s="1348"/>
      <c r="S101" s="1348"/>
      <c r="T101" s="1348"/>
      <c r="U101" s="1348"/>
      <c r="V101" s="1348"/>
      <c r="W101" s="1348"/>
      <c r="X101" s="1348"/>
      <c r="Y101" s="1348"/>
      <c r="Z101" s="1348"/>
      <c r="AA101" s="1348"/>
      <c r="AB101" s="1348"/>
      <c r="AC101" s="1348"/>
      <c r="AD101" s="1348"/>
      <c r="AE101" s="1348"/>
      <c r="AF101" s="2676"/>
      <c r="AG101" s="2677"/>
      <c r="AH101" s="2677"/>
      <c r="AI101" s="2676"/>
      <c r="AJ101" s="2677"/>
      <c r="AK101" s="2677"/>
      <c r="AL101" s="2158"/>
      <c r="AM101" s="1993"/>
      <c r="AN101" s="1993"/>
      <c r="AO101" s="1993"/>
      <c r="AP101" s="1993"/>
      <c r="AQ101" s="1993"/>
      <c r="AR101" s="1993"/>
      <c r="AS101" s="1993"/>
      <c r="AT101" s="1993"/>
      <c r="AU101" s="1993"/>
      <c r="AV101" s="1993"/>
      <c r="AW101" s="1993"/>
      <c r="AX101" s="1993"/>
      <c r="AY101" s="1993"/>
      <c r="AZ101" s="1993"/>
      <c r="BA101" s="1993"/>
      <c r="BB101" s="1993"/>
      <c r="BC101" s="1993"/>
      <c r="BD101" s="1993"/>
      <c r="BE101" s="1993"/>
      <c r="BF101" s="1993"/>
    </row>
    <row s="11913" customFormat="1" customHeight="1" ht="11.25">
      <c r="A102" s="1336"/>
      <c r="B102" s="1336"/>
      <c r="C102" s="1336"/>
      <c r="D102" s="1330"/>
      <c r="E102" s="1340"/>
      <c r="F102" s="1999"/>
      <c r="G102" s="2000"/>
      <c r="H102" s="2685"/>
      <c r="I102" s="2686"/>
      <c r="J102" s="2655"/>
      <c r="K102" s="2687"/>
      <c r="L102" s="2277"/>
      <c r="M102" s="2278"/>
      <c r="N102" s="2678"/>
      <c r="O102" s="2679">
        <v>1</v>
      </c>
      <c r="P102" s="2680" t="s">
        <v>19</v>
      </c>
      <c r="Q102" s="2683" t="s">
        <v>28</v>
      </c>
      <c r="R102" s="2683" t="s">
        <v>28</v>
      </c>
      <c r="S102" s="2683" t="s">
        <v>28</v>
      </c>
      <c r="T102" s="2683" t="s">
        <v>28</v>
      </c>
      <c r="U102" s="2683" t="s">
        <v>28</v>
      </c>
      <c r="V102" s="2683" t="s">
        <v>28</v>
      </c>
      <c r="W102" s="2683" t="s">
        <v>28</v>
      </c>
      <c r="X102" s="2683" t="s">
        <v>28</v>
      </c>
      <c r="Y102" s="2683"/>
      <c r="Z102" s="1345"/>
      <c r="AA102" s="1346"/>
      <c r="AB102" s="1346"/>
      <c r="AC102" s="1350"/>
      <c r="AD102" s="1350"/>
      <c r="AE102" s="1351"/>
      <c r="AF102" s="2676"/>
      <c r="AG102" s="2677"/>
      <c r="AH102" s="2677"/>
      <c r="AI102" s="2676"/>
      <c r="AJ102" s="2677"/>
      <c r="AK102" s="2677"/>
      <c r="AL102" s="2158"/>
      <c r="AM102" s="1993"/>
      <c r="AN102" s="1993"/>
      <c r="AO102" s="1993"/>
      <c r="AP102" s="1993"/>
      <c r="AQ102" s="1993"/>
      <c r="AR102" s="1993"/>
      <c r="AS102" s="1993"/>
      <c r="AT102" s="1993"/>
      <c r="AU102" s="1993"/>
      <c r="AV102" s="1993"/>
      <c r="AW102" s="1993"/>
      <c r="AX102" s="1993"/>
      <c r="AY102" s="1993"/>
      <c r="AZ102" s="1993"/>
      <c r="BA102" s="1993"/>
      <c r="BB102" s="1993"/>
      <c r="BC102" s="1993"/>
      <c r="BD102" s="1993"/>
      <c r="BE102" s="1993"/>
      <c r="BF102" s="1993"/>
    </row>
    <row s="11913" customFormat="1" customHeight="1" ht="11.25">
      <c r="A103" s="1336"/>
      <c r="B103" s="1336"/>
      <c r="C103" s="1336"/>
      <c r="D103" s="1330"/>
      <c r="E103" s="1340"/>
      <c r="F103" s="1999"/>
      <c r="G103" s="2000"/>
      <c r="H103" s="2685"/>
      <c r="I103" s="2686"/>
      <c r="J103" s="2655"/>
      <c r="K103" s="2687"/>
      <c r="L103" s="2277"/>
      <c r="M103" s="2278"/>
      <c r="N103" s="2678"/>
      <c r="O103" s="2679"/>
      <c r="P103" s="2681"/>
      <c r="Q103" s="2683"/>
      <c r="R103" s="2683"/>
      <c r="S103" s="2684"/>
      <c r="T103" s="2683"/>
      <c r="U103" s="2683"/>
      <c r="V103" s="2683"/>
      <c r="W103" s="2683"/>
      <c r="X103" s="2683"/>
      <c r="Y103" s="2683"/>
      <c r="Z103" s="1998"/>
      <c r="AA103" s="1964">
        <v>1</v>
      </c>
      <c r="AB103" s="1349"/>
      <c r="AC103" s="1339"/>
      <c r="AD103" s="1349">
        <f>AB103</f>
        <v>0</v>
      </c>
      <c r="AE103" s="1339"/>
      <c r="AF103" s="2676"/>
      <c r="AG103" s="2677"/>
      <c r="AH103" s="2677"/>
      <c r="AI103" s="2676"/>
      <c r="AJ103" s="2677"/>
      <c r="AK103" s="2677"/>
      <c r="AL103" s="2158"/>
      <c r="AM103" s="1993"/>
      <c r="AN103" s="1993"/>
      <c r="AO103" s="1993"/>
      <c r="AP103" s="1993"/>
      <c r="AQ103" s="1993"/>
      <c r="AR103" s="1993"/>
      <c r="AS103" s="1993"/>
      <c r="AT103" s="1993"/>
      <c r="AU103" s="1993"/>
      <c r="AV103" s="1993"/>
      <c r="AW103" s="1993"/>
      <c r="AX103" s="1993"/>
      <c r="AY103" s="1993"/>
      <c r="AZ103" s="1993"/>
      <c r="BA103" s="1993"/>
      <c r="BB103" s="1993"/>
      <c r="BC103" s="1993"/>
      <c r="BD103" s="1993"/>
      <c r="BE103" s="1993"/>
      <c r="BF103" s="1993"/>
    </row>
    <row s="11913" customFormat="1" customHeight="1" ht="11.25">
      <c r="A104" s="1336"/>
      <c r="B104" s="1336"/>
      <c r="C104" s="1336"/>
      <c r="D104" s="1330"/>
      <c r="E104" s="1340"/>
      <c r="F104" s="1999"/>
      <c r="G104" s="2000"/>
      <c r="H104" s="2685"/>
      <c r="I104" s="2686"/>
      <c r="J104" s="2655"/>
      <c r="K104" s="2687"/>
      <c r="L104" s="2277"/>
      <c r="M104" s="2278"/>
      <c r="N104" s="2678"/>
      <c r="O104" s="2679"/>
      <c r="P104" s="2682"/>
      <c r="Q104" s="2683"/>
      <c r="R104" s="2683"/>
      <c r="S104" s="2684"/>
      <c r="T104" s="2683"/>
      <c r="U104" s="2683"/>
      <c r="V104" s="2683"/>
      <c r="W104" s="2683"/>
      <c r="X104" s="2683"/>
      <c r="Y104" s="2683"/>
      <c r="Z104" s="1345"/>
      <c r="AA104" s="1346"/>
      <c r="AB104" s="1411" t="s">
        <v>1944</v>
      </c>
      <c r="AC104" s="1350"/>
      <c r="AD104" s="1350"/>
      <c r="AE104" s="1352"/>
      <c r="AF104" s="2676"/>
      <c r="AG104" s="2677"/>
      <c r="AH104" s="2677"/>
      <c r="AI104" s="2676"/>
      <c r="AJ104" s="2677"/>
      <c r="AK104" s="2677"/>
      <c r="AL104" s="2158"/>
      <c r="AM104" s="1993"/>
      <c r="AN104" s="1993"/>
      <c r="AO104" s="1993"/>
      <c r="AP104" s="1993"/>
      <c r="AQ104" s="1993"/>
      <c r="AR104" s="1993"/>
      <c r="AS104" s="1993"/>
      <c r="AT104" s="1993"/>
      <c r="AU104" s="1993"/>
      <c r="AV104" s="1993"/>
      <c r="AW104" s="1993"/>
      <c r="AX104" s="1993"/>
      <c r="AY104" s="1993"/>
      <c r="AZ104" s="1993"/>
      <c r="BA104" s="1993"/>
      <c r="BB104" s="1993"/>
      <c r="BC104" s="1993"/>
      <c r="BD104" s="1993"/>
      <c r="BE104" s="1993"/>
      <c r="BF104" s="1993"/>
    </row>
    <row s="11913" customFormat="1" customHeight="1" ht="11.25">
      <c r="A105" s="1336"/>
      <c r="B105" s="1336"/>
      <c r="C105" s="1336"/>
      <c r="D105" s="1330"/>
      <c r="E105" s="1340"/>
      <c r="F105" s="1999"/>
      <c r="G105" s="2000"/>
      <c r="H105" s="2685"/>
      <c r="I105" s="2686"/>
      <c r="J105" s="2655"/>
      <c r="K105" s="2687"/>
      <c r="L105" s="2277"/>
      <c r="M105" s="2278"/>
      <c r="N105" s="1345"/>
      <c r="O105" s="1346"/>
      <c r="P105" s="1338" t="s">
        <v>1947</v>
      </c>
      <c r="Q105" s="1346"/>
      <c r="R105" s="1346"/>
      <c r="S105" s="1346"/>
      <c r="T105" s="1346"/>
      <c r="U105" s="1346"/>
      <c r="V105" s="1346"/>
      <c r="W105" s="1346"/>
      <c r="X105" s="1346"/>
      <c r="Y105" s="1346"/>
      <c r="Z105" s="1346"/>
      <c r="AA105" s="1346"/>
      <c r="AB105" s="1346"/>
      <c r="AC105" s="1346"/>
      <c r="AD105" s="1346"/>
      <c r="AE105" s="1353"/>
      <c r="AF105" s="2676"/>
      <c r="AG105" s="2677"/>
      <c r="AH105" s="2677"/>
      <c r="AI105" s="2676"/>
      <c r="AJ105" s="2677"/>
      <c r="AK105" s="2677"/>
      <c r="AL105" s="2158"/>
      <c r="AM105" s="1993"/>
      <c r="AN105" s="1993"/>
      <c r="AO105" s="1993"/>
      <c r="AP105" s="1993"/>
      <c r="AQ105" s="1993"/>
      <c r="AR105" s="1993"/>
      <c r="AS105" s="1993"/>
      <c r="AT105" s="1993"/>
      <c r="AU105" s="1993"/>
      <c r="AV105" s="1993"/>
      <c r="AW105" s="1993"/>
      <c r="AX105" s="1993"/>
      <c r="AY105" s="1993"/>
      <c r="AZ105" s="1993"/>
      <c r="BA105" s="1993"/>
      <c r="BB105" s="1993"/>
      <c r="BC105" s="1993"/>
      <c r="BD105" s="1993"/>
      <c r="BE105" s="1993"/>
      <c r="BF105" s="1993"/>
    </row>
    <row r="107" s="15413" customFormat="1" customHeight="1" ht="11.25">
      <c r="A107" s="1985" t="s">
        <v>1948</v>
      </c>
    </row>
    <row customHeight="1" ht="17.25"/>
    <row s="14899" customFormat="1" customHeight="1" ht="21">
      <c r="A109" s="1337"/>
      <c r="B109" s="1110"/>
      <c r="D109" s="1094"/>
      <c r="E109" s="1109" t="s">
        <v>28</v>
      </c>
      <c r="F109" s="1291">
        <f>INDEX(IP_MAIN_LIST_NAME_IP,MATCH(A109,IP_MAIN_LIST_IP_ID,0))&amp;" ("&amp;INDEX(IP_MAIN_START_DATE,MATCH(A109,IP_MAIN_LIST_IP_ID,0))&amp;"-"&amp;INDEX(IP_MAIN_END_DATE,MATCH(A109,IP_MAIN_LIST_IP_ID,0))&amp;")"</f>
      </c>
      <c r="G109" s="1373"/>
      <c r="H109" s="1374"/>
      <c r="I109" s="1374"/>
      <c r="J109" s="1374"/>
      <c r="K109" s="1374"/>
      <c r="L109" s="1374"/>
      <c r="M109" s="1374"/>
      <c r="N109" s="1374"/>
      <c r="O109" s="1373"/>
      <c r="P109" s="1373"/>
      <c r="Q109" s="1373"/>
      <c r="R109" s="1373"/>
      <c r="S109" s="1373"/>
      <c r="T109" s="1373"/>
      <c r="U109" s="1375"/>
      <c r="V109" s="1375"/>
      <c r="W109" s="1375"/>
      <c r="X109" s="1375"/>
      <c r="Y109" s="1375"/>
      <c r="Z109" s="1375"/>
      <c r="AA109" s="1375"/>
      <c r="AB109" s="1373"/>
      <c r="AC109" s="1374"/>
      <c r="AD109" s="1374"/>
      <c r="AE109" s="1374"/>
      <c r="AF109" s="1374"/>
      <c r="AG109" s="1374"/>
      <c r="AH109" s="1374"/>
      <c r="AI109" s="1374"/>
      <c r="AJ109" s="1374"/>
      <c r="AK109" s="1374"/>
      <c r="AL109" s="1374"/>
      <c r="AM109" s="1374"/>
      <c r="AN109" s="1374"/>
      <c r="AO109" s="1374"/>
      <c r="AP109" s="1374"/>
      <c r="AQ109" s="1374"/>
      <c r="AR109" s="1374"/>
      <c r="AS109" s="1374"/>
      <c r="AT109" s="1374"/>
      <c r="AU109" s="1374"/>
      <c r="AV109" s="1374"/>
      <c r="AW109" s="1374"/>
      <c r="AX109" s="1374"/>
      <c r="AY109" s="1374"/>
      <c r="AZ109" s="1374"/>
      <c r="BA109" s="1374"/>
      <c r="BB109" s="1374"/>
      <c r="BC109" s="1374"/>
      <c r="BD109" s="1374"/>
      <c r="BE109" s="1374"/>
      <c r="BF109" s="1374"/>
      <c r="BG109" s="1374"/>
      <c r="BH109" s="1374"/>
      <c r="BI109" s="1374"/>
      <c r="BJ109" s="1374"/>
      <c r="BK109" s="1374"/>
      <c r="BL109" s="1374"/>
      <c r="BM109" s="1374"/>
      <c r="BN109" s="1374"/>
      <c r="BO109" s="1374"/>
      <c r="BP109" s="1374"/>
      <c r="BQ109" s="1374"/>
      <c r="BR109" s="1374"/>
      <c r="BS109" s="1374"/>
      <c r="BT109" s="1374"/>
      <c r="BU109" s="1374"/>
      <c r="BV109" s="1374"/>
      <c r="BW109" s="1374"/>
      <c r="BX109" s="1374"/>
      <c r="BY109" s="1374"/>
      <c r="BZ109" s="1374"/>
      <c r="CA109" s="1374"/>
      <c r="CB109" s="1374"/>
      <c r="CC109" s="1374"/>
      <c r="CD109" s="1374"/>
      <c r="CE109" s="1374"/>
      <c r="CF109" s="1374"/>
      <c r="CG109" s="1374"/>
      <c r="CH109" s="1374"/>
      <c r="CI109" s="1374"/>
      <c r="CJ109" s="1374"/>
      <c r="CK109" s="1374"/>
      <c r="CL109" s="1376"/>
      <c r="CM109" s="1376"/>
      <c r="CN109" s="1376"/>
      <c r="CO109" s="1376"/>
      <c r="CP109" s="1376"/>
      <c r="CQ109" s="1376"/>
      <c r="CR109" s="1376"/>
      <c r="CS109" s="1376"/>
      <c r="CT109" s="1376"/>
      <c r="CU109" s="1376"/>
      <c r="CV109" s="1376"/>
      <c r="CW109" s="1376"/>
      <c r="CX109" s="1376"/>
      <c r="CY109" s="1376"/>
      <c r="CZ109" s="1376"/>
      <c r="DA109" s="1376"/>
      <c r="DB109" s="1376"/>
      <c r="DC109" s="1376"/>
      <c r="DD109" s="1376"/>
      <c r="DE109" s="1376"/>
      <c r="DF109" s="1376"/>
      <c r="DG109" s="1376"/>
      <c r="DH109" s="1376"/>
      <c r="DI109" s="1376"/>
      <c r="DJ109" s="1376"/>
      <c r="DK109" s="1376"/>
      <c r="DL109" s="1376"/>
      <c r="DM109" s="1376"/>
      <c r="DN109" s="1376"/>
      <c r="DO109" s="1376"/>
      <c r="DP109" s="1376"/>
      <c r="DQ109" s="1376"/>
      <c r="DR109" s="1376"/>
      <c r="DS109" s="1376"/>
      <c r="DT109" s="1376"/>
      <c r="DU109" s="1376"/>
      <c r="DV109" s="1376"/>
      <c r="DW109" s="1376"/>
      <c r="DX109" s="1376"/>
      <c r="DY109" s="1376"/>
      <c r="DZ109" s="1376"/>
      <c r="EA109" s="1376"/>
      <c r="EB109" s="1376"/>
      <c r="EC109" s="1376"/>
      <c r="ED109" s="1376"/>
      <c r="EE109" s="1376"/>
      <c r="EF109" s="1376"/>
      <c r="EG109" s="1376"/>
      <c r="EH109" s="1376"/>
      <c r="EI109" s="1376"/>
      <c r="EJ109" s="1376"/>
      <c r="EK109" s="1376"/>
      <c r="EL109" s="1376"/>
      <c r="EM109" s="1376"/>
      <c r="EN109" s="1376"/>
      <c r="EO109" s="1376"/>
      <c r="EP109" s="1376"/>
      <c r="EQ109" s="1376"/>
      <c r="ER109" s="1376"/>
      <c r="ES109" s="1376"/>
      <c r="ET109" s="1376"/>
      <c r="EU109" s="1376"/>
      <c r="EV109" s="1376"/>
      <c r="EW109" s="1376"/>
      <c r="EX109" s="1376"/>
      <c r="EY109" s="1376"/>
      <c r="EZ109" s="1376"/>
      <c r="FA109" s="1376"/>
      <c r="FB109" s="1376"/>
      <c r="FC109" s="1376"/>
      <c r="FD109" s="1376"/>
      <c r="FE109" s="1376"/>
      <c r="FF109" s="1376"/>
      <c r="FG109" s="1376"/>
      <c r="FH109" s="1376"/>
      <c r="FI109" s="1376"/>
      <c r="FJ109" s="1376"/>
      <c r="FK109" s="1376"/>
      <c r="FL109" s="1376"/>
      <c r="FM109" s="1376"/>
      <c r="FN109" s="1376"/>
      <c r="FO109" s="1376"/>
      <c r="FP109" s="1376"/>
      <c r="FQ109" s="1376"/>
      <c r="FR109" s="1376"/>
      <c r="FS109" s="1376"/>
      <c r="FT109" s="1376"/>
      <c r="FU109" s="1376"/>
      <c r="FV109" s="1377"/>
      <c r="FW109" s="1371"/>
      <c r="FX109" s="1372"/>
    </row>
    <row s="14899" customFormat="1" customHeight="1" ht="24.75">
      <c r="B110" s="1093"/>
      <c r="C110" s="1094"/>
      <c r="D110" s="1094"/>
      <c r="E110" s="2005"/>
      <c r="F110" s="1378">
        <v>1</v>
      </c>
      <c r="G110" s="1379"/>
      <c r="H110" s="1380"/>
      <c r="I110" s="2152"/>
      <c r="J110" s="1381"/>
      <c r="K110" s="1381"/>
      <c r="L110" s="1381"/>
      <c r="M110" s="1381"/>
      <c r="N110" s="1381"/>
      <c r="O110" s="1382"/>
      <c r="P110" s="1382"/>
      <c r="Q110" s="1382"/>
      <c r="R110" s="1382"/>
      <c r="S110" s="1382"/>
      <c r="T110" s="1382"/>
      <c r="U110" s="1382"/>
      <c r="V110" s="1382"/>
      <c r="W110" s="1382"/>
      <c r="X110" s="1382"/>
      <c r="Y110" s="1382"/>
      <c r="Z110" s="1382"/>
      <c r="AA110" s="1382"/>
      <c r="AB110" s="1382"/>
      <c r="AC110" s="1381"/>
      <c r="AD110" s="1381"/>
      <c r="AE110" s="1381"/>
      <c r="AF110" s="1381"/>
      <c r="AG110" s="1381"/>
      <c r="AH110" s="1381"/>
      <c r="AI110" s="1381"/>
      <c r="AJ110" s="1381"/>
      <c r="AK110" s="1381"/>
      <c r="AL110" s="1381"/>
      <c r="AM110" s="1381"/>
      <c r="AN110" s="1381"/>
      <c r="AO110" s="1381"/>
      <c r="AP110" s="1381"/>
      <c r="AQ110" s="1381"/>
      <c r="AR110" s="1381"/>
      <c r="AS110" s="1381"/>
      <c r="AT110" s="1381"/>
      <c r="AU110" s="1381"/>
      <c r="AV110" s="1381"/>
      <c r="AW110" s="1381"/>
      <c r="AX110" s="1381"/>
      <c r="AY110" s="1381"/>
      <c r="AZ110" s="1381"/>
      <c r="BA110" s="1381"/>
      <c r="BB110" s="1381"/>
      <c r="BC110" s="1381"/>
      <c r="BD110" s="1381"/>
      <c r="BE110" s="1381"/>
      <c r="BF110" s="1381"/>
      <c r="BG110" s="1381"/>
      <c r="BH110" s="1381"/>
      <c r="BI110" s="1381"/>
      <c r="BJ110" s="1381"/>
      <c r="BK110" s="1381"/>
      <c r="BL110" s="1381"/>
      <c r="BM110" s="1381"/>
      <c r="BN110" s="1381"/>
      <c r="BO110" s="1381"/>
      <c r="BP110" s="1381"/>
      <c r="BQ110" s="1381"/>
      <c r="BR110" s="1381"/>
      <c r="BS110" s="1381"/>
      <c r="BT110" s="1382"/>
      <c r="BU110" s="1382"/>
      <c r="BV110" s="1382"/>
      <c r="BW110" s="1382"/>
      <c r="BX110" s="1382"/>
      <c r="BY110" s="1382"/>
      <c r="BZ110" s="1382"/>
      <c r="CA110" s="1382"/>
      <c r="CB110" s="1382"/>
      <c r="CC110" s="1382"/>
      <c r="CD110" s="1382"/>
      <c r="CE110" s="1382"/>
      <c r="CF110" s="1382"/>
      <c r="CG110" s="1382"/>
      <c r="CH110" s="1382"/>
      <c r="CI110" s="1382"/>
      <c r="CJ110" s="1382"/>
      <c r="CK110" s="1382"/>
      <c r="CL110" s="1381"/>
      <c r="CM110" s="1381"/>
      <c r="CN110" s="1381"/>
      <c r="CO110" s="1381"/>
      <c r="CP110" s="1381"/>
      <c r="CQ110" s="1381"/>
      <c r="CR110" s="1381"/>
      <c r="CS110" s="1381"/>
      <c r="CT110" s="1381"/>
      <c r="CU110" s="1381"/>
      <c r="CV110" s="1381"/>
      <c r="CW110" s="1381"/>
      <c r="CX110" s="1381"/>
      <c r="CY110" s="1382"/>
      <c r="CZ110" s="1382"/>
      <c r="DA110" s="1382"/>
      <c r="DB110" s="1382"/>
      <c r="DC110" s="1382"/>
      <c r="DD110" s="1382"/>
      <c r="DE110" s="1382"/>
      <c r="DF110" s="1382"/>
      <c r="DG110" s="1382"/>
      <c r="DH110" s="1382"/>
      <c r="DI110" s="1382"/>
      <c r="DJ110" s="1382"/>
      <c r="DK110" s="1381"/>
      <c r="DL110" s="1381"/>
      <c r="DM110" s="1381"/>
      <c r="DN110" s="1381"/>
      <c r="DO110" s="1381"/>
      <c r="DP110" s="1381"/>
      <c r="DQ110" s="1381"/>
      <c r="DR110" s="1381"/>
      <c r="DS110" s="1381"/>
      <c r="DT110" s="1381"/>
      <c r="DU110" s="1381"/>
      <c r="DV110" s="1381"/>
      <c r="DW110" s="1381"/>
      <c r="DX110" s="1381"/>
      <c r="DY110" s="1381"/>
      <c r="DZ110" s="1381"/>
      <c r="EA110" s="1381"/>
      <c r="EB110" s="1381"/>
      <c r="EC110" s="1381"/>
      <c r="ED110" s="1381"/>
      <c r="EE110" s="1381"/>
      <c r="EF110" s="1381"/>
      <c r="EG110" s="1381"/>
      <c r="EH110" s="1381"/>
      <c r="EI110" s="1381"/>
      <c r="EJ110" s="1381"/>
      <c r="EK110" s="1381"/>
      <c r="EL110" s="1381"/>
      <c r="EM110" s="1381"/>
      <c r="EN110" s="1381"/>
      <c r="EO110" s="1381"/>
      <c r="EP110" s="1381"/>
      <c r="EQ110" s="1381"/>
      <c r="ER110" s="1381"/>
      <c r="ES110" s="1381"/>
      <c r="ET110" s="1381"/>
      <c r="EU110" s="1381"/>
      <c r="EV110" s="1381"/>
      <c r="EW110" s="1381"/>
      <c r="EX110" s="1381"/>
      <c r="EY110" s="1381"/>
      <c r="EZ110" s="1381"/>
      <c r="FA110" s="1381"/>
      <c r="FB110" s="1381"/>
      <c r="FC110" s="1381"/>
      <c r="FD110" s="1381"/>
      <c r="FE110" s="1381"/>
      <c r="FF110" s="1381"/>
      <c r="FG110" s="1381"/>
      <c r="FH110" s="1381"/>
      <c r="FI110" s="1381"/>
      <c r="FJ110" s="1381"/>
      <c r="FK110" s="1381"/>
      <c r="FL110" s="1381"/>
      <c r="FM110" s="1381"/>
      <c r="FN110" s="1381"/>
      <c r="FO110" s="1381"/>
      <c r="FP110" s="1381"/>
      <c r="FQ110" s="1381"/>
      <c r="FR110" s="1381"/>
      <c r="FS110" s="1381"/>
      <c r="FT110" s="1381"/>
      <c r="FU110" s="1381"/>
      <c r="FV110" s="1381"/>
      <c r="FW110" s="1381"/>
      <c r="FX110" s="1372"/>
    </row>
    <row s="14899" customFormat="1" customHeight="1" ht="12">
      <c r="A111" s="1094"/>
      <c r="B111" s="1093"/>
      <c r="C111" s="1094"/>
      <c r="D111" s="1094"/>
      <c r="E111" s="1094"/>
      <c r="F111" s="1383"/>
      <c r="G111" s="1970" t="s">
        <v>1949</v>
      </c>
      <c r="H111" s="1384"/>
      <c r="I111" s="1384"/>
      <c r="J111" s="1384"/>
      <c r="K111" s="1384"/>
      <c r="L111" s="1384"/>
      <c r="M111" s="1384"/>
      <c r="N111" s="1384"/>
      <c r="O111" s="1384"/>
      <c r="P111" s="1384"/>
      <c r="Q111" s="1384"/>
      <c r="R111" s="1384"/>
      <c r="S111" s="1384"/>
      <c r="T111" s="1384"/>
      <c r="U111" s="1384"/>
      <c r="V111" s="1384"/>
      <c r="W111" s="1384"/>
      <c r="X111" s="1384"/>
      <c r="Y111" s="1384"/>
      <c r="Z111" s="1384"/>
      <c r="AA111" s="1384"/>
      <c r="AB111" s="1384"/>
      <c r="AC111" s="1384"/>
      <c r="AD111" s="1384"/>
      <c r="AE111" s="1384"/>
      <c r="AF111" s="1384"/>
      <c r="AG111" s="1384"/>
      <c r="AH111" s="1384"/>
      <c r="AI111" s="1384"/>
      <c r="AJ111" s="1384"/>
      <c r="AK111" s="1384"/>
      <c r="AL111" s="1384"/>
      <c r="AM111" s="1384"/>
      <c r="AN111" s="1384"/>
      <c r="AO111" s="1384"/>
      <c r="AP111" s="1384"/>
      <c r="AQ111" s="1384"/>
      <c r="AR111" s="1384"/>
      <c r="AS111" s="1384"/>
      <c r="AT111" s="1384"/>
      <c r="AU111" s="1384"/>
      <c r="AV111" s="1384"/>
      <c r="AW111" s="1384"/>
      <c r="AX111" s="1384"/>
      <c r="AY111" s="1384"/>
      <c r="AZ111" s="1384"/>
      <c r="BA111" s="1384"/>
      <c r="BB111" s="1384"/>
      <c r="BC111" s="1384"/>
      <c r="BD111" s="1384"/>
      <c r="BE111" s="1384"/>
      <c r="BF111" s="1384"/>
      <c r="BG111" s="1384"/>
      <c r="BH111" s="1384"/>
      <c r="BI111" s="1384"/>
      <c r="BJ111" s="1384"/>
      <c r="BK111" s="1384"/>
      <c r="BL111" s="1384"/>
      <c r="BM111" s="1384"/>
      <c r="BN111" s="1384"/>
      <c r="BO111" s="1384"/>
      <c r="BP111" s="1384"/>
      <c r="BQ111" s="1384"/>
      <c r="BR111" s="1384"/>
      <c r="BS111" s="1384"/>
      <c r="BT111" s="1384"/>
      <c r="BU111" s="1384"/>
      <c r="BV111" s="1384"/>
      <c r="BW111" s="1384"/>
      <c r="BX111" s="1384"/>
      <c r="BY111" s="1384"/>
      <c r="BZ111" s="1384"/>
      <c r="CA111" s="1384"/>
      <c r="CB111" s="1384"/>
      <c r="CC111" s="1384"/>
      <c r="CD111" s="1384"/>
      <c r="CE111" s="1384"/>
      <c r="CF111" s="1384"/>
      <c r="CG111" s="1384"/>
      <c r="CH111" s="1384"/>
      <c r="CI111" s="1384"/>
      <c r="CJ111" s="1384"/>
      <c r="CK111" s="1384"/>
      <c r="CL111" s="1384"/>
      <c r="CM111" s="1384"/>
      <c r="CN111" s="1384"/>
      <c r="CO111" s="1384"/>
      <c r="CP111" s="1384"/>
      <c r="CQ111" s="1384"/>
      <c r="CR111" s="1384"/>
      <c r="CS111" s="1384"/>
      <c r="CT111" s="1384"/>
      <c r="CU111" s="1384"/>
      <c r="CV111" s="1384"/>
      <c r="CW111" s="1384"/>
      <c r="CX111" s="1384"/>
      <c r="CY111" s="1384"/>
      <c r="CZ111" s="1384"/>
      <c r="DA111" s="1384"/>
      <c r="DB111" s="1384"/>
      <c r="DC111" s="1384"/>
      <c r="DD111" s="1384"/>
      <c r="DE111" s="1384"/>
      <c r="DF111" s="1384"/>
      <c r="DG111" s="1384"/>
      <c r="DH111" s="1384"/>
      <c r="DI111" s="1384"/>
      <c r="DJ111" s="1384"/>
      <c r="DK111" s="1384"/>
      <c r="DL111" s="1384"/>
      <c r="DM111" s="1384"/>
      <c r="DN111" s="1384"/>
      <c r="DO111" s="1384"/>
      <c r="DP111" s="1384"/>
      <c r="DQ111" s="1384"/>
      <c r="DR111" s="1384"/>
      <c r="DS111" s="1384"/>
      <c r="DT111" s="1384"/>
      <c r="DU111" s="1384"/>
      <c r="DV111" s="1384"/>
      <c r="DW111" s="1384"/>
      <c r="DX111" s="1384"/>
      <c r="DY111" s="1384"/>
      <c r="DZ111" s="1384"/>
      <c r="EA111" s="1384"/>
      <c r="EB111" s="1384"/>
      <c r="EC111" s="1384"/>
      <c r="ED111" s="1384"/>
      <c r="EE111" s="1384"/>
      <c r="EF111" s="1384"/>
      <c r="EG111" s="1384"/>
      <c r="EH111" s="1384"/>
      <c r="EI111" s="1384"/>
      <c r="EJ111" s="1384"/>
      <c r="EK111" s="1384"/>
      <c r="EL111" s="1384"/>
      <c r="EM111" s="1384"/>
      <c r="EN111" s="1384"/>
      <c r="EO111" s="1384"/>
      <c r="EP111" s="1384"/>
      <c r="EQ111" s="1384"/>
      <c r="ER111" s="1384"/>
      <c r="ES111" s="1384"/>
      <c r="ET111" s="1384"/>
      <c r="EU111" s="1384"/>
      <c r="EV111" s="1384"/>
      <c r="EW111" s="1384"/>
      <c r="EX111" s="1384"/>
      <c r="EY111" s="1384"/>
      <c r="EZ111" s="1384"/>
      <c r="FA111" s="1384"/>
      <c r="FB111" s="1384"/>
      <c r="FC111" s="1384"/>
      <c r="FD111" s="1384"/>
      <c r="FE111" s="1384"/>
      <c r="FF111" s="1384"/>
      <c r="FG111" s="1384"/>
      <c r="FH111" s="1384"/>
      <c r="FI111" s="1384"/>
      <c r="FJ111" s="1384"/>
      <c r="FK111" s="1384"/>
      <c r="FL111" s="1384"/>
      <c r="FM111" s="1384"/>
      <c r="FN111" s="1384"/>
      <c r="FO111" s="1384"/>
      <c r="FP111" s="1384"/>
      <c r="FQ111" s="1384"/>
      <c r="FR111" s="1384"/>
      <c r="FS111" s="1384"/>
      <c r="FT111" s="1384"/>
      <c r="FU111" s="1384"/>
      <c r="FV111" s="1384"/>
      <c r="FW111" s="1385"/>
      <c r="FX111" s="1386"/>
      <c r="FY111" s="1111"/>
      <c r="FZ111" s="1111"/>
      <c r="GA111" s="1111"/>
      <c r="GB111" s="1111"/>
    </row>
    <row r="113" s="15413" customFormat="1" customHeight="1" ht="11.25">
      <c r="A113" s="1985" t="s">
        <v>1950</v>
      </c>
    </row>
    <row r="115" s="12053" customFormat="1" customHeight="1" ht="15">
      <c r="A115" s="793"/>
      <c r="B115" s="794"/>
      <c r="C115" s="794"/>
      <c r="D115" s="2748" t="s">
        <v>112</v>
      </c>
      <c r="E115" s="2547" t="s">
        <v>108</v>
      </c>
      <c r="F115" s="2548"/>
      <c r="G115" s="2549"/>
      <c r="H115" s="2553" t="str">
        <f>IF(A115="","",INDEX(DIFFERENTIATION_UNMERGE_VD,MATCH(A115,DIFFERENTIATION_ID_DIFF,0)))</f>
        <v/>
      </c>
      <c r="I115" s="2553"/>
      <c r="J115" s="2553"/>
      <c r="K115" s="2553"/>
      <c r="L115" s="2553"/>
      <c r="M115" s="2553"/>
      <c r="N115" s="2553"/>
      <c r="O115" s="2553"/>
      <c r="P115" s="2553"/>
      <c r="Q115" s="2553"/>
      <c r="R115" s="2553"/>
      <c r="S115" s="889"/>
      <c r="T115" s="886"/>
      <c r="U115" s="795"/>
      <c r="V115" s="795"/>
      <c r="W115" s="796"/>
      <c r="X115" s="796"/>
      <c r="Y115" s="796"/>
      <c r="Z115" s="796"/>
      <c r="AA115" s="797"/>
      <c r="AB115" s="798"/>
      <c r="AC115" s="2545"/>
      <c r="AD115" s="799"/>
      <c r="AE115" s="800" t="s">
        <v>28</v>
      </c>
      <c r="AF115" s="800"/>
      <c r="AG115" s="801" t="s">
        <v>624</v>
      </c>
      <c r="AH115" s="802">
        <v>3</v>
      </c>
      <c r="AI115" s="795"/>
      <c r="AJ115" s="795"/>
      <c r="AK115" s="795"/>
      <c r="AL115" s="795"/>
      <c r="AM115" s="795"/>
      <c r="AN115" s="795"/>
      <c r="AO115" s="795"/>
      <c r="AP115" s="795"/>
      <c r="AQ115" s="795"/>
      <c r="AR115" s="795"/>
      <c r="AS115" s="795"/>
      <c r="AT115" s="795"/>
      <c r="AU115" s="795"/>
      <c r="AV115" s="795"/>
      <c r="AW115" s="795"/>
      <c r="AX115" s="795"/>
      <c r="AY115" s="795"/>
      <c r="AZ115" s="795"/>
      <c r="BA115" s="795"/>
      <c r="BB115" s="795"/>
      <c r="BC115" s="795"/>
      <c r="BD115" s="795"/>
      <c r="BE115" s="795"/>
      <c r="BF115" s="795"/>
      <c r="BG115" s="795"/>
      <c r="BH115" s="795"/>
      <c r="BI115" s="795"/>
      <c r="BJ115" s="795"/>
      <c r="BK115" s="795"/>
      <c r="BL115" s="795"/>
      <c r="BM115" s="795"/>
      <c r="BN115" s="795"/>
      <c r="BO115" s="795"/>
      <c r="BP115" s="795"/>
      <c r="BQ115" s="795"/>
      <c r="BR115" s="795"/>
      <c r="BS115" s="795"/>
      <c r="BT115" s="795"/>
      <c r="BU115" s="795"/>
      <c r="BV115" s="796"/>
      <c r="BW115" s="796"/>
      <c r="BX115" s="796"/>
      <c r="BY115" s="796"/>
      <c r="BZ115" s="796"/>
      <c r="CA115" s="796"/>
      <c r="CB115" s="796"/>
      <c r="CC115" s="796"/>
      <c r="CD115" s="796"/>
      <c r="CE115" s="796"/>
    </row>
    <row s="12053" customFormat="1" customHeight="1" ht="15">
      <c r="A116" s="793"/>
      <c r="B116" s="794"/>
      <c r="C116" s="794"/>
      <c r="D116" s="2749"/>
      <c r="E116" s="2547" t="s">
        <v>579</v>
      </c>
      <c r="F116" s="2548"/>
      <c r="G116" s="2549"/>
      <c r="H116" s="2553" t="str">
        <f>IF(A115="","",INDEX(DIFFERENTIATION_UNMERGE_AREA,MATCH(A115,DIFFERENTIATION_ID_DIFF,0)))</f>
        <v/>
      </c>
      <c r="I116" s="2553"/>
      <c r="J116" s="2553"/>
      <c r="K116" s="2553"/>
      <c r="L116" s="2553"/>
      <c r="M116" s="2553"/>
      <c r="N116" s="2553"/>
      <c r="O116" s="2553"/>
      <c r="P116" s="2553"/>
      <c r="Q116" s="2553"/>
      <c r="R116" s="2553"/>
      <c r="S116" s="889"/>
      <c r="T116" s="886"/>
      <c r="U116" s="795"/>
      <c r="V116" s="795"/>
      <c r="W116" s="796"/>
      <c r="X116" s="796"/>
      <c r="Y116" s="796"/>
      <c r="Z116" s="796"/>
      <c r="AA116" s="797"/>
      <c r="AB116" s="798"/>
      <c r="AC116" s="2545"/>
      <c r="AD116" s="799"/>
      <c r="AE116" s="800"/>
      <c r="AF116" s="800"/>
      <c r="AG116" s="801"/>
      <c r="AH116" s="802"/>
      <c r="AI116" s="795"/>
      <c r="AJ116" s="795"/>
      <c r="AK116" s="795"/>
      <c r="AL116" s="795"/>
      <c r="AM116" s="795"/>
      <c r="AN116" s="795"/>
      <c r="AO116" s="795"/>
      <c r="AP116" s="795"/>
      <c r="AQ116" s="795"/>
      <c r="AR116" s="795"/>
      <c r="AS116" s="795"/>
      <c r="AT116" s="795"/>
      <c r="AU116" s="795"/>
      <c r="AV116" s="795"/>
      <c r="AW116" s="795"/>
      <c r="AX116" s="795"/>
      <c r="AY116" s="795"/>
      <c r="AZ116" s="795"/>
      <c r="BA116" s="795"/>
      <c r="BB116" s="795"/>
      <c r="BC116" s="795"/>
      <c r="BD116" s="795"/>
      <c r="BE116" s="795"/>
      <c r="BF116" s="795"/>
      <c r="BG116" s="795"/>
      <c r="BH116" s="795"/>
      <c r="BI116" s="795"/>
      <c r="BJ116" s="795"/>
      <c r="BK116" s="795"/>
      <c r="BL116" s="795"/>
      <c r="BM116" s="795"/>
      <c r="BN116" s="795"/>
      <c r="BO116" s="795"/>
      <c r="BP116" s="795"/>
      <c r="BQ116" s="795"/>
      <c r="BR116" s="795"/>
      <c r="BS116" s="795"/>
      <c r="BT116" s="795"/>
      <c r="BU116" s="795"/>
      <c r="BV116" s="796"/>
      <c r="BW116" s="796"/>
      <c r="BX116" s="796"/>
      <c r="BY116" s="796"/>
      <c r="BZ116" s="796"/>
      <c r="CA116" s="796"/>
      <c r="CB116" s="796"/>
      <c r="CC116" s="796"/>
      <c r="CD116" s="796"/>
      <c r="CE116" s="796"/>
    </row>
    <row s="12053" customFormat="1" customHeight="1" ht="15">
      <c r="A117" s="793"/>
      <c r="B117" s="794"/>
      <c r="C117" s="794"/>
      <c r="D117" s="2749"/>
      <c r="E117" s="2547" t="s">
        <v>580</v>
      </c>
      <c r="F117" s="2548"/>
      <c r="G117" s="2549"/>
      <c r="H117" s="2553" t="str">
        <f>IF(A115="","",INDEX(DIFFERENTIATION_UNMERGE_SYSTEM,MATCH(A115,DIFFERENTIATION_ID_DIFF,0)))</f>
        <v/>
      </c>
      <c r="I117" s="2553"/>
      <c r="J117" s="2553"/>
      <c r="K117" s="2553"/>
      <c r="L117" s="2553"/>
      <c r="M117" s="2553"/>
      <c r="N117" s="2553"/>
      <c r="O117" s="2553"/>
      <c r="P117" s="2553"/>
      <c r="Q117" s="2553"/>
      <c r="R117" s="2553"/>
      <c r="S117" s="889"/>
      <c r="T117" s="886"/>
      <c r="U117" s="795"/>
      <c r="V117" s="795"/>
      <c r="W117" s="796"/>
      <c r="X117" s="796"/>
      <c r="Y117" s="796"/>
      <c r="Z117" s="796"/>
      <c r="AA117" s="797"/>
      <c r="AB117" s="798"/>
      <c r="AC117" s="2545"/>
      <c r="AD117" s="799"/>
      <c r="AE117" s="800"/>
      <c r="AF117" s="800"/>
      <c r="AG117" s="801"/>
      <c r="AH117" s="802"/>
      <c r="AI117" s="795"/>
      <c r="AJ117" s="795"/>
      <c r="AK117" s="795"/>
      <c r="AL117" s="795"/>
      <c r="AM117" s="795"/>
      <c r="AN117" s="795"/>
      <c r="AO117" s="795"/>
      <c r="AP117" s="795"/>
      <c r="AQ117" s="795"/>
      <c r="AR117" s="795"/>
      <c r="AS117" s="795"/>
      <c r="AT117" s="795"/>
      <c r="AU117" s="795"/>
      <c r="AV117" s="795"/>
      <c r="AW117" s="795"/>
      <c r="AX117" s="795"/>
      <c r="AY117" s="795"/>
      <c r="AZ117" s="795"/>
      <c r="BA117" s="795"/>
      <c r="BB117" s="795"/>
      <c r="BC117" s="795"/>
      <c r="BD117" s="795"/>
      <c r="BE117" s="795"/>
      <c r="BF117" s="795"/>
      <c r="BG117" s="795"/>
      <c r="BH117" s="795"/>
      <c r="BI117" s="795"/>
      <c r="BJ117" s="795"/>
      <c r="BK117" s="795"/>
      <c r="BL117" s="795"/>
      <c r="BM117" s="795"/>
      <c r="BN117" s="795"/>
      <c r="BO117" s="795"/>
      <c r="BP117" s="795"/>
      <c r="BQ117" s="795"/>
      <c r="BR117" s="795"/>
      <c r="BS117" s="795"/>
      <c r="BT117" s="795"/>
      <c r="BU117" s="795"/>
      <c r="BV117" s="796"/>
      <c r="BW117" s="796"/>
      <c r="BX117" s="796"/>
      <c r="BY117" s="796"/>
      <c r="BZ117" s="796"/>
      <c r="CA117" s="796"/>
      <c r="CB117" s="796"/>
      <c r="CC117" s="796"/>
      <c r="CD117" s="796"/>
      <c r="CE117" s="796"/>
    </row>
    <row s="12053" customFormat="1" customHeight="1" ht="24.75">
      <c r="A118" s="1976"/>
      <c r="B118" s="1330"/>
      <c r="C118" s="582"/>
      <c r="D118" s="2749"/>
      <c r="E118" s="2546" t="s">
        <v>625</v>
      </c>
      <c r="F118" s="2546"/>
      <c r="G118" s="2546"/>
      <c r="H118" s="2546"/>
      <c r="I118" s="2546"/>
      <c r="J118" s="2546"/>
      <c r="K118" s="2546"/>
      <c r="L118" s="2546"/>
      <c r="M118" s="2546"/>
      <c r="N118" s="2546"/>
      <c r="O118" s="2546"/>
      <c r="P118" s="2546"/>
      <c r="Q118" s="728">
        <f>SUMIF(T119:T120,"i",Q119:Q120)</f>
        <v>0</v>
      </c>
      <c r="R118" s="1187"/>
      <c r="S118" s="1968" t="s">
        <v>626</v>
      </c>
      <c r="T118" s="887" t="s">
        <v>627</v>
      </c>
      <c r="U118" s="2544">
        <v>1</v>
      </c>
      <c r="V118" s="2544" t="s">
        <v>590</v>
      </c>
      <c r="W118" s="1330"/>
      <c r="X118" s="1330"/>
      <c r="Y118" s="1330"/>
      <c r="Z118" s="1330"/>
      <c r="AA118" s="1806"/>
      <c r="AB118" s="1330"/>
      <c r="AC118" s="2545"/>
      <c r="AD118" s="799"/>
      <c r="AE118" s="1330"/>
      <c r="AF118" s="1330"/>
      <c r="AG118" s="1806"/>
      <c r="AH118" s="1806"/>
      <c r="AI118" s="1806"/>
      <c r="AJ118" s="1806"/>
      <c r="AK118" s="1806"/>
      <c r="AL118" s="1806"/>
      <c r="AM118" s="1806"/>
      <c r="AN118" s="1806"/>
      <c r="AO118" s="1806"/>
      <c r="AP118" s="1806"/>
      <c r="AQ118" s="1806"/>
      <c r="AR118" s="1806"/>
      <c r="AS118" s="1806"/>
      <c r="AT118" s="1806"/>
      <c r="AU118" s="1806"/>
      <c r="AV118" s="1806"/>
      <c r="AW118" s="1806"/>
      <c r="AX118" s="1806"/>
      <c r="AY118" s="1806"/>
      <c r="AZ118" s="1806"/>
      <c r="BA118" s="1806"/>
      <c r="BB118" s="1806"/>
      <c r="BC118" s="1806"/>
      <c r="BD118" s="1806"/>
      <c r="BE118" s="1806"/>
      <c r="BF118" s="1806"/>
      <c r="BG118" s="1806"/>
      <c r="BH118" s="1806"/>
      <c r="BI118" s="1806"/>
      <c r="BJ118" s="1806"/>
      <c r="BK118" s="1806"/>
      <c r="BL118" s="1806"/>
      <c r="BM118" s="1806"/>
      <c r="BN118" s="1806"/>
      <c r="BO118" s="1806"/>
      <c r="BP118" s="1806"/>
      <c r="BQ118" s="1806"/>
      <c r="BR118" s="1806"/>
      <c r="BS118" s="1806"/>
      <c r="BT118" s="1806"/>
      <c r="BU118" s="1806"/>
      <c r="BV118" s="1330"/>
      <c r="BW118" s="1330"/>
      <c r="BX118" s="1330"/>
      <c r="BY118" s="1330"/>
      <c r="BZ118" s="1330"/>
      <c r="CA118" s="1330"/>
      <c r="CB118" s="1330"/>
      <c r="CC118" s="1330"/>
      <c r="CD118" s="1330"/>
      <c r="CE118" s="1330"/>
    </row>
    <row s="12053" customFormat="1" customHeight="1" ht="11.25" hidden="1">
      <c r="A119" s="1963"/>
      <c r="B119" s="1806"/>
      <c r="C119" s="1806"/>
      <c r="D119" s="2749"/>
      <c r="E119" s="805"/>
      <c r="F119" s="805">
        <v>0</v>
      </c>
      <c r="G119" s="805"/>
      <c r="H119" s="805"/>
      <c r="I119" s="805"/>
      <c r="J119" s="805"/>
      <c r="K119" s="805"/>
      <c r="L119" s="805"/>
      <c r="M119" s="805"/>
      <c r="N119" s="805"/>
      <c r="O119" s="805"/>
      <c r="P119" s="805"/>
      <c r="Q119" s="805"/>
      <c r="R119" s="805"/>
      <c r="S119" s="806"/>
      <c r="T119" s="888"/>
      <c r="U119" s="2544"/>
      <c r="V119" s="2544"/>
      <c r="W119" s="1806"/>
      <c r="X119" s="1806"/>
      <c r="Y119" s="1806"/>
      <c r="Z119" s="1806"/>
      <c r="AA119" s="1806"/>
      <c r="AB119" s="1330"/>
      <c r="AC119" s="2545"/>
      <c r="AD119" s="799"/>
      <c r="AE119" s="1330"/>
      <c r="AF119" s="1330"/>
      <c r="AG119" s="1806"/>
      <c r="AH119" s="1806"/>
      <c r="AI119" s="1806"/>
      <c r="AJ119" s="1806"/>
      <c r="AK119" s="1806"/>
      <c r="AL119" s="1806"/>
      <c r="AM119" s="1806"/>
      <c r="AN119" s="1806"/>
      <c r="AO119" s="1806"/>
      <c r="AP119" s="1806"/>
      <c r="AQ119" s="1806"/>
      <c r="AR119" s="1806"/>
      <c r="AS119" s="1806"/>
      <c r="AT119" s="1806"/>
      <c r="AU119" s="1806"/>
      <c r="AV119" s="1806"/>
      <c r="AW119" s="1806"/>
      <c r="AX119" s="1806"/>
      <c r="AY119" s="1806"/>
      <c r="AZ119" s="1806"/>
      <c r="BA119" s="1806"/>
      <c r="BB119" s="1806"/>
      <c r="BC119" s="1806"/>
      <c r="BD119" s="1806"/>
      <c r="BE119" s="1806"/>
      <c r="BF119" s="1806"/>
      <c r="BG119" s="1806"/>
      <c r="BH119" s="1806"/>
      <c r="BI119" s="1806"/>
      <c r="BJ119" s="1806"/>
      <c r="BK119" s="1806"/>
      <c r="BL119" s="1806"/>
      <c r="BM119" s="1806"/>
      <c r="BN119" s="1806"/>
      <c r="BO119" s="1806"/>
      <c r="BP119" s="1806"/>
      <c r="BQ119" s="1806"/>
      <c r="BR119" s="1806"/>
      <c r="BS119" s="1806"/>
      <c r="BT119" s="1806"/>
      <c r="BU119" s="1806"/>
      <c r="BV119" s="1806"/>
      <c r="BW119" s="1806"/>
      <c r="BX119" s="1806"/>
      <c r="BY119" s="1806"/>
      <c r="BZ119" s="1806"/>
      <c r="CA119" s="1806"/>
      <c r="CB119" s="1806"/>
      <c r="CC119" s="1806"/>
      <c r="CD119" s="1806"/>
      <c r="CE119" s="1806"/>
    </row>
    <row s="12053" customFormat="1" customHeight="1" ht="11.25">
      <c r="A120" s="1976"/>
      <c r="B120" s="1330"/>
      <c r="C120" s="582"/>
      <c r="D120" s="2749"/>
      <c r="E120" s="819" t="s">
        <v>28</v>
      </c>
      <c r="F120" s="1338" t="s">
        <v>28</v>
      </c>
      <c r="G120" s="1338" t="s">
        <v>1951</v>
      </c>
      <c r="H120" s="821" t="s">
        <v>28</v>
      </c>
      <c r="I120" s="821"/>
      <c r="J120" s="821"/>
      <c r="K120" s="821"/>
      <c r="L120" s="821"/>
      <c r="M120" s="821"/>
      <c r="N120" s="821"/>
      <c r="O120" s="821"/>
      <c r="P120" s="821"/>
      <c r="Q120" s="821"/>
      <c r="R120" s="822"/>
      <c r="S120" s="823"/>
      <c r="T120" s="888"/>
      <c r="U120" s="2544"/>
      <c r="V120" s="2544"/>
      <c r="W120" s="1330"/>
      <c r="X120" s="1330"/>
      <c r="Y120" s="1330"/>
      <c r="Z120" s="1330"/>
      <c r="AA120" s="1806"/>
      <c r="AB120" s="1330"/>
      <c r="AC120" s="2545"/>
      <c r="AD120" s="799"/>
      <c r="AE120" s="1330"/>
      <c r="AF120" s="1330"/>
      <c r="AG120" s="1806"/>
      <c r="AH120" s="1806"/>
      <c r="AI120" s="1806"/>
      <c r="AJ120" s="1806"/>
      <c r="AK120" s="1806"/>
      <c r="AL120" s="1806"/>
      <c r="AM120" s="1806"/>
      <c r="AN120" s="1806"/>
      <c r="AO120" s="1806"/>
      <c r="AP120" s="1806"/>
      <c r="AQ120" s="1806"/>
      <c r="AR120" s="1806"/>
      <c r="AS120" s="1806"/>
      <c r="AT120" s="1806"/>
      <c r="AU120" s="1806"/>
      <c r="AV120" s="1806"/>
      <c r="AW120" s="1806"/>
      <c r="AX120" s="1806"/>
      <c r="AY120" s="1806"/>
      <c r="AZ120" s="1806"/>
      <c r="BA120" s="1806"/>
      <c r="BB120" s="1806"/>
      <c r="BC120" s="1806"/>
      <c r="BD120" s="1806"/>
      <c r="BE120" s="1806"/>
      <c r="BF120" s="1806"/>
      <c r="BG120" s="1806"/>
      <c r="BH120" s="1806"/>
      <c r="BI120" s="1806"/>
      <c r="BJ120" s="1806"/>
      <c r="BK120" s="1806"/>
      <c r="BL120" s="1806"/>
      <c r="BM120" s="1806"/>
      <c r="BN120" s="1806"/>
      <c r="BO120" s="1806"/>
      <c r="BP120" s="1806"/>
      <c r="BQ120" s="1806"/>
      <c r="BR120" s="1806"/>
      <c r="BS120" s="1806"/>
      <c r="BT120" s="1806"/>
      <c r="BU120" s="1806"/>
      <c r="BV120" s="1330"/>
      <c r="BW120" s="1330"/>
      <c r="BX120" s="1330"/>
      <c r="BY120" s="1330"/>
      <c r="BZ120" s="1330"/>
      <c r="CA120" s="1330"/>
      <c r="CB120" s="1330"/>
      <c r="CC120" s="1330"/>
      <c r="CD120" s="1330"/>
      <c r="CE120" s="1330"/>
    </row>
    <row s="12053" customFormat="1" customHeight="1" ht="24.75">
      <c r="A121" s="1976"/>
      <c r="B121" s="1330"/>
      <c r="C121" s="582"/>
      <c r="D121" s="2749"/>
      <c r="E121" s="2546" t="s">
        <v>628</v>
      </c>
      <c r="F121" s="2546"/>
      <c r="G121" s="2546"/>
      <c r="H121" s="2546"/>
      <c r="I121" s="2546"/>
      <c r="J121" s="2546"/>
      <c r="K121" s="2546"/>
      <c r="L121" s="2546"/>
      <c r="M121" s="2546"/>
      <c r="N121" s="2546"/>
      <c r="O121" s="2546"/>
      <c r="P121" s="2546"/>
      <c r="Q121" s="728">
        <f>SUMIF(T122:T123,"i",Q122:Q123)</f>
        <v>0</v>
      </c>
      <c r="R121" s="1187"/>
      <c r="S121" s="1968" t="s">
        <v>629</v>
      </c>
      <c r="T121" s="887" t="s">
        <v>627</v>
      </c>
      <c r="U121" s="2544">
        <v>1</v>
      </c>
      <c r="V121" s="2544" t="s">
        <v>590</v>
      </c>
      <c r="W121" s="1330"/>
      <c r="X121" s="1330"/>
      <c r="Y121" s="1330"/>
      <c r="Z121" s="1330"/>
      <c r="AA121" s="1806"/>
      <c r="AB121" s="1330"/>
      <c r="AC121" s="1966"/>
      <c r="AD121" s="799"/>
      <c r="AE121" s="1330"/>
      <c r="AF121" s="1330"/>
      <c r="AG121" s="1806"/>
      <c r="AH121" s="1806"/>
      <c r="AI121" s="1806"/>
      <c r="AJ121" s="1806"/>
      <c r="AK121" s="1806"/>
      <c r="AL121" s="1806"/>
      <c r="AM121" s="1806"/>
      <c r="AN121" s="1806"/>
      <c r="AO121" s="1806"/>
      <c r="AP121" s="1806"/>
      <c r="AQ121" s="1806"/>
      <c r="AR121" s="1806"/>
      <c r="AS121" s="1806"/>
      <c r="AT121" s="1806"/>
      <c r="AU121" s="1806"/>
      <c r="AV121" s="1806"/>
      <c r="AW121" s="1806"/>
      <c r="AX121" s="1806"/>
      <c r="AY121" s="1806"/>
      <c r="AZ121" s="1806"/>
      <c r="BA121" s="1806"/>
      <c r="BB121" s="1806"/>
      <c r="BC121" s="1806"/>
      <c r="BD121" s="1806"/>
      <c r="BE121" s="1806"/>
      <c r="BF121" s="1806"/>
      <c r="BG121" s="1806"/>
      <c r="BH121" s="1806"/>
      <c r="BI121" s="1806"/>
      <c r="BJ121" s="1806"/>
      <c r="BK121" s="1806"/>
      <c r="BL121" s="1806"/>
      <c r="BM121" s="1806"/>
      <c r="BN121" s="1806"/>
      <c r="BO121" s="1806"/>
      <c r="BP121" s="1806"/>
      <c r="BQ121" s="1806"/>
      <c r="BR121" s="1806"/>
      <c r="BS121" s="1806"/>
      <c r="BT121" s="1806"/>
      <c r="BU121" s="1806"/>
      <c r="BV121" s="1330"/>
      <c r="BW121" s="1330"/>
      <c r="BX121" s="1330"/>
      <c r="BY121" s="1330"/>
      <c r="BZ121" s="1330"/>
      <c r="CA121" s="1330"/>
      <c r="CB121" s="1330"/>
      <c r="CC121" s="1330"/>
      <c r="CD121" s="1330"/>
      <c r="CE121" s="1330"/>
    </row>
    <row s="12053" customFormat="1" customHeight="1" ht="11.25" hidden="1">
      <c r="A122" s="1963"/>
      <c r="B122" s="1806"/>
      <c r="C122" s="1806"/>
      <c r="D122" s="2749"/>
      <c r="E122" s="805"/>
      <c r="F122" s="805">
        <v>0</v>
      </c>
      <c r="G122" s="805"/>
      <c r="H122" s="805"/>
      <c r="I122" s="805"/>
      <c r="J122" s="805"/>
      <c r="K122" s="805"/>
      <c r="L122" s="805"/>
      <c r="M122" s="805"/>
      <c r="N122" s="805"/>
      <c r="O122" s="805"/>
      <c r="P122" s="805"/>
      <c r="Q122" s="805"/>
      <c r="R122" s="805"/>
      <c r="S122" s="806"/>
      <c r="T122" s="888"/>
      <c r="U122" s="2544"/>
      <c r="V122" s="2544"/>
      <c r="W122" s="1806"/>
      <c r="X122" s="1806"/>
      <c r="Y122" s="1806"/>
      <c r="Z122" s="1806"/>
      <c r="AA122" s="1806"/>
      <c r="AB122" s="1330"/>
      <c r="AC122" s="1966"/>
      <c r="AD122" s="799"/>
      <c r="AE122" s="1330"/>
      <c r="AF122" s="1330"/>
      <c r="AG122" s="1806"/>
      <c r="AH122" s="1806"/>
      <c r="AI122" s="1806"/>
      <c r="AJ122" s="1806"/>
      <c r="AK122" s="1806"/>
      <c r="AL122" s="1806"/>
      <c r="AM122" s="1806"/>
      <c r="AN122" s="1806"/>
      <c r="AO122" s="1806"/>
      <c r="AP122" s="1806"/>
      <c r="AQ122" s="1806"/>
      <c r="AR122" s="1806"/>
      <c r="AS122" s="1806"/>
      <c r="AT122" s="1806"/>
      <c r="AU122" s="1806"/>
      <c r="AV122" s="1806"/>
      <c r="AW122" s="1806"/>
      <c r="AX122" s="1806"/>
      <c r="AY122" s="1806"/>
      <c r="AZ122" s="1806"/>
      <c r="BA122" s="1806"/>
      <c r="BB122" s="1806"/>
      <c r="BC122" s="1806"/>
      <c r="BD122" s="1806"/>
      <c r="BE122" s="1806"/>
      <c r="BF122" s="1806"/>
      <c r="BG122" s="1806"/>
      <c r="BH122" s="1806"/>
      <c r="BI122" s="1806"/>
      <c r="BJ122" s="1806"/>
      <c r="BK122" s="1806"/>
      <c r="BL122" s="1806"/>
      <c r="BM122" s="1806"/>
      <c r="BN122" s="1806"/>
      <c r="BO122" s="1806"/>
      <c r="BP122" s="1806"/>
      <c r="BQ122" s="1806"/>
      <c r="BR122" s="1806"/>
      <c r="BS122" s="1806"/>
      <c r="BT122" s="1806"/>
      <c r="BU122" s="1806"/>
      <c r="BV122" s="1806"/>
      <c r="BW122" s="1806"/>
      <c r="BX122" s="1806"/>
      <c r="BY122" s="1806"/>
      <c r="BZ122" s="1806"/>
      <c r="CA122" s="1806"/>
      <c r="CB122" s="1806"/>
      <c r="CC122" s="1806"/>
      <c r="CD122" s="1806"/>
      <c r="CE122" s="1806"/>
    </row>
    <row s="12053" customFormat="1" customHeight="1" ht="11.25">
      <c r="A123" s="1976"/>
      <c r="B123" s="1330"/>
      <c r="C123" s="582"/>
      <c r="D123" s="2750"/>
      <c r="E123" s="819" t="s">
        <v>28</v>
      </c>
      <c r="F123" s="1338" t="s">
        <v>28</v>
      </c>
      <c r="G123" s="1338" t="s">
        <v>1951</v>
      </c>
      <c r="H123" s="821" t="s">
        <v>28</v>
      </c>
      <c r="I123" s="821"/>
      <c r="J123" s="821"/>
      <c r="K123" s="821"/>
      <c r="L123" s="821"/>
      <c r="M123" s="821"/>
      <c r="N123" s="821"/>
      <c r="O123" s="821"/>
      <c r="P123" s="821"/>
      <c r="Q123" s="821"/>
      <c r="R123" s="822"/>
      <c r="S123" s="823"/>
      <c r="T123" s="888"/>
      <c r="U123" s="2544"/>
      <c r="V123" s="2544"/>
      <c r="W123" s="1330"/>
      <c r="X123" s="1330"/>
      <c r="Y123" s="1330"/>
      <c r="Z123" s="1330"/>
      <c r="AA123" s="1806"/>
      <c r="AB123" s="1330"/>
      <c r="AC123" s="1966"/>
      <c r="AD123" s="799"/>
      <c r="AE123" s="1330"/>
      <c r="AF123" s="1330"/>
      <c r="AG123" s="1806"/>
      <c r="AH123" s="1806"/>
      <c r="AI123" s="1806"/>
      <c r="AJ123" s="1806"/>
      <c r="AK123" s="1806"/>
      <c r="AL123" s="1806"/>
      <c r="AM123" s="1806"/>
      <c r="AN123" s="1806"/>
      <c r="AO123" s="1806"/>
      <c r="AP123" s="1806"/>
      <c r="AQ123" s="1806"/>
      <c r="AR123" s="1806"/>
      <c r="AS123" s="1806"/>
      <c r="AT123" s="1806"/>
      <c r="AU123" s="1806"/>
      <c r="AV123" s="1806"/>
      <c r="AW123" s="1806"/>
      <c r="AX123" s="1806"/>
      <c r="AY123" s="1806"/>
      <c r="AZ123" s="1806"/>
      <c r="BA123" s="1806"/>
      <c r="BB123" s="1806"/>
      <c r="BC123" s="1806"/>
      <c r="BD123" s="1806"/>
      <c r="BE123" s="1806"/>
      <c r="BF123" s="1806"/>
      <c r="BG123" s="1806"/>
      <c r="BH123" s="1806"/>
      <c r="BI123" s="1806"/>
      <c r="BJ123" s="1806"/>
      <c r="BK123" s="1806"/>
      <c r="BL123" s="1806"/>
      <c r="BM123" s="1806"/>
      <c r="BN123" s="1806"/>
      <c r="BO123" s="1806"/>
      <c r="BP123" s="1806"/>
      <c r="BQ123" s="1806"/>
      <c r="BR123" s="1806"/>
      <c r="BS123" s="1806"/>
      <c r="BT123" s="1806"/>
      <c r="BU123" s="1806"/>
      <c r="BV123" s="1330"/>
      <c r="BW123" s="1330"/>
      <c r="BX123" s="1330"/>
      <c r="BY123" s="1330"/>
      <c r="BZ123" s="1330"/>
      <c r="CA123" s="1330"/>
      <c r="CB123" s="1330"/>
      <c r="CC123" s="1330"/>
      <c r="CD123" s="1330"/>
      <c r="CE123" s="1330"/>
    </row>
    <row r="125" s="15413" customFormat="1" customHeight="1" ht="11.25">
      <c r="A125" s="1985" t="s">
        <v>1952</v>
      </c>
    </row>
    <row r="127" s="12053" customFormat="1" customHeight="1" ht="15">
      <c r="A127" s="793"/>
      <c r="B127" s="794"/>
      <c r="C127" s="794"/>
      <c r="D127" s="2748" t="s">
        <v>112</v>
      </c>
      <c r="E127" s="2547" t="s">
        <v>108</v>
      </c>
      <c r="F127" s="2548"/>
      <c r="G127" s="2549"/>
      <c r="H127" s="2553" t="str">
        <f>IF(A127="","",INDEX(DIFFERENTIATION_UNMERGE_VD,MATCH(A127,DIFFERENTIATION_ID_DIFF,0)))</f>
        <v/>
      </c>
      <c r="I127" s="2553"/>
      <c r="J127" s="2553"/>
      <c r="K127" s="2553"/>
      <c r="L127" s="2553"/>
      <c r="M127" s="2553"/>
      <c r="N127" s="2553"/>
      <c r="O127" s="2553"/>
      <c r="P127" s="2553"/>
      <c r="Q127" s="2553"/>
      <c r="R127" s="2553"/>
      <c r="S127" s="889"/>
      <c r="T127" s="886"/>
      <c r="U127" s="795"/>
      <c r="V127" s="795"/>
      <c r="W127" s="796"/>
      <c r="X127" s="796"/>
      <c r="Y127" s="796"/>
      <c r="Z127" s="796"/>
      <c r="AA127" s="797"/>
      <c r="AB127" s="798"/>
      <c r="AC127" s="2545"/>
      <c r="AD127" s="799"/>
      <c r="AE127" s="800" t="s">
        <v>28</v>
      </c>
      <c r="AF127" s="800"/>
      <c r="AG127" s="801" t="s">
        <v>624</v>
      </c>
      <c r="AH127" s="802">
        <v>3</v>
      </c>
      <c r="AI127" s="795"/>
      <c r="AJ127" s="795"/>
      <c r="AK127" s="795"/>
      <c r="AL127" s="795"/>
      <c r="AM127" s="795"/>
      <c r="AN127" s="795"/>
      <c r="AO127" s="795"/>
      <c r="AP127" s="795"/>
      <c r="AQ127" s="795"/>
      <c r="AR127" s="795"/>
      <c r="AS127" s="795"/>
      <c r="AT127" s="795"/>
      <c r="AU127" s="795"/>
      <c r="AV127" s="795"/>
      <c r="AW127" s="795"/>
      <c r="AX127" s="795"/>
      <c r="AY127" s="795"/>
      <c r="AZ127" s="795"/>
      <c r="BA127" s="795"/>
      <c r="BB127" s="795"/>
      <c r="BC127" s="795"/>
      <c r="BD127" s="795"/>
      <c r="BE127" s="795"/>
      <c r="BF127" s="795"/>
      <c r="BG127" s="795"/>
      <c r="BH127" s="795"/>
      <c r="BI127" s="795"/>
      <c r="BJ127" s="795"/>
      <c r="BK127" s="795"/>
      <c r="BL127" s="795"/>
      <c r="BM127" s="795"/>
      <c r="BN127" s="795"/>
      <c r="BO127" s="795"/>
      <c r="BP127" s="795"/>
      <c r="BQ127" s="795"/>
      <c r="BR127" s="795"/>
      <c r="BS127" s="795"/>
      <c r="BT127" s="795"/>
      <c r="BU127" s="795"/>
      <c r="BV127" s="796"/>
      <c r="BW127" s="796"/>
      <c r="BX127" s="796"/>
      <c r="BY127" s="796"/>
      <c r="BZ127" s="796"/>
      <c r="CA127" s="796"/>
      <c r="CB127" s="796"/>
      <c r="CC127" s="796"/>
      <c r="CD127" s="796"/>
      <c r="CE127" s="796"/>
    </row>
    <row s="12053" customFormat="1" customHeight="1" ht="15">
      <c r="A128" s="793"/>
      <c r="B128" s="794"/>
      <c r="C128" s="794"/>
      <c r="D128" s="2749"/>
      <c r="E128" s="2547" t="s">
        <v>579</v>
      </c>
      <c r="F128" s="2548"/>
      <c r="G128" s="2549"/>
      <c r="H128" s="2553" t="str">
        <f>IF(A127="","",INDEX(DIFFERENTIATION_UNMERGE_AREA,MATCH(A127,DIFFERENTIATION_ID_DIFF,0)))</f>
        <v/>
      </c>
      <c r="I128" s="2553"/>
      <c r="J128" s="2553"/>
      <c r="K128" s="2553"/>
      <c r="L128" s="2553"/>
      <c r="M128" s="2553"/>
      <c r="N128" s="2553"/>
      <c r="O128" s="2553"/>
      <c r="P128" s="2553"/>
      <c r="Q128" s="2553"/>
      <c r="R128" s="2553"/>
      <c r="S128" s="889"/>
      <c r="T128" s="886"/>
      <c r="U128" s="795"/>
      <c r="V128" s="795"/>
      <c r="W128" s="796"/>
      <c r="X128" s="796"/>
      <c r="Y128" s="796"/>
      <c r="Z128" s="796"/>
      <c r="AA128" s="797"/>
      <c r="AB128" s="798"/>
      <c r="AC128" s="2545"/>
      <c r="AD128" s="799"/>
      <c r="AE128" s="800"/>
      <c r="AF128" s="800"/>
      <c r="AG128" s="801"/>
      <c r="AH128" s="802"/>
      <c r="AI128" s="795"/>
      <c r="AJ128" s="795"/>
      <c r="AK128" s="795"/>
      <c r="AL128" s="795"/>
      <c r="AM128" s="795"/>
      <c r="AN128" s="795"/>
      <c r="AO128" s="795"/>
      <c r="AP128" s="795"/>
      <c r="AQ128" s="795"/>
      <c r="AR128" s="795"/>
      <c r="AS128" s="795"/>
      <c r="AT128" s="795"/>
      <c r="AU128" s="795"/>
      <c r="AV128" s="795"/>
      <c r="AW128" s="795"/>
      <c r="AX128" s="795"/>
      <c r="AY128" s="795"/>
      <c r="AZ128" s="795"/>
      <c r="BA128" s="795"/>
      <c r="BB128" s="795"/>
      <c r="BC128" s="795"/>
      <c r="BD128" s="795"/>
      <c r="BE128" s="795"/>
      <c r="BF128" s="795"/>
      <c r="BG128" s="795"/>
      <c r="BH128" s="795"/>
      <c r="BI128" s="795"/>
      <c r="BJ128" s="795"/>
      <c r="BK128" s="795"/>
      <c r="BL128" s="795"/>
      <c r="BM128" s="795"/>
      <c r="BN128" s="795"/>
      <c r="BO128" s="795"/>
      <c r="BP128" s="795"/>
      <c r="BQ128" s="795"/>
      <c r="BR128" s="795"/>
      <c r="BS128" s="795"/>
      <c r="BT128" s="795"/>
      <c r="BU128" s="795"/>
      <c r="BV128" s="796"/>
      <c r="BW128" s="796"/>
      <c r="BX128" s="796"/>
      <c r="BY128" s="796"/>
      <c r="BZ128" s="796"/>
      <c r="CA128" s="796"/>
      <c r="CB128" s="796"/>
      <c r="CC128" s="796"/>
      <c r="CD128" s="796"/>
      <c r="CE128" s="796"/>
    </row>
    <row s="12053" customFormat="1" customHeight="1" ht="15">
      <c r="A129" s="793"/>
      <c r="B129" s="794"/>
      <c r="C129" s="794"/>
      <c r="D129" s="2749"/>
      <c r="E129" s="2547" t="s">
        <v>580</v>
      </c>
      <c r="F129" s="2548"/>
      <c r="G129" s="2549"/>
      <c r="H129" s="2553" t="str">
        <f>IF(A127="","",INDEX(DIFFERENTIATION_UNMERGE_SYSTEM,MATCH(A127,DIFFERENTIATION_ID_DIFF,0)))</f>
        <v/>
      </c>
      <c r="I129" s="2553"/>
      <c r="J129" s="2553"/>
      <c r="K129" s="2553"/>
      <c r="L129" s="2553"/>
      <c r="M129" s="2553"/>
      <c r="N129" s="2553"/>
      <c r="O129" s="2553"/>
      <c r="P129" s="2553"/>
      <c r="Q129" s="2553"/>
      <c r="R129" s="2553"/>
      <c r="S129" s="889"/>
      <c r="T129" s="886"/>
      <c r="U129" s="795"/>
      <c r="V129" s="795"/>
      <c r="W129" s="796"/>
      <c r="X129" s="796"/>
      <c r="Y129" s="796"/>
      <c r="Z129" s="796"/>
      <c r="AA129" s="797"/>
      <c r="AB129" s="798"/>
      <c r="AC129" s="2545"/>
      <c r="AD129" s="799"/>
      <c r="AE129" s="800"/>
      <c r="AF129" s="800"/>
      <c r="AG129" s="801"/>
      <c r="AH129" s="802"/>
      <c r="AI129" s="795"/>
      <c r="AJ129" s="795"/>
      <c r="AK129" s="795"/>
      <c r="AL129" s="795"/>
      <c r="AM129" s="795"/>
      <c r="AN129" s="795"/>
      <c r="AO129" s="795"/>
      <c r="AP129" s="795"/>
      <c r="AQ129" s="795"/>
      <c r="AR129" s="795"/>
      <c r="AS129" s="795"/>
      <c r="AT129" s="795"/>
      <c r="AU129" s="795"/>
      <c r="AV129" s="795"/>
      <c r="AW129" s="795"/>
      <c r="AX129" s="795"/>
      <c r="AY129" s="795"/>
      <c r="AZ129" s="795"/>
      <c r="BA129" s="795"/>
      <c r="BB129" s="795"/>
      <c r="BC129" s="795"/>
      <c r="BD129" s="795"/>
      <c r="BE129" s="795"/>
      <c r="BF129" s="795"/>
      <c r="BG129" s="795"/>
      <c r="BH129" s="795"/>
      <c r="BI129" s="795"/>
      <c r="BJ129" s="795"/>
      <c r="BK129" s="795"/>
      <c r="BL129" s="795"/>
      <c r="BM129" s="795"/>
      <c r="BN129" s="795"/>
      <c r="BO129" s="795"/>
      <c r="BP129" s="795"/>
      <c r="BQ129" s="795"/>
      <c r="BR129" s="795"/>
      <c r="BS129" s="795"/>
      <c r="BT129" s="795"/>
      <c r="BU129" s="795"/>
      <c r="BV129" s="796"/>
      <c r="BW129" s="796"/>
      <c r="BX129" s="796"/>
      <c r="BY129" s="796"/>
      <c r="BZ129" s="796"/>
      <c r="CA129" s="796"/>
      <c r="CB129" s="796"/>
      <c r="CC129" s="796"/>
      <c r="CD129" s="796"/>
      <c r="CE129" s="796"/>
    </row>
    <row s="12053" customFormat="1" customHeight="1" ht="24.75">
      <c r="A130" s="1976"/>
      <c r="B130" s="1330"/>
      <c r="C130" s="582"/>
      <c r="D130" s="2749"/>
      <c r="E130" s="2546" t="s">
        <v>625</v>
      </c>
      <c r="F130" s="2546"/>
      <c r="G130" s="2546"/>
      <c r="H130" s="2546"/>
      <c r="I130" s="2546"/>
      <c r="J130" s="2546"/>
      <c r="K130" s="2546"/>
      <c r="L130" s="2546"/>
      <c r="M130" s="2546"/>
      <c r="N130" s="2546"/>
      <c r="O130" s="2546"/>
      <c r="P130" s="2546"/>
      <c r="Q130" s="728">
        <f>SUMIF(T131:T132,"i",Q131:Q132)</f>
        <v>0</v>
      </c>
      <c r="R130" s="1187"/>
      <c r="S130" s="1968" t="s">
        <v>626</v>
      </c>
      <c r="T130" s="887" t="s">
        <v>627</v>
      </c>
      <c r="U130" s="2544">
        <v>1</v>
      </c>
      <c r="V130" s="2544" t="s">
        <v>590</v>
      </c>
      <c r="W130" s="1330"/>
      <c r="X130" s="1330"/>
      <c r="Y130" s="1330"/>
      <c r="Z130" s="1330"/>
      <c r="AA130" s="1806"/>
      <c r="AB130" s="1330"/>
      <c r="AC130" s="2545"/>
      <c r="AD130" s="799"/>
      <c r="AE130" s="1330"/>
      <c r="AF130" s="1330"/>
      <c r="AG130" s="1806"/>
      <c r="AH130" s="1806"/>
      <c r="AI130" s="1806"/>
      <c r="AJ130" s="1806"/>
      <c r="AK130" s="1806"/>
      <c r="AL130" s="1806"/>
      <c r="AM130" s="1806"/>
      <c r="AN130" s="1806"/>
      <c r="AO130" s="1806"/>
      <c r="AP130" s="1806"/>
      <c r="AQ130" s="1806"/>
      <c r="AR130" s="1806"/>
      <c r="AS130" s="1806"/>
      <c r="AT130" s="1806"/>
      <c r="AU130" s="1806"/>
      <c r="AV130" s="1806"/>
      <c r="AW130" s="1806"/>
      <c r="AX130" s="1806"/>
      <c r="AY130" s="1806"/>
      <c r="AZ130" s="1806"/>
      <c r="BA130" s="1806"/>
      <c r="BB130" s="1806"/>
      <c r="BC130" s="1806"/>
      <c r="BD130" s="1806"/>
      <c r="BE130" s="1806"/>
      <c r="BF130" s="1806"/>
      <c r="BG130" s="1806"/>
      <c r="BH130" s="1806"/>
      <c r="BI130" s="1806"/>
      <c r="BJ130" s="1806"/>
      <c r="BK130" s="1806"/>
      <c r="BL130" s="1806"/>
      <c r="BM130" s="1806"/>
      <c r="BN130" s="1806"/>
      <c r="BO130" s="1806"/>
      <c r="BP130" s="1806"/>
      <c r="BQ130" s="1806"/>
      <c r="BR130" s="1806"/>
      <c r="BS130" s="1806"/>
      <c r="BT130" s="1806"/>
      <c r="BU130" s="1806"/>
      <c r="BV130" s="1330"/>
      <c r="BW130" s="1330"/>
      <c r="BX130" s="1330"/>
      <c r="BY130" s="1330"/>
      <c r="BZ130" s="1330"/>
      <c r="CA130" s="1330"/>
      <c r="CB130" s="1330"/>
      <c r="CC130" s="1330"/>
      <c r="CD130" s="1330"/>
      <c r="CE130" s="1330"/>
    </row>
    <row s="12053" customFormat="1" customHeight="1" ht="11.25" hidden="1">
      <c r="A131" s="1963"/>
      <c r="B131" s="1806"/>
      <c r="C131" s="1806"/>
      <c r="D131" s="2749"/>
      <c r="E131" s="805"/>
      <c r="F131" s="805">
        <v>0</v>
      </c>
      <c r="G131" s="805"/>
      <c r="H131" s="805"/>
      <c r="I131" s="805"/>
      <c r="J131" s="805"/>
      <c r="K131" s="805"/>
      <c r="L131" s="805"/>
      <c r="M131" s="805"/>
      <c r="N131" s="805"/>
      <c r="O131" s="805"/>
      <c r="P131" s="805"/>
      <c r="Q131" s="805"/>
      <c r="R131" s="805"/>
      <c r="S131" s="806"/>
      <c r="T131" s="888"/>
      <c r="U131" s="2544"/>
      <c r="V131" s="2544"/>
      <c r="W131" s="1806"/>
      <c r="X131" s="1806"/>
      <c r="Y131" s="1806"/>
      <c r="Z131" s="1806"/>
      <c r="AA131" s="1806"/>
      <c r="AB131" s="1330"/>
      <c r="AC131" s="2545"/>
      <c r="AD131" s="799"/>
      <c r="AE131" s="1330"/>
      <c r="AF131" s="1330"/>
      <c r="AG131" s="1806"/>
      <c r="AH131" s="1806"/>
      <c r="AI131" s="1806"/>
      <c r="AJ131" s="1806"/>
      <c r="AK131" s="1806"/>
      <c r="AL131" s="1806"/>
      <c r="AM131" s="1806"/>
      <c r="AN131" s="1806"/>
      <c r="AO131" s="1806"/>
      <c r="AP131" s="1806"/>
      <c r="AQ131" s="1806"/>
      <c r="AR131" s="1806"/>
      <c r="AS131" s="1806"/>
      <c r="AT131" s="1806"/>
      <c r="AU131" s="1806"/>
      <c r="AV131" s="1806"/>
      <c r="AW131" s="1806"/>
      <c r="AX131" s="1806"/>
      <c r="AY131" s="1806"/>
      <c r="AZ131" s="1806"/>
      <c r="BA131" s="1806"/>
      <c r="BB131" s="1806"/>
      <c r="BC131" s="1806"/>
      <c r="BD131" s="1806"/>
      <c r="BE131" s="1806"/>
      <c r="BF131" s="1806"/>
      <c r="BG131" s="1806"/>
      <c r="BH131" s="1806"/>
      <c r="BI131" s="1806"/>
      <c r="BJ131" s="1806"/>
      <c r="BK131" s="1806"/>
      <c r="BL131" s="1806"/>
      <c r="BM131" s="1806"/>
      <c r="BN131" s="1806"/>
      <c r="BO131" s="1806"/>
      <c r="BP131" s="1806"/>
      <c r="BQ131" s="1806"/>
      <c r="BR131" s="1806"/>
      <c r="BS131" s="1806"/>
      <c r="BT131" s="1806"/>
      <c r="BU131" s="1806"/>
      <c r="BV131" s="1806"/>
      <c r="BW131" s="1806"/>
      <c r="BX131" s="1806"/>
      <c r="BY131" s="1806"/>
      <c r="BZ131" s="1806"/>
      <c r="CA131" s="1806"/>
      <c r="CB131" s="1806"/>
      <c r="CC131" s="1806"/>
      <c r="CD131" s="1806"/>
      <c r="CE131" s="1806"/>
    </row>
    <row s="12053" customFormat="1" customHeight="1" ht="11.25">
      <c r="A132" s="1976"/>
      <c r="B132" s="1330"/>
      <c r="C132" s="582"/>
      <c r="D132" s="2749"/>
      <c r="E132" s="819" t="s">
        <v>28</v>
      </c>
      <c r="F132" s="1338" t="s">
        <v>28</v>
      </c>
      <c r="G132" s="1338" t="s">
        <v>1951</v>
      </c>
      <c r="H132" s="821" t="s">
        <v>28</v>
      </c>
      <c r="I132" s="821"/>
      <c r="J132" s="821"/>
      <c r="K132" s="821"/>
      <c r="L132" s="821"/>
      <c r="M132" s="821"/>
      <c r="N132" s="821"/>
      <c r="O132" s="821"/>
      <c r="P132" s="821"/>
      <c r="Q132" s="821"/>
      <c r="R132" s="822"/>
      <c r="S132" s="823"/>
      <c r="T132" s="888"/>
      <c r="U132" s="2544"/>
      <c r="V132" s="2544"/>
      <c r="W132" s="1330"/>
      <c r="X132" s="1330"/>
      <c r="Y132" s="1330"/>
      <c r="Z132" s="1330"/>
      <c r="AA132" s="1806"/>
      <c r="AB132" s="1330"/>
      <c r="AC132" s="2545"/>
      <c r="AD132" s="799"/>
      <c r="AE132" s="1330"/>
      <c r="AF132" s="1330"/>
      <c r="AG132" s="1806"/>
      <c r="AH132" s="1806"/>
      <c r="AI132" s="1806"/>
      <c r="AJ132" s="1806"/>
      <c r="AK132" s="1806"/>
      <c r="AL132" s="1806"/>
      <c r="AM132" s="1806"/>
      <c r="AN132" s="1806"/>
      <c r="AO132" s="1806"/>
      <c r="AP132" s="1806"/>
      <c r="AQ132" s="1806"/>
      <c r="AR132" s="1806"/>
      <c r="AS132" s="1806"/>
      <c r="AT132" s="1806"/>
      <c r="AU132" s="1806"/>
      <c r="AV132" s="1806"/>
      <c r="AW132" s="1806"/>
      <c r="AX132" s="1806"/>
      <c r="AY132" s="1806"/>
      <c r="AZ132" s="1806"/>
      <c r="BA132" s="1806"/>
      <c r="BB132" s="1806"/>
      <c r="BC132" s="1806"/>
      <c r="BD132" s="1806"/>
      <c r="BE132" s="1806"/>
      <c r="BF132" s="1806"/>
      <c r="BG132" s="1806"/>
      <c r="BH132" s="1806"/>
      <c r="BI132" s="1806"/>
      <c r="BJ132" s="1806"/>
      <c r="BK132" s="1806"/>
      <c r="BL132" s="1806"/>
      <c r="BM132" s="1806"/>
      <c r="BN132" s="1806"/>
      <c r="BO132" s="1806"/>
      <c r="BP132" s="1806"/>
      <c r="BQ132" s="1806"/>
      <c r="BR132" s="1806"/>
      <c r="BS132" s="1806"/>
      <c r="BT132" s="1806"/>
      <c r="BU132" s="1806"/>
      <c r="BV132" s="1330"/>
      <c r="BW132" s="1330"/>
      <c r="BX132" s="1330"/>
      <c r="BY132" s="1330"/>
      <c r="BZ132" s="1330"/>
      <c r="CA132" s="1330"/>
      <c r="CB132" s="1330"/>
      <c r="CC132" s="1330"/>
      <c r="CD132" s="1330"/>
      <c r="CE132" s="1330"/>
    </row>
    <row s="12458" customFormat="1" customHeight="1" ht="5.25" hidden="1">
      <c r="A133" s="1963"/>
      <c r="B133" s="1806"/>
      <c r="C133" s="1806"/>
      <c r="D133" s="2749"/>
      <c r="E133" s="1209"/>
      <c r="F133" s="1209"/>
      <c r="G133" s="1209"/>
      <c r="H133" s="1209"/>
      <c r="I133" s="1209"/>
      <c r="J133" s="1209"/>
      <c r="K133" s="1209"/>
      <c r="L133" s="1209"/>
      <c r="M133" s="1209"/>
      <c r="N133" s="1209"/>
      <c r="O133" s="1209"/>
      <c r="P133" s="1209"/>
      <c r="Q133" s="1210"/>
      <c r="R133" s="1211"/>
      <c r="S133" s="1212"/>
      <c r="T133" s="887" t="s">
        <v>627</v>
      </c>
      <c r="U133" s="2544">
        <v>1</v>
      </c>
      <c r="V133" s="2544" t="s">
        <v>590</v>
      </c>
      <c r="W133" s="1806"/>
      <c r="X133" s="1806"/>
      <c r="Y133" s="1806"/>
      <c r="Z133" s="1806"/>
      <c r="AA133" s="1806"/>
      <c r="AB133" s="1806"/>
      <c r="AC133" s="1207"/>
      <c r="AD133" s="1208"/>
      <c r="AE133" s="1806"/>
      <c r="AF133" s="1806"/>
      <c r="AG133" s="1806"/>
      <c r="AH133" s="1806"/>
      <c r="AI133" s="1806"/>
      <c r="AJ133" s="1806"/>
      <c r="AK133" s="1806"/>
      <c r="AL133" s="1806"/>
      <c r="AM133" s="1806"/>
      <c r="AN133" s="1806"/>
      <c r="AO133" s="1806"/>
      <c r="AP133" s="1806"/>
      <c r="AQ133" s="1806"/>
      <c r="AR133" s="1806"/>
      <c r="AS133" s="1806"/>
      <c r="AT133" s="1806"/>
      <c r="AU133" s="1806"/>
      <c r="AV133" s="1806"/>
      <c r="AW133" s="1806"/>
      <c r="AX133" s="1806"/>
      <c r="AY133" s="1806"/>
      <c r="AZ133" s="1806"/>
      <c r="BA133" s="1806"/>
      <c r="BB133" s="1806"/>
      <c r="BC133" s="1806"/>
      <c r="BD133" s="1806"/>
      <c r="BE133" s="1806"/>
      <c r="BF133" s="1806"/>
      <c r="BG133" s="1806"/>
      <c r="BH133" s="1806"/>
      <c r="BI133" s="1806"/>
      <c r="BJ133" s="1806"/>
      <c r="BK133" s="1806"/>
      <c r="BL133" s="1806"/>
      <c r="BM133" s="1806"/>
      <c r="BN133" s="1806"/>
      <c r="BO133" s="1806"/>
      <c r="BP133" s="1806"/>
      <c r="BQ133" s="1806"/>
      <c r="BR133" s="1806"/>
      <c r="BS133" s="1806"/>
      <c r="BT133" s="1806"/>
      <c r="BU133" s="1806"/>
      <c r="BV133" s="1806"/>
      <c r="BW133" s="1806"/>
      <c r="BX133" s="1806"/>
      <c r="BY133" s="1806"/>
      <c r="BZ133" s="1806"/>
      <c r="CA133" s="1806"/>
      <c r="CB133" s="1806"/>
      <c r="CC133" s="1806"/>
      <c r="CD133" s="1806"/>
      <c r="CE133" s="1806"/>
    </row>
    <row s="12458" customFormat="1" customHeight="1" ht="5.25" hidden="1">
      <c r="A134" s="1963"/>
      <c r="B134" s="1806"/>
      <c r="C134" s="1806"/>
      <c r="D134" s="2749"/>
      <c r="E134" s="805"/>
      <c r="F134" s="805"/>
      <c r="G134" s="805"/>
      <c r="H134" s="805"/>
      <c r="I134" s="805"/>
      <c r="J134" s="805"/>
      <c r="K134" s="805"/>
      <c r="L134" s="805"/>
      <c r="M134" s="805"/>
      <c r="N134" s="805"/>
      <c r="O134" s="805"/>
      <c r="P134" s="805"/>
      <c r="Q134" s="805"/>
      <c r="R134" s="805"/>
      <c r="S134" s="806"/>
      <c r="T134" s="888"/>
      <c r="U134" s="2544"/>
      <c r="V134" s="2544"/>
      <c r="W134" s="1806"/>
      <c r="X134" s="1806"/>
      <c r="Y134" s="1806"/>
      <c r="Z134" s="1806"/>
      <c r="AA134" s="1806"/>
      <c r="AB134" s="1806"/>
      <c r="AC134" s="1207"/>
      <c r="AD134" s="1208"/>
      <c r="AE134" s="1806"/>
      <c r="AF134" s="1806"/>
      <c r="AG134" s="1806"/>
      <c r="AH134" s="1806"/>
      <c r="AI134" s="1806"/>
      <c r="AJ134" s="1806"/>
      <c r="AK134" s="1806"/>
      <c r="AL134" s="1806"/>
      <c r="AM134" s="1806"/>
      <c r="AN134" s="1806"/>
      <c r="AO134" s="1806"/>
      <c r="AP134" s="1806"/>
      <c r="AQ134" s="1806"/>
      <c r="AR134" s="1806"/>
      <c r="AS134" s="1806"/>
      <c r="AT134" s="1806"/>
      <c r="AU134" s="1806"/>
      <c r="AV134" s="1806"/>
      <c r="AW134" s="1806"/>
      <c r="AX134" s="1806"/>
      <c r="AY134" s="1806"/>
      <c r="AZ134" s="1806"/>
      <c r="BA134" s="1806"/>
      <c r="BB134" s="1806"/>
      <c r="BC134" s="1806"/>
      <c r="BD134" s="1806"/>
      <c r="BE134" s="1806"/>
      <c r="BF134" s="1806"/>
      <c r="BG134" s="1806"/>
      <c r="BH134" s="1806"/>
      <c r="BI134" s="1806"/>
      <c r="BJ134" s="1806"/>
      <c r="BK134" s="1806"/>
      <c r="BL134" s="1806"/>
      <c r="BM134" s="1806"/>
      <c r="BN134" s="1806"/>
      <c r="BO134" s="1806"/>
      <c r="BP134" s="1806"/>
      <c r="BQ134" s="1806"/>
      <c r="BR134" s="1806"/>
      <c r="BS134" s="1806"/>
      <c r="BT134" s="1806"/>
      <c r="BU134" s="1806"/>
      <c r="BV134" s="1806"/>
      <c r="BW134" s="1806"/>
      <c r="BX134" s="1806"/>
      <c r="BY134" s="1806"/>
      <c r="BZ134" s="1806"/>
      <c r="CA134" s="1806"/>
      <c r="CB134" s="1806"/>
      <c r="CC134" s="1806"/>
      <c r="CD134" s="1806"/>
      <c r="CE134" s="1806"/>
    </row>
    <row s="12458" customFormat="1" customHeight="1" ht="5.25" hidden="1">
      <c r="A135" s="1963"/>
      <c r="B135" s="1806"/>
      <c r="C135" s="1806"/>
      <c r="D135" s="2750"/>
      <c r="E135" s="1213"/>
      <c r="F135" s="1214"/>
      <c r="G135" s="1214"/>
      <c r="H135" s="1215"/>
      <c r="I135" s="1215"/>
      <c r="J135" s="1215"/>
      <c r="K135" s="1215"/>
      <c r="L135" s="1215"/>
      <c r="M135" s="1215"/>
      <c r="N135" s="1215"/>
      <c r="O135" s="1215"/>
      <c r="P135" s="1215"/>
      <c r="Q135" s="1215"/>
      <c r="R135" s="1116"/>
      <c r="S135" s="1216"/>
      <c r="T135" s="888"/>
      <c r="U135" s="2544"/>
      <c r="V135" s="2544"/>
      <c r="W135" s="1806"/>
      <c r="X135" s="1806"/>
      <c r="Y135" s="1806"/>
      <c r="Z135" s="1806"/>
      <c r="AA135" s="1806"/>
      <c r="AB135" s="1806"/>
      <c r="AC135" s="1207"/>
      <c r="AD135" s="1208"/>
      <c r="AE135" s="1806"/>
      <c r="AF135" s="1806"/>
      <c r="AG135" s="1806"/>
      <c r="AH135" s="1806"/>
      <c r="AI135" s="1806"/>
      <c r="AJ135" s="1806"/>
      <c r="AK135" s="1806"/>
      <c r="AL135" s="1806"/>
      <c r="AM135" s="1806"/>
      <c r="AN135" s="1806"/>
      <c r="AO135" s="1806"/>
      <c r="AP135" s="1806"/>
      <c r="AQ135" s="1806"/>
      <c r="AR135" s="1806"/>
      <c r="AS135" s="1806"/>
      <c r="AT135" s="1806"/>
      <c r="AU135" s="1806"/>
      <c r="AV135" s="1806"/>
      <c r="AW135" s="1806"/>
      <c r="AX135" s="1806"/>
      <c r="AY135" s="1806"/>
      <c r="AZ135" s="1806"/>
      <c r="BA135" s="1806"/>
      <c r="BB135" s="1806"/>
      <c r="BC135" s="1806"/>
      <c r="BD135" s="1806"/>
      <c r="BE135" s="1806"/>
      <c r="BF135" s="1806"/>
      <c r="BG135" s="1806"/>
      <c r="BH135" s="1806"/>
      <c r="BI135" s="1806"/>
      <c r="BJ135" s="1806"/>
      <c r="BK135" s="1806"/>
      <c r="BL135" s="1806"/>
      <c r="BM135" s="1806"/>
      <c r="BN135" s="1806"/>
      <c r="BO135" s="1806"/>
      <c r="BP135" s="1806"/>
      <c r="BQ135" s="1806"/>
      <c r="BR135" s="1806"/>
      <c r="BS135" s="1806"/>
      <c r="BT135" s="1806"/>
      <c r="BU135" s="1806"/>
      <c r="BV135" s="1806"/>
      <c r="BW135" s="1806"/>
      <c r="BX135" s="1806"/>
      <c r="BY135" s="1806"/>
      <c r="BZ135" s="1806"/>
      <c r="CA135" s="1806"/>
      <c r="CB135" s="1806"/>
      <c r="CC135" s="1806"/>
      <c r="CD135" s="1806"/>
      <c r="CE135" s="1806"/>
    </row>
    <row customHeight="1" ht="17.25">
      <c r="D136" s="2006"/>
    </row>
    <row s="15413" customFormat="1" customHeight="1" ht="11.25">
      <c r="A137" s="1985" t="s">
        <v>1953</v>
      </c>
    </row>
    <row r="139" s="12053" customFormat="1" customHeight="1" ht="45">
      <c r="A139" s="1976"/>
      <c r="B139" s="1330"/>
      <c r="C139" s="582"/>
      <c r="D139" s="259"/>
      <c r="E139" s="2742"/>
      <c r="F139" s="2278" t="s">
        <v>112</v>
      </c>
      <c r="G139" s="2745" t="s">
        <v>28</v>
      </c>
      <c r="H139" s="459"/>
      <c r="I139" s="807" t="s">
        <v>112</v>
      </c>
      <c r="J139" s="1977" t="s">
        <v>1954</v>
      </c>
      <c r="K139" s="808" t="s">
        <v>561</v>
      </c>
      <c r="L139" s="2394" t="s">
        <v>561</v>
      </c>
      <c r="M139" s="2747"/>
      <c r="N139" s="808" t="s">
        <v>561</v>
      </c>
      <c r="O139" s="808" t="s">
        <v>561</v>
      </c>
      <c r="P139" s="808" t="s">
        <v>561</v>
      </c>
      <c r="Q139" s="809">
        <f>SUM(Q140:Q142)</f>
        <v>0</v>
      </c>
      <c r="R139" s="809">
        <f>IF(R136=0,0,(Q136/R136)*100)</f>
        <v>0</v>
      </c>
      <c r="S139" s="2349"/>
      <c r="T139" s="887" t="s">
        <v>627</v>
      </c>
      <c r="U139" s="259"/>
      <c r="V139" s="259"/>
      <c r="AC139" s="259"/>
    </row>
    <row s="12053" customFormat="1" customHeight="1" ht="11.25">
      <c r="A140" s="1976"/>
      <c r="B140" s="1330"/>
      <c r="C140" s="582"/>
      <c r="D140" s="259"/>
      <c r="E140" s="2743"/>
      <c r="F140" s="2278"/>
      <c r="G140" s="2745"/>
      <c r="H140" s="2297"/>
      <c r="I140" s="2685" t="s">
        <v>1036</v>
      </c>
      <c r="J140" s="2739"/>
      <c r="K140" s="2740"/>
      <c r="L140" s="810"/>
      <c r="M140" s="811" t="s">
        <v>112</v>
      </c>
      <c r="N140" s="1965"/>
      <c r="O140" s="812"/>
      <c r="P140" s="813"/>
      <c r="Q140" s="812"/>
      <c r="R140" s="814">
        <v>0</v>
      </c>
      <c r="S140" s="2349"/>
      <c r="T140" s="887"/>
      <c r="U140" s="259"/>
      <c r="V140" s="259"/>
      <c r="AC140" s="259"/>
    </row>
    <row s="12053" customFormat="1" customHeight="1" ht="11.25">
      <c r="A141" s="1976"/>
      <c r="B141" s="1330"/>
      <c r="C141" s="582"/>
      <c r="D141" s="259"/>
      <c r="E141" s="2743"/>
      <c r="F141" s="2278"/>
      <c r="G141" s="2745"/>
      <c r="H141" s="2297"/>
      <c r="I141" s="2685"/>
      <c r="J141" s="2739"/>
      <c r="K141" s="2741"/>
      <c r="L141" s="815"/>
      <c r="M141" s="816"/>
      <c r="N141" s="817" t="s">
        <v>1955</v>
      </c>
      <c r="O141" s="817"/>
      <c r="P141" s="817"/>
      <c r="Q141" s="817"/>
      <c r="R141" s="818"/>
      <c r="S141" s="2349"/>
      <c r="T141" s="887"/>
      <c r="U141" s="259"/>
      <c r="V141" s="259"/>
      <c r="AC141" s="259"/>
    </row>
    <row s="12053" customFormat="1" customHeight="1" ht="11.25">
      <c r="A142" s="1976"/>
      <c r="B142" s="1330"/>
      <c r="C142" s="582"/>
      <c r="D142" s="259"/>
      <c r="E142" s="2744"/>
      <c r="F142" s="2278"/>
      <c r="G142" s="2746"/>
      <c r="H142" s="815" t="s">
        <v>28</v>
      </c>
      <c r="I142" s="816"/>
      <c r="J142" s="817" t="s">
        <v>1956</v>
      </c>
      <c r="K142" s="817"/>
      <c r="L142" s="817"/>
      <c r="M142" s="817"/>
      <c r="N142" s="817"/>
      <c r="O142" s="817"/>
      <c r="P142" s="817"/>
      <c r="Q142" s="817"/>
      <c r="R142" s="818"/>
      <c r="S142" s="2349"/>
      <c r="T142" s="887"/>
      <c r="U142" s="259"/>
      <c r="V142" s="259"/>
      <c r="AC142" s="259"/>
    </row>
    <row r="147" s="12053" customFormat="1" customHeight="1" ht="11.25">
      <c r="A147" s="1976"/>
      <c r="B147" s="1330"/>
      <c r="C147" s="582"/>
      <c r="D147" s="259"/>
      <c r="E147" s="2000"/>
      <c r="F147" s="2000"/>
      <c r="G147" s="2000"/>
      <c r="H147" s="2297"/>
      <c r="I147" s="2685" t="s">
        <v>1036</v>
      </c>
      <c r="J147" s="2739"/>
      <c r="K147" s="2740"/>
      <c r="L147" s="810"/>
      <c r="M147" s="811" t="s">
        <v>112</v>
      </c>
      <c r="N147" s="1965"/>
      <c r="O147" s="812"/>
      <c r="P147" s="813"/>
      <c r="Q147" s="812"/>
      <c r="R147" s="814">
        <v>0</v>
      </c>
      <c r="S147" s="259"/>
      <c r="T147" s="887"/>
      <c r="U147" s="259"/>
      <c r="V147" s="259"/>
      <c r="AC147" s="259"/>
    </row>
    <row s="12053" customFormat="1" customHeight="1" ht="11.25">
      <c r="A148" s="1976"/>
      <c r="B148" s="1330"/>
      <c r="C148" s="582"/>
      <c r="D148" s="259"/>
      <c r="E148" s="2000"/>
      <c r="F148" s="2000"/>
      <c r="G148" s="2000"/>
      <c r="H148" s="2297"/>
      <c r="I148" s="2685"/>
      <c r="J148" s="2739"/>
      <c r="K148" s="2741"/>
      <c r="L148" s="815"/>
      <c r="M148" s="816"/>
      <c r="N148" s="817" t="s">
        <v>1955</v>
      </c>
      <c r="O148" s="817"/>
      <c r="P148" s="817"/>
      <c r="Q148" s="817"/>
      <c r="R148" s="818"/>
      <c r="S148" s="259"/>
      <c r="T148" s="887"/>
      <c r="U148" s="259"/>
      <c r="V148" s="259"/>
      <c r="AC148" s="259"/>
    </row>
    <row r="150" s="12053" customFormat="1" customHeight="1" ht="11.25">
      <c r="A150" s="1976"/>
      <c r="B150" s="1330"/>
      <c r="C150" s="582"/>
      <c r="D150" s="259"/>
      <c r="E150" s="2007"/>
      <c r="F150" s="2005"/>
      <c r="G150" s="2005"/>
      <c r="H150" s="2008"/>
      <c r="I150" s="2000"/>
      <c r="J150" s="2001"/>
      <c r="K150" s="2001"/>
      <c r="L150" s="810"/>
      <c r="M150" s="811" t="s">
        <v>112</v>
      </c>
      <c r="N150" s="1965"/>
      <c r="O150" s="812"/>
      <c r="P150" s="813"/>
      <c r="Q150" s="812"/>
      <c r="R150" s="814">
        <v>0</v>
      </c>
      <c r="S150" s="259"/>
      <c r="T150" s="887"/>
      <c r="U150" s="259"/>
      <c r="V150" s="259"/>
      <c r="AC150" s="259"/>
    </row>
    <row r="152" s="15413" customFormat="1" customHeight="1" ht="17.25">
      <c r="A152" s="1985" t="s">
        <v>1957</v>
      </c>
    </row>
    <row customHeight="1" ht="17.25">
      <c r="G153" s="2009"/>
      <c r="H153" s="2009"/>
      <c r="I153" s="2009"/>
      <c r="M153" s="2005"/>
    </row>
    <row s="12119" customFormat="1" customHeight="1" ht="17.25">
      <c r="A154" s="2010"/>
      <c r="C154" s="2012"/>
      <c r="D154" s="2699"/>
      <c r="E154" s="2313"/>
      <c r="F154" s="2315"/>
      <c r="G154" s="2701"/>
      <c r="H154" s="2699"/>
      <c r="I154" s="2699">
        <v>1</v>
      </c>
      <c r="J154" s="2671"/>
      <c r="K154" s="2355" t="s">
        <v>64</v>
      </c>
      <c r="L154" s="2278"/>
      <c r="M154" s="2278" t="s">
        <v>112</v>
      </c>
      <c r="N154" s="2674" t="str">
        <f>IF(Z154="","",INDEX(TERRITORY_MR_LIST,MATCH(Z154,TERRITORY_LIST_ID,0)))</f>
        <v/>
      </c>
      <c r="O154" s="2355" t="s">
        <v>64</v>
      </c>
      <c r="P154" s="2278"/>
      <c r="Q154" s="2278" t="s">
        <v>112</v>
      </c>
      <c r="R154" s="2672" t="s">
        <v>28</v>
      </c>
      <c r="S154" s="2277" t="s">
        <v>64</v>
      </c>
      <c r="T154" s="1981"/>
      <c r="U154" s="1981" t="s">
        <v>112</v>
      </c>
      <c r="V154" s="2013" t="s">
        <v>28</v>
      </c>
      <c r="W154" s="1971"/>
      <c r="Y154" s="1437"/>
      <c r="Z154" s="1437"/>
      <c r="AA154" s="1437"/>
      <c r="AB154" s="1437"/>
      <c r="AC154" s="1437"/>
      <c r="AD154" s="1437"/>
      <c r="AE154" s="1437"/>
      <c r="AF154" s="1437"/>
      <c r="AG154" s="1437"/>
      <c r="AH154" s="1437"/>
      <c r="AI154" s="1437"/>
      <c r="AJ154" s="1437"/>
      <c r="AK154" s="1437"/>
      <c r="AL154" s="2014"/>
      <c r="AM154" s="2014"/>
      <c r="AN154" s="1437"/>
      <c r="AO154" s="1437"/>
      <c r="AP154" s="1437"/>
      <c r="AQ154" s="1437"/>
    </row>
    <row s="12119" customFormat="1" customHeight="1" ht="17.25">
      <c r="A155" s="2010"/>
      <c r="C155" s="2015"/>
      <c r="D155" s="2699"/>
      <c r="E155" s="2313"/>
      <c r="F155" s="2316"/>
      <c r="G155" s="2701"/>
      <c r="H155" s="2699"/>
      <c r="I155" s="2699"/>
      <c r="J155" s="2671"/>
      <c r="K155" s="2356"/>
      <c r="L155" s="2278"/>
      <c r="M155" s="2278"/>
      <c r="N155" s="2674"/>
      <c r="O155" s="2356"/>
      <c r="P155" s="2278"/>
      <c r="Q155" s="2278"/>
      <c r="R155" s="2672"/>
      <c r="S155" s="2277"/>
      <c r="T155" s="487"/>
      <c r="U155" s="488"/>
      <c r="V155" s="488" t="s">
        <v>165</v>
      </c>
      <c r="W155" s="489"/>
      <c r="Y155" s="1429"/>
      <c r="Z155" s="1429"/>
      <c r="AA155" s="1429"/>
      <c r="AB155" s="1429"/>
      <c r="AC155" s="1429"/>
      <c r="AD155" s="1429"/>
      <c r="AE155" s="1429"/>
      <c r="AF155" s="1429"/>
      <c r="AG155" s="1429"/>
      <c r="AH155" s="1429"/>
      <c r="AI155" s="1429"/>
      <c r="AJ155" s="1429"/>
      <c r="AK155" s="1429"/>
    </row>
    <row s="12119" customFormat="1" customHeight="1" ht="17.25">
      <c r="A156" s="2010"/>
      <c r="C156" s="2015"/>
      <c r="D156" s="2673"/>
      <c r="E156" s="2700"/>
      <c r="F156" s="2316"/>
      <c r="G156" s="2702"/>
      <c r="H156" s="2673"/>
      <c r="I156" s="2673"/>
      <c r="J156" s="2703"/>
      <c r="K156" s="2356"/>
      <c r="L156" s="2673"/>
      <c r="M156" s="2673"/>
      <c r="N156" s="2675"/>
      <c r="O156" s="2282"/>
      <c r="P156" s="487"/>
      <c r="Q156" s="488"/>
      <c r="R156" s="488" t="s">
        <v>166</v>
      </c>
      <c r="S156" s="2016"/>
      <c r="T156" s="2016"/>
      <c r="U156" s="2016"/>
      <c r="V156" s="2016"/>
      <c r="W156" s="489"/>
      <c r="Y156" s="1429"/>
      <c r="Z156" s="1429"/>
      <c r="AA156" s="1429"/>
      <c r="AB156" s="1429"/>
      <c r="AC156" s="1429"/>
      <c r="AD156" s="1429"/>
      <c r="AE156" s="1429"/>
      <c r="AF156" s="1429"/>
      <c r="AG156" s="1429"/>
      <c r="AH156" s="1429"/>
      <c r="AI156" s="1429"/>
      <c r="AJ156" s="1429"/>
      <c r="AK156" s="1429"/>
    </row>
    <row s="12119" customFormat="1" customHeight="1" ht="17.25">
      <c r="A157" s="2010"/>
      <c r="C157" s="2015"/>
      <c r="D157" s="2673"/>
      <c r="E157" s="2700"/>
      <c r="F157" s="2316"/>
      <c r="G157" s="2702"/>
      <c r="H157" s="2673"/>
      <c r="I157" s="2673"/>
      <c r="J157" s="2703"/>
      <c r="K157" s="2282"/>
      <c r="L157" s="487"/>
      <c r="M157" s="488"/>
      <c r="N157" s="488" t="s">
        <v>167</v>
      </c>
      <c r="O157" s="488"/>
      <c r="P157" s="488"/>
      <c r="Q157" s="488"/>
      <c r="R157" s="488"/>
      <c r="S157" s="2016"/>
      <c r="T157" s="2016"/>
      <c r="U157" s="2016"/>
      <c r="V157" s="2016"/>
      <c r="W157" s="489"/>
      <c r="Y157" s="1429"/>
      <c r="Z157" s="1429"/>
      <c r="AA157" s="1429"/>
      <c r="AB157" s="1429"/>
      <c r="AC157" s="1429"/>
      <c r="AD157" s="1429"/>
      <c r="AE157" s="1429"/>
      <c r="AF157" s="1429"/>
      <c r="AG157" s="1429"/>
      <c r="AH157" s="1429"/>
      <c r="AI157" s="1429"/>
      <c r="AJ157" s="1429"/>
      <c r="AK157" s="1429"/>
    </row>
    <row s="12119" customFormat="1" customHeight="1" ht="17.25">
      <c r="A158" s="2010"/>
      <c r="C158" s="2015"/>
      <c r="D158" s="2673"/>
      <c r="E158" s="2700"/>
      <c r="F158" s="2317"/>
      <c r="G158" s="2702"/>
      <c r="H158" s="487"/>
      <c r="I158" s="488"/>
      <c r="J158" s="488" t="s">
        <v>168</v>
      </c>
      <c r="K158" s="488"/>
      <c r="L158" s="488"/>
      <c r="M158" s="488"/>
      <c r="N158" s="488"/>
      <c r="O158" s="488"/>
      <c r="P158" s="488"/>
      <c r="Q158" s="488"/>
      <c r="R158" s="488"/>
      <c r="S158" s="2016"/>
      <c r="T158" s="2016"/>
      <c r="U158" s="2016"/>
      <c r="V158" s="2016"/>
      <c r="W158" s="489"/>
      <c r="Y158" s="1429"/>
      <c r="Z158" s="1429"/>
      <c r="AA158" s="1429"/>
      <c r="AB158" s="1429"/>
      <c r="AC158" s="1429"/>
      <c r="AD158" s="1429"/>
      <c r="AE158" s="1429"/>
      <c r="AF158" s="1429"/>
      <c r="AG158" s="1429"/>
      <c r="AH158" s="1429"/>
      <c r="AI158" s="1429"/>
      <c r="AJ158" s="1429"/>
      <c r="AK158" s="1429"/>
    </row>
    <row customHeight="1" ht="17.25">
      <c r="G159" s="2009"/>
      <c r="H159" s="2009"/>
      <c r="I159" s="2009"/>
      <c r="M159" s="2005"/>
    </row>
    <row s="12119" customFormat="1" customHeight="1" ht="17.25">
      <c r="A160" s="2010"/>
      <c r="C160" s="2012"/>
      <c r="D160" s="2000"/>
      <c r="E160" s="2017"/>
      <c r="F160" s="1954"/>
      <c r="G160" s="2018"/>
      <c r="H160" s="2699"/>
      <c r="I160" s="2699">
        <v>1</v>
      </c>
      <c r="J160" s="2671"/>
      <c r="K160" s="2355" t="s">
        <v>64</v>
      </c>
      <c r="L160" s="2278"/>
      <c r="M160" s="2278" t="s">
        <v>112</v>
      </c>
      <c r="N160" s="2674" t="str">
        <f>IF(Z160="","",INDEX(TERRITORY_MR_LIST,MATCH(Z160,TERRITORY_LIST_ID,0)))</f>
        <v/>
      </c>
      <c r="O160" s="2355" t="s">
        <v>64</v>
      </c>
      <c r="P160" s="2278"/>
      <c r="Q160" s="2278" t="s">
        <v>112</v>
      </c>
      <c r="R160" s="2672" t="s">
        <v>28</v>
      </c>
      <c r="S160" s="2277" t="s">
        <v>64</v>
      </c>
      <c r="T160" s="1981"/>
      <c r="U160" s="1981" t="s">
        <v>112</v>
      </c>
      <c r="V160" s="2013" t="s">
        <v>28</v>
      </c>
      <c r="W160" s="1971"/>
      <c r="Y160" s="1437"/>
      <c r="Z160" s="1437"/>
      <c r="AA160" s="1437"/>
      <c r="AB160" s="1437"/>
      <c r="AC160" s="1437"/>
      <c r="AD160" s="1437"/>
      <c r="AE160" s="1437"/>
      <c r="AF160" s="1437"/>
      <c r="AG160" s="1437"/>
      <c r="AH160" s="1437"/>
      <c r="AI160" s="1437"/>
      <c r="AJ160" s="1437"/>
      <c r="AK160" s="1437"/>
      <c r="AL160" s="2014"/>
      <c r="AM160" s="2014"/>
      <c r="AN160" s="1437"/>
      <c r="AO160" s="1437"/>
      <c r="AP160" s="1437"/>
      <c r="AQ160" s="1437"/>
    </row>
    <row s="12119" customFormat="1" customHeight="1" ht="17.25">
      <c r="A161" s="2010"/>
      <c r="C161" s="2015"/>
      <c r="D161" s="2000"/>
      <c r="E161" s="2017"/>
      <c r="F161" s="1954"/>
      <c r="G161" s="2018"/>
      <c r="H161" s="2699"/>
      <c r="I161" s="2699"/>
      <c r="J161" s="2671"/>
      <c r="K161" s="2356"/>
      <c r="L161" s="2278"/>
      <c r="M161" s="2278"/>
      <c r="N161" s="2674"/>
      <c r="O161" s="2356"/>
      <c r="P161" s="2278"/>
      <c r="Q161" s="2278"/>
      <c r="R161" s="2672"/>
      <c r="S161" s="2277"/>
      <c r="T161" s="487"/>
      <c r="U161" s="488"/>
      <c r="V161" s="488" t="s">
        <v>165</v>
      </c>
      <c r="W161" s="489"/>
      <c r="Y161" s="1429"/>
      <c r="Z161" s="1429"/>
      <c r="AA161" s="1429"/>
      <c r="AB161" s="1429"/>
      <c r="AC161" s="1429"/>
      <c r="AD161" s="1429"/>
      <c r="AE161" s="1429"/>
      <c r="AF161" s="1429"/>
      <c r="AG161" s="1429"/>
      <c r="AH161" s="1429"/>
      <c r="AI161" s="1429"/>
      <c r="AJ161" s="1429"/>
      <c r="AK161" s="1429"/>
    </row>
    <row s="12119" customFormat="1" customHeight="1" ht="17.25">
      <c r="A162" s="2010"/>
      <c r="C162" s="2015"/>
      <c r="D162" s="2000"/>
      <c r="E162" s="2017"/>
      <c r="F162" s="1954"/>
      <c r="G162" s="2018"/>
      <c r="H162" s="2673"/>
      <c r="I162" s="2673"/>
      <c r="J162" s="2703"/>
      <c r="K162" s="2356"/>
      <c r="L162" s="2673"/>
      <c r="M162" s="2673"/>
      <c r="N162" s="2675"/>
      <c r="O162" s="2282"/>
      <c r="P162" s="487"/>
      <c r="Q162" s="488"/>
      <c r="R162" s="488" t="s">
        <v>166</v>
      </c>
      <c r="S162" s="2016"/>
      <c r="T162" s="2016"/>
      <c r="U162" s="2016"/>
      <c r="V162" s="2016"/>
      <c r="W162" s="489"/>
      <c r="Y162" s="1429"/>
      <c r="Z162" s="1429"/>
      <c r="AA162" s="1429"/>
      <c r="AB162" s="1429"/>
      <c r="AC162" s="1429"/>
      <c r="AD162" s="1429"/>
      <c r="AE162" s="1429"/>
      <c r="AF162" s="1429"/>
      <c r="AG162" s="1429"/>
      <c r="AH162" s="1429"/>
      <c r="AI162" s="1429"/>
      <c r="AJ162" s="1429"/>
      <c r="AK162" s="1429"/>
    </row>
    <row s="12119" customFormat="1" customHeight="1" ht="17.25">
      <c r="A163" s="2010"/>
      <c r="C163" s="2015"/>
      <c r="D163" s="2000"/>
      <c r="E163" s="2017"/>
      <c r="F163" s="1954"/>
      <c r="G163" s="2018"/>
      <c r="H163" s="2673"/>
      <c r="I163" s="2673"/>
      <c r="J163" s="2703"/>
      <c r="K163" s="2282"/>
      <c r="L163" s="487"/>
      <c r="M163" s="488"/>
      <c r="N163" s="488" t="s">
        <v>167</v>
      </c>
      <c r="O163" s="488"/>
      <c r="P163" s="488"/>
      <c r="Q163" s="488"/>
      <c r="R163" s="488"/>
      <c r="S163" s="2016"/>
      <c r="T163" s="2016"/>
      <c r="U163" s="2016"/>
      <c r="V163" s="2016"/>
      <c r="W163" s="489"/>
      <c r="Y163" s="1429"/>
      <c r="Z163" s="1429"/>
      <c r="AA163" s="1429"/>
      <c r="AB163" s="1429"/>
      <c r="AC163" s="1429"/>
      <c r="AD163" s="1429"/>
      <c r="AE163" s="1429"/>
      <c r="AF163" s="1429"/>
      <c r="AG163" s="1429"/>
      <c r="AH163" s="1429"/>
      <c r="AI163" s="1429"/>
      <c r="AJ163" s="1429"/>
      <c r="AK163" s="1429"/>
    </row>
    <row customHeight="1" ht="17.25">
      <c r="G164" s="2009"/>
      <c r="H164" s="2009"/>
      <c r="I164" s="2009"/>
      <c r="M164" s="2005"/>
    </row>
    <row s="12119" customFormat="1" customHeight="1" ht="17.25">
      <c r="A165" s="2010"/>
      <c r="C165" s="2012"/>
      <c r="D165" s="2000"/>
      <c r="E165" s="2017"/>
      <c r="F165" s="1954"/>
      <c r="G165" s="2018"/>
      <c r="H165" s="2000"/>
      <c r="I165" s="2000"/>
      <c r="J165" s="2019"/>
      <c r="K165" s="1930"/>
      <c r="L165" s="2278"/>
      <c r="M165" s="2278" t="s">
        <v>112</v>
      </c>
      <c r="N165" s="2674" t="str">
        <f>IF(Z165="","",INDEX(TERRITORY_MR_LIST,MATCH(Z165,TERRITORY_LIST_ID,0)))</f>
        <v/>
      </c>
      <c r="O165" s="2355" t="s">
        <v>64</v>
      </c>
      <c r="P165" s="2278"/>
      <c r="Q165" s="2278" t="s">
        <v>112</v>
      </c>
      <c r="R165" s="2672" t="s">
        <v>28</v>
      </c>
      <c r="S165" s="2277" t="s">
        <v>64</v>
      </c>
      <c r="T165" s="1981"/>
      <c r="U165" s="1981" t="s">
        <v>112</v>
      </c>
      <c r="V165" s="2013" t="s">
        <v>28</v>
      </c>
      <c r="W165" s="1971"/>
      <c r="Y165" s="1437"/>
      <c r="Z165" s="1437"/>
      <c r="AA165" s="1437"/>
      <c r="AB165" s="1437"/>
      <c r="AC165" s="1437"/>
      <c r="AD165" s="1437"/>
      <c r="AE165" s="1437"/>
      <c r="AF165" s="1437"/>
      <c r="AG165" s="1437"/>
      <c r="AH165" s="1437"/>
      <c r="AI165" s="1437"/>
      <c r="AJ165" s="1437"/>
      <c r="AK165" s="1437"/>
      <c r="AL165" s="2014"/>
      <c r="AM165" s="2014"/>
      <c r="AN165" s="1437"/>
      <c r="AO165" s="1437"/>
      <c r="AP165" s="1437"/>
      <c r="AQ165" s="1437"/>
    </row>
    <row s="12119" customFormat="1" customHeight="1" ht="17.25">
      <c r="A166" s="2010"/>
      <c r="C166" s="2015"/>
      <c r="D166" s="2000"/>
      <c r="E166" s="2017"/>
      <c r="F166" s="1954"/>
      <c r="G166" s="2018"/>
      <c r="H166" s="2000"/>
      <c r="I166" s="2000"/>
      <c r="J166" s="2019"/>
      <c r="K166" s="1930"/>
      <c r="L166" s="2278"/>
      <c r="M166" s="2278"/>
      <c r="N166" s="2674"/>
      <c r="O166" s="2356"/>
      <c r="P166" s="2278"/>
      <c r="Q166" s="2278"/>
      <c r="R166" s="2672"/>
      <c r="S166" s="2277"/>
      <c r="T166" s="487"/>
      <c r="U166" s="488"/>
      <c r="V166" s="488" t="s">
        <v>165</v>
      </c>
      <c r="W166" s="489"/>
      <c r="Y166" s="1429"/>
      <c r="Z166" s="1429"/>
      <c r="AA166" s="1429"/>
      <c r="AB166" s="1429"/>
      <c r="AC166" s="1429"/>
      <c r="AD166" s="1429"/>
      <c r="AE166" s="1429"/>
      <c r="AF166" s="1429"/>
      <c r="AG166" s="1429"/>
      <c r="AH166" s="1429"/>
      <c r="AI166" s="1429"/>
      <c r="AJ166" s="1429"/>
      <c r="AK166" s="1429"/>
    </row>
    <row s="12119" customFormat="1" customHeight="1" ht="17.25">
      <c r="A167" s="2010"/>
      <c r="C167" s="2015"/>
      <c r="D167" s="2000"/>
      <c r="E167" s="2017"/>
      <c r="F167" s="1954"/>
      <c r="G167" s="2018"/>
      <c r="H167" s="2000"/>
      <c r="I167" s="2000"/>
      <c r="J167" s="2019"/>
      <c r="K167" s="1930"/>
      <c r="L167" s="2673"/>
      <c r="M167" s="2673"/>
      <c r="N167" s="2675"/>
      <c r="O167" s="2282"/>
      <c r="P167" s="487"/>
      <c r="Q167" s="488"/>
      <c r="R167" s="488" t="s">
        <v>166</v>
      </c>
      <c r="S167" s="2016"/>
      <c r="T167" s="2016"/>
      <c r="U167" s="2016"/>
      <c r="V167" s="2016"/>
      <c r="W167" s="489"/>
      <c r="Y167" s="1429"/>
      <c r="Z167" s="1429"/>
      <c r="AA167" s="1429"/>
      <c r="AB167" s="1429"/>
      <c r="AC167" s="1429"/>
      <c r="AD167" s="1429"/>
      <c r="AE167" s="1429"/>
      <c r="AF167" s="1429"/>
      <c r="AG167" s="1429"/>
      <c r="AH167" s="1429"/>
      <c r="AI167" s="1429"/>
      <c r="AJ167" s="1429"/>
      <c r="AK167" s="1429"/>
    </row>
    <row customHeight="1" ht="17.25">
      <c r="G168" s="2009"/>
      <c r="H168" s="2009"/>
      <c r="I168" s="2009"/>
      <c r="M168" s="2005"/>
    </row>
    <row s="12119" customFormat="1" customHeight="1" ht="17.25">
      <c r="A169" s="2010"/>
      <c r="C169" s="2012"/>
      <c r="D169" s="2000"/>
      <c r="E169" s="2017"/>
      <c r="F169" s="1954"/>
      <c r="G169" s="2018"/>
      <c r="H169" s="2000"/>
      <c r="I169" s="2000"/>
      <c r="J169" s="2019"/>
      <c r="K169" s="1930"/>
      <c r="L169" s="1926"/>
      <c r="M169" s="1926"/>
      <c r="N169" s="2218"/>
      <c r="O169" s="1957"/>
      <c r="P169" s="2278"/>
      <c r="Q169" s="2278" t="s">
        <v>112</v>
      </c>
      <c r="R169" s="2672" t="s">
        <v>28</v>
      </c>
      <c r="S169" s="2277" t="s">
        <v>64</v>
      </c>
      <c r="T169" s="1981"/>
      <c r="U169" s="1981" t="s">
        <v>112</v>
      </c>
      <c r="V169" s="2013" t="s">
        <v>28</v>
      </c>
      <c r="W169" s="1971"/>
      <c r="Y169" s="1437"/>
      <c r="Z169" s="1437"/>
      <c r="AA169" s="1437"/>
      <c r="AB169" s="1437"/>
      <c r="AC169" s="1437"/>
      <c r="AD169" s="1437"/>
      <c r="AE169" s="1437"/>
      <c r="AF169" s="1437"/>
      <c r="AG169" s="1437"/>
      <c r="AH169" s="1437"/>
      <c r="AI169" s="1437"/>
      <c r="AJ169" s="1437"/>
      <c r="AK169" s="1437"/>
      <c r="AL169" s="2014"/>
      <c r="AM169" s="2014"/>
      <c r="AN169" s="1437"/>
      <c r="AO169" s="1437"/>
      <c r="AP169" s="1437"/>
      <c r="AQ169" s="1437"/>
    </row>
    <row s="12119" customFormat="1" customHeight="1" ht="17.25">
      <c r="A170" s="2010"/>
      <c r="C170" s="2015"/>
      <c r="D170" s="2000"/>
      <c r="E170" s="2017"/>
      <c r="F170" s="1954"/>
      <c r="G170" s="2018"/>
      <c r="H170" s="2000"/>
      <c r="I170" s="2000"/>
      <c r="J170" s="2019"/>
      <c r="K170" s="1930"/>
      <c r="L170" s="1926"/>
      <c r="M170" s="1926"/>
      <c r="N170" s="2218"/>
      <c r="O170" s="1957"/>
      <c r="P170" s="2278"/>
      <c r="Q170" s="2278"/>
      <c r="R170" s="2672"/>
      <c r="S170" s="2277"/>
      <c r="T170" s="487"/>
      <c r="U170" s="488"/>
      <c r="V170" s="488" t="s">
        <v>165</v>
      </c>
      <c r="W170" s="489"/>
      <c r="Y170" s="1429"/>
      <c r="Z170" s="1429"/>
      <c r="AA170" s="1429"/>
      <c r="AB170" s="1429"/>
      <c r="AC170" s="1429"/>
      <c r="AD170" s="1429"/>
      <c r="AE170" s="1429"/>
      <c r="AF170" s="1429"/>
      <c r="AG170" s="1429"/>
      <c r="AH170" s="1429"/>
      <c r="AI170" s="1429"/>
      <c r="AJ170" s="1429"/>
      <c r="AK170" s="1429"/>
    </row>
    <row customHeight="1" ht="17.25">
      <c r="G171" s="2009"/>
      <c r="H171" s="2009"/>
      <c r="I171" s="2009"/>
      <c r="M171" s="2005"/>
    </row>
    <row s="12119" customFormat="1" customHeight="1" ht="17.25">
      <c r="A172" s="2010"/>
      <c r="C172" s="2012"/>
      <c r="D172" s="2000"/>
      <c r="E172" s="2017"/>
      <c r="F172" s="1954"/>
      <c r="G172" s="2018"/>
      <c r="H172" s="1926"/>
      <c r="I172" s="1926"/>
      <c r="J172" s="1927"/>
      <c r="K172" s="2018"/>
      <c r="L172" s="1926"/>
      <c r="M172" s="1926"/>
      <c r="N172" s="2018"/>
      <c r="O172" s="2018"/>
      <c r="P172" s="1926"/>
      <c r="Q172" s="1926"/>
      <c r="R172" s="1928"/>
      <c r="S172" s="2018"/>
      <c r="T172" s="1981"/>
      <c r="U172" s="1981" t="s">
        <v>112</v>
      </c>
      <c r="V172" s="2013" t="s">
        <v>28</v>
      </c>
      <c r="W172" s="1971"/>
      <c r="Y172" s="1437"/>
      <c r="Z172" s="1437"/>
      <c r="AA172" s="1437"/>
      <c r="AB172" s="1437"/>
      <c r="AC172" s="1437"/>
      <c r="AD172" s="1437"/>
      <c r="AE172" s="1437"/>
      <c r="AF172" s="1437"/>
      <c r="AG172" s="1437"/>
      <c r="AH172" s="1437"/>
      <c r="AI172" s="1437"/>
      <c r="AJ172" s="1437"/>
      <c r="AK172" s="1437"/>
      <c r="AL172" s="2014"/>
      <c r="AM172" s="2014"/>
      <c r="AN172" s="1437"/>
      <c r="AO172" s="1437"/>
      <c r="AP172" s="1437"/>
      <c r="AQ172" s="1437"/>
    </row>
    <row r="174" s="15413" customFormat="1" customHeight="1" ht="17.25">
      <c r="A174" s="1985" t="s">
        <v>1958</v>
      </c>
    </row>
    <row customHeight="1" ht="17.25">
      <c r="G175" s="2009"/>
      <c r="H175" s="2009"/>
      <c r="I175" s="2009"/>
      <c r="M175" s="2005"/>
    </row>
    <row s="12119" customFormat="1" customHeight="1" ht="17.25">
      <c r="A176" s="2010"/>
      <c r="C176" s="2012"/>
      <c r="D176" s="2699"/>
      <c r="E176" s="2313"/>
      <c r="F176" s="2315"/>
      <c r="G176" s="2701"/>
      <c r="H176" s="2699"/>
      <c r="I176" s="2699">
        <v>1</v>
      </c>
      <c r="J176" s="2671"/>
      <c r="K176" s="2355" t="s">
        <v>64</v>
      </c>
      <c r="L176" s="2278"/>
      <c r="M176" s="2278" t="s">
        <v>112</v>
      </c>
      <c r="N176" s="2674" t="str">
        <f>IF(Z176="","",INDEX(TERRITORY_MR_LIST,MATCH(Z176,TERRITORY_LIST_ID,0)))</f>
        <v/>
      </c>
      <c r="O176" s="2355" t="s">
        <v>64</v>
      </c>
      <c r="P176" s="2278"/>
      <c r="Q176" s="2278" t="s">
        <v>112</v>
      </c>
      <c r="R176" s="2672" t="s">
        <v>28</v>
      </c>
      <c r="S176" s="2576" t="s">
        <v>19</v>
      </c>
      <c r="T176" s="1972"/>
      <c r="U176" s="1972" t="s">
        <v>112</v>
      </c>
      <c r="V176" s="1604"/>
      <c r="W176" s="2671"/>
      <c r="Y176" s="1437"/>
      <c r="Z176" s="1437"/>
      <c r="AA176" s="1437"/>
      <c r="AB176" s="1437"/>
      <c r="AC176" s="1437"/>
      <c r="AD176" s="1437"/>
      <c r="AE176" s="1437"/>
      <c r="AF176" s="1437"/>
      <c r="AG176" s="1437"/>
      <c r="AH176" s="1437"/>
      <c r="AI176" s="1437"/>
      <c r="AJ176" s="1437"/>
      <c r="AK176" s="1437"/>
      <c r="AL176" s="2014"/>
      <c r="AM176" s="2014"/>
      <c r="AN176" s="1437"/>
      <c r="AO176" s="1437"/>
      <c r="AP176" s="1437"/>
      <c r="AQ176" s="1437"/>
    </row>
    <row s="12119" customFormat="1" customHeight="1" ht="17.25">
      <c r="A177" s="2010"/>
      <c r="C177" s="2015"/>
      <c r="D177" s="2699"/>
      <c r="E177" s="2313"/>
      <c r="F177" s="2316"/>
      <c r="G177" s="2701"/>
      <c r="H177" s="2699"/>
      <c r="I177" s="2699"/>
      <c r="J177" s="2671"/>
      <c r="K177" s="2356"/>
      <c r="L177" s="2278"/>
      <c r="M177" s="2278"/>
      <c r="N177" s="2674"/>
      <c r="O177" s="2356"/>
      <c r="P177" s="2278"/>
      <c r="Q177" s="2278"/>
      <c r="R177" s="2672"/>
      <c r="S177" s="2576"/>
      <c r="T177" s="1605"/>
      <c r="U177" s="1606"/>
      <c r="V177" s="1606"/>
      <c r="W177" s="2671"/>
      <c r="Y177" s="1429"/>
      <c r="Z177" s="1429"/>
      <c r="AA177" s="1429"/>
      <c r="AB177" s="1429"/>
      <c r="AC177" s="1429"/>
      <c r="AD177" s="1429"/>
      <c r="AE177" s="1429"/>
      <c r="AF177" s="1429"/>
      <c r="AG177" s="1429"/>
      <c r="AH177" s="1429"/>
      <c r="AI177" s="1429"/>
      <c r="AJ177" s="1429"/>
      <c r="AK177" s="1429"/>
    </row>
    <row s="12119" customFormat="1" customHeight="1" ht="17.25">
      <c r="A178" s="2010"/>
      <c r="C178" s="2015"/>
      <c r="D178" s="2673"/>
      <c r="E178" s="2700"/>
      <c r="F178" s="2316"/>
      <c r="G178" s="2702"/>
      <c r="H178" s="2673"/>
      <c r="I178" s="2673"/>
      <c r="J178" s="2703"/>
      <c r="K178" s="2356"/>
      <c r="L178" s="2673"/>
      <c r="M178" s="2673"/>
      <c r="N178" s="2675"/>
      <c r="O178" s="2282"/>
      <c r="P178" s="487"/>
      <c r="Q178" s="488"/>
      <c r="R178" s="488" t="s">
        <v>166</v>
      </c>
      <c r="S178" s="2016"/>
      <c r="T178" s="2016"/>
      <c r="U178" s="2016"/>
      <c r="V178" s="2016"/>
      <c r="W178" s="1603"/>
      <c r="Y178" s="1429"/>
      <c r="Z178" s="1429"/>
      <c r="AA178" s="1429"/>
      <c r="AB178" s="1429"/>
      <c r="AC178" s="1429"/>
      <c r="AD178" s="1429"/>
      <c r="AE178" s="1429"/>
      <c r="AF178" s="1429"/>
      <c r="AG178" s="1429"/>
      <c r="AH178" s="1429"/>
      <c r="AI178" s="1429"/>
      <c r="AJ178" s="1429"/>
      <c r="AK178" s="1429"/>
    </row>
    <row s="12119" customFormat="1" customHeight="1" ht="17.25">
      <c r="A179" s="2010"/>
      <c r="C179" s="2015"/>
      <c r="D179" s="2673"/>
      <c r="E179" s="2700"/>
      <c r="F179" s="2316"/>
      <c r="G179" s="2702"/>
      <c r="H179" s="2673"/>
      <c r="I179" s="2673"/>
      <c r="J179" s="2703"/>
      <c r="K179" s="2282"/>
      <c r="L179" s="487"/>
      <c r="M179" s="488"/>
      <c r="N179" s="488" t="s">
        <v>167</v>
      </c>
      <c r="O179" s="488"/>
      <c r="P179" s="488"/>
      <c r="Q179" s="488"/>
      <c r="R179" s="488"/>
      <c r="S179" s="2016"/>
      <c r="T179" s="2016"/>
      <c r="U179" s="2016"/>
      <c r="V179" s="2016"/>
      <c r="W179" s="489"/>
      <c r="Y179" s="1429"/>
      <c r="Z179" s="1429"/>
      <c r="AA179" s="1429"/>
      <c r="AB179" s="1429"/>
      <c r="AC179" s="1429"/>
      <c r="AD179" s="1429"/>
      <c r="AE179" s="1429"/>
      <c r="AF179" s="1429"/>
      <c r="AG179" s="1429"/>
      <c r="AH179" s="1429"/>
      <c r="AI179" s="1429"/>
      <c r="AJ179" s="1429"/>
      <c r="AK179" s="1429"/>
    </row>
    <row s="12119" customFormat="1" customHeight="1" ht="17.25">
      <c r="A180" s="2010"/>
      <c r="C180" s="2015"/>
      <c r="D180" s="2673"/>
      <c r="E180" s="2700"/>
      <c r="F180" s="2317"/>
      <c r="G180" s="2702"/>
      <c r="H180" s="487"/>
      <c r="I180" s="488"/>
      <c r="J180" s="488" t="s">
        <v>168</v>
      </c>
      <c r="K180" s="488"/>
      <c r="L180" s="488"/>
      <c r="M180" s="488"/>
      <c r="N180" s="488"/>
      <c r="O180" s="488"/>
      <c r="P180" s="488"/>
      <c r="Q180" s="488"/>
      <c r="R180" s="488"/>
      <c r="S180" s="2016"/>
      <c r="T180" s="2016"/>
      <c r="U180" s="2016"/>
      <c r="V180" s="2016"/>
      <c r="W180" s="489"/>
      <c r="Y180" s="1429"/>
      <c r="Z180" s="1429"/>
      <c r="AA180" s="1429"/>
      <c r="AB180" s="1429"/>
      <c r="AC180" s="1429"/>
      <c r="AD180" s="1429"/>
      <c r="AE180" s="1429"/>
      <c r="AF180" s="1429"/>
      <c r="AG180" s="1429"/>
      <c r="AH180" s="1429"/>
      <c r="AI180" s="1429"/>
      <c r="AJ180" s="1429"/>
      <c r="AK180" s="1429"/>
    </row>
    <row customHeight="1" ht="17.25">
      <c r="A181" s="2020"/>
    </row>
    <row s="12119" customFormat="1" customHeight="1" ht="17.25">
      <c r="A182" s="2010"/>
      <c r="C182" s="2012"/>
      <c r="D182" s="2000"/>
      <c r="E182" s="2017"/>
      <c r="F182" s="1954"/>
      <c r="G182" s="2018"/>
      <c r="H182" s="2699"/>
      <c r="I182" s="2699">
        <v>1</v>
      </c>
      <c r="J182" s="2671"/>
      <c r="K182" s="2355" t="s">
        <v>64</v>
      </c>
      <c r="L182" s="2278"/>
      <c r="M182" s="2278" t="s">
        <v>112</v>
      </c>
      <c r="N182" s="2674" t="str">
        <f>IF(Z182="","",INDEX(TERRITORY_MR_LIST,MATCH(Z182,TERRITORY_LIST_ID,0)))</f>
        <v/>
      </c>
      <c r="O182" s="2355" t="s">
        <v>64</v>
      </c>
      <c r="P182" s="2278"/>
      <c r="Q182" s="2278" t="s">
        <v>112</v>
      </c>
      <c r="R182" s="2672" t="s">
        <v>28</v>
      </c>
      <c r="S182" s="2576" t="s">
        <v>19</v>
      </c>
      <c r="T182" s="1972"/>
      <c r="U182" s="1972" t="s">
        <v>112</v>
      </c>
      <c r="V182" s="1604"/>
      <c r="W182" s="2671"/>
      <c r="Y182" s="1437"/>
      <c r="Z182" s="1437"/>
      <c r="AA182" s="1437"/>
      <c r="AB182" s="1437"/>
      <c r="AC182" s="1437"/>
      <c r="AD182" s="1437"/>
      <c r="AE182" s="1437"/>
      <c r="AF182" s="1437"/>
      <c r="AG182" s="1437"/>
      <c r="AH182" s="1437"/>
      <c r="AI182" s="1437"/>
      <c r="AJ182" s="1437"/>
      <c r="AK182" s="1437"/>
      <c r="AL182" s="2014"/>
      <c r="AM182" s="2014"/>
      <c r="AN182" s="1437"/>
      <c r="AO182" s="1437"/>
      <c r="AP182" s="1437"/>
      <c r="AQ182" s="1437"/>
    </row>
    <row s="12119" customFormat="1" customHeight="1" ht="17.25">
      <c r="A183" s="2010"/>
      <c r="C183" s="2015"/>
      <c r="D183" s="2000"/>
      <c r="E183" s="2017"/>
      <c r="F183" s="1954"/>
      <c r="G183" s="2018"/>
      <c r="H183" s="2699"/>
      <c r="I183" s="2699"/>
      <c r="J183" s="2671"/>
      <c r="K183" s="2356"/>
      <c r="L183" s="2278"/>
      <c r="M183" s="2278"/>
      <c r="N183" s="2674"/>
      <c r="O183" s="2356"/>
      <c r="P183" s="2278"/>
      <c r="Q183" s="2278"/>
      <c r="R183" s="2672"/>
      <c r="S183" s="2576"/>
      <c r="T183" s="1605"/>
      <c r="U183" s="1606"/>
      <c r="V183" s="1606"/>
      <c r="W183" s="2671"/>
      <c r="Y183" s="1429"/>
      <c r="Z183" s="1429"/>
      <c r="AA183" s="1429"/>
      <c r="AB183" s="1429"/>
      <c r="AC183" s="1429"/>
      <c r="AD183" s="1429"/>
      <c r="AE183" s="1429"/>
      <c r="AF183" s="1429"/>
      <c r="AG183" s="1429"/>
      <c r="AH183" s="1429"/>
      <c r="AI183" s="1429"/>
      <c r="AJ183" s="1429"/>
      <c r="AK183" s="1429"/>
    </row>
    <row s="12119" customFormat="1" customHeight="1" ht="17.25">
      <c r="A184" s="2010"/>
      <c r="C184" s="2015"/>
      <c r="D184" s="2000"/>
      <c r="E184" s="2017"/>
      <c r="F184" s="1954"/>
      <c r="G184" s="2018"/>
      <c r="H184" s="2673"/>
      <c r="I184" s="2673"/>
      <c r="J184" s="2703"/>
      <c r="K184" s="2356"/>
      <c r="L184" s="2673"/>
      <c r="M184" s="2673"/>
      <c r="N184" s="2675"/>
      <c r="O184" s="2282"/>
      <c r="P184" s="487"/>
      <c r="Q184" s="488"/>
      <c r="R184" s="488" t="s">
        <v>166</v>
      </c>
      <c r="S184" s="2016"/>
      <c r="T184" s="2016"/>
      <c r="U184" s="2016"/>
      <c r="V184" s="2016"/>
      <c r="W184" s="1603"/>
      <c r="Y184" s="1429"/>
      <c r="Z184" s="1429"/>
      <c r="AA184" s="1429"/>
      <c r="AB184" s="1429"/>
      <c r="AC184" s="1429"/>
      <c r="AD184" s="1429"/>
      <c r="AE184" s="1429"/>
      <c r="AF184" s="1429"/>
      <c r="AG184" s="1429"/>
      <c r="AH184" s="1429"/>
      <c r="AI184" s="1429"/>
      <c r="AJ184" s="1429"/>
      <c r="AK184" s="1429"/>
    </row>
    <row s="12119" customFormat="1" customHeight="1" ht="17.25">
      <c r="A185" s="2010"/>
      <c r="C185" s="2015"/>
      <c r="D185" s="2000"/>
      <c r="E185" s="2017"/>
      <c r="F185" s="1954"/>
      <c r="G185" s="2018"/>
      <c r="H185" s="2673"/>
      <c r="I185" s="2673"/>
      <c r="J185" s="2703"/>
      <c r="K185" s="2282"/>
      <c r="L185" s="487"/>
      <c r="M185" s="488"/>
      <c r="N185" s="488" t="s">
        <v>167</v>
      </c>
      <c r="O185" s="488"/>
      <c r="P185" s="488"/>
      <c r="Q185" s="488"/>
      <c r="R185" s="488"/>
      <c r="S185" s="2016"/>
      <c r="T185" s="2016"/>
      <c r="U185" s="2016"/>
      <c r="V185" s="2016"/>
      <c r="W185" s="489"/>
      <c r="Y185" s="1429"/>
      <c r="Z185" s="1429"/>
      <c r="AA185" s="1429"/>
      <c r="AB185" s="1429"/>
      <c r="AC185" s="1429"/>
      <c r="AD185" s="1429"/>
      <c r="AE185" s="1429"/>
      <c r="AF185" s="1429"/>
      <c r="AG185" s="1429"/>
      <c r="AH185" s="1429"/>
      <c r="AI185" s="1429"/>
      <c r="AJ185" s="1429"/>
      <c r="AK185" s="1429"/>
    </row>
    <row customHeight="1" ht="17.25">
      <c r="A186" s="2020"/>
    </row>
    <row s="12119" customFormat="1" customHeight="1" ht="17.25">
      <c r="A187" s="2010"/>
      <c r="C187" s="2012"/>
      <c r="D187" s="2000"/>
      <c r="E187" s="2017"/>
      <c r="F187" s="1954"/>
      <c r="G187" s="2018"/>
      <c r="H187" s="2000"/>
      <c r="I187" s="2000"/>
      <c r="J187" s="2021"/>
      <c r="K187" s="2018"/>
      <c r="L187" s="2278"/>
      <c r="M187" s="2278" t="s">
        <v>112</v>
      </c>
      <c r="N187" s="2674" t="str">
        <f>IF(Z187="","",INDEX(TERRITORY_MR_LIST,MATCH(Z187,TERRITORY_LIST_ID,0)))</f>
        <v/>
      </c>
      <c r="O187" s="2355" t="s">
        <v>64</v>
      </c>
      <c r="P187" s="2278"/>
      <c r="Q187" s="2278" t="s">
        <v>112</v>
      </c>
      <c r="R187" s="2672" t="s">
        <v>28</v>
      </c>
      <c r="S187" s="2576" t="s">
        <v>19</v>
      </c>
      <c r="T187" s="1972"/>
      <c r="U187" s="1972" t="s">
        <v>112</v>
      </c>
      <c r="V187" s="1604"/>
      <c r="W187" s="2671"/>
      <c r="Y187" s="1437"/>
      <c r="Z187" s="1437"/>
      <c r="AA187" s="1437"/>
      <c r="AB187" s="1437"/>
      <c r="AC187" s="1437"/>
      <c r="AD187" s="1437"/>
      <c r="AE187" s="1437"/>
      <c r="AF187" s="1437"/>
      <c r="AG187" s="1437"/>
      <c r="AH187" s="1437"/>
      <c r="AI187" s="1437"/>
      <c r="AJ187" s="1437"/>
      <c r="AK187" s="1437"/>
      <c r="AL187" s="2014"/>
      <c r="AM187" s="2014"/>
      <c r="AN187" s="1437"/>
      <c r="AO187" s="1437"/>
      <c r="AP187" s="1437"/>
      <c r="AQ187" s="1437"/>
    </row>
    <row s="12119" customFormat="1" customHeight="1" ht="17.25">
      <c r="A188" s="2010"/>
      <c r="C188" s="2015"/>
      <c r="D188" s="2000"/>
      <c r="E188" s="2017"/>
      <c r="F188" s="1954"/>
      <c r="G188" s="2018"/>
      <c r="H188" s="2000"/>
      <c r="I188" s="2000"/>
      <c r="J188" s="2021"/>
      <c r="K188" s="2018"/>
      <c r="L188" s="2278"/>
      <c r="M188" s="2278"/>
      <c r="N188" s="2674"/>
      <c r="O188" s="2356"/>
      <c r="P188" s="2278"/>
      <c r="Q188" s="2278"/>
      <c r="R188" s="2672"/>
      <c r="S188" s="2576"/>
      <c r="T188" s="1605"/>
      <c r="U188" s="1606"/>
      <c r="V188" s="1606"/>
      <c r="W188" s="2671"/>
      <c r="Y188" s="1429"/>
      <c r="Z188" s="1429"/>
      <c r="AA188" s="1429"/>
      <c r="AB188" s="1429"/>
      <c r="AC188" s="1429"/>
      <c r="AD188" s="1429"/>
      <c r="AE188" s="1429"/>
      <c r="AF188" s="1429"/>
      <c r="AG188" s="1429"/>
      <c r="AH188" s="1429"/>
      <c r="AI188" s="1429"/>
      <c r="AJ188" s="1429"/>
      <c r="AK188" s="1429"/>
    </row>
    <row s="12119" customFormat="1" customHeight="1" ht="17.25">
      <c r="A189" s="2010"/>
      <c r="C189" s="2015"/>
      <c r="D189" s="2000"/>
      <c r="E189" s="2017"/>
      <c r="F189" s="1954"/>
      <c r="G189" s="2018"/>
      <c r="H189" s="2000"/>
      <c r="I189" s="2000"/>
      <c r="J189" s="2021"/>
      <c r="K189" s="2018"/>
      <c r="L189" s="2673"/>
      <c r="M189" s="2673"/>
      <c r="N189" s="2675"/>
      <c r="O189" s="2282"/>
      <c r="P189" s="487"/>
      <c r="Q189" s="488"/>
      <c r="R189" s="488" t="s">
        <v>166</v>
      </c>
      <c r="S189" s="2016"/>
      <c r="T189" s="2016"/>
      <c r="U189" s="2016"/>
      <c r="V189" s="2016"/>
      <c r="W189" s="1603"/>
      <c r="Y189" s="1429"/>
      <c r="Z189" s="1429"/>
      <c r="AA189" s="1429"/>
      <c r="AB189" s="1429"/>
      <c r="AC189" s="1429"/>
      <c r="AD189" s="1429"/>
      <c r="AE189" s="1429"/>
      <c r="AF189" s="1429"/>
      <c r="AG189" s="1429"/>
      <c r="AH189" s="1429"/>
      <c r="AI189" s="1429"/>
      <c r="AJ189" s="1429"/>
      <c r="AK189" s="1429"/>
    </row>
    <row customHeight="1" ht="17.25">
      <c r="A190" s="2020"/>
    </row>
    <row s="12119" customFormat="1" customHeight="1" ht="17.25">
      <c r="A191" s="2010"/>
      <c r="C191" s="2012"/>
      <c r="D191" s="2000"/>
      <c r="E191" s="2017"/>
      <c r="F191" s="1954"/>
      <c r="G191" s="2018"/>
      <c r="H191" s="2000"/>
      <c r="I191" s="2000"/>
      <c r="J191" s="2021"/>
      <c r="K191" s="2018"/>
      <c r="L191" s="2000"/>
      <c r="M191" s="2000"/>
      <c r="N191" s="2218"/>
      <c r="O191" s="1957"/>
      <c r="P191" s="2278"/>
      <c r="Q191" s="2278" t="s">
        <v>112</v>
      </c>
      <c r="R191" s="2672" t="s">
        <v>28</v>
      </c>
      <c r="S191" s="2576" t="s">
        <v>19</v>
      </c>
      <c r="T191" s="1972"/>
      <c r="U191" s="1972" t="s">
        <v>112</v>
      </c>
      <c r="V191" s="1604"/>
      <c r="W191" s="2671"/>
      <c r="Y191" s="1437"/>
      <c r="Z191" s="1437"/>
      <c r="AA191" s="1437"/>
      <c r="AB191" s="1437"/>
      <c r="AC191" s="1437"/>
      <c r="AD191" s="1437"/>
      <c r="AE191" s="1437"/>
      <c r="AF191" s="1437"/>
      <c r="AG191" s="1437"/>
      <c r="AH191" s="1437"/>
      <c r="AI191" s="1437"/>
      <c r="AJ191" s="1437"/>
      <c r="AK191" s="1437"/>
      <c r="AL191" s="2014"/>
      <c r="AM191" s="2014"/>
      <c r="AN191" s="1437"/>
      <c r="AO191" s="1437"/>
      <c r="AP191" s="1437"/>
      <c r="AQ191" s="1437"/>
    </row>
    <row s="12119" customFormat="1" customHeight="1" ht="17.25">
      <c r="A192" s="2010"/>
      <c r="C192" s="2015"/>
      <c r="D192" s="2000"/>
      <c r="E192" s="2017"/>
      <c r="F192" s="1954"/>
      <c r="G192" s="2018"/>
      <c r="H192" s="2000"/>
      <c r="I192" s="2000"/>
      <c r="J192" s="2021"/>
      <c r="K192" s="2018"/>
      <c r="L192" s="2000"/>
      <c r="M192" s="2000"/>
      <c r="N192" s="2218"/>
      <c r="O192" s="1957"/>
      <c r="P192" s="2278"/>
      <c r="Q192" s="2278"/>
      <c r="R192" s="2672"/>
      <c r="S192" s="2576"/>
      <c r="T192" s="1605"/>
      <c r="U192" s="1606"/>
      <c r="V192" s="1606"/>
      <c r="W192" s="2671"/>
      <c r="Y192" s="1429"/>
      <c r="Z192" s="1429"/>
      <c r="AA192" s="1429"/>
      <c r="AB192" s="1429"/>
      <c r="AC192" s="1429"/>
      <c r="AD192" s="1429"/>
      <c r="AE192" s="1429"/>
      <c r="AF192" s="1429"/>
      <c r="AG192" s="1429"/>
      <c r="AH192" s="1429"/>
      <c r="AI192" s="1429"/>
      <c r="AJ192" s="1429"/>
      <c r="AK192" s="1429"/>
    </row>
    <row customHeight="1" ht="17.25">
      <c r="A193" s="2020"/>
    </row>
    <row customHeight="1" ht="16.5">
      <c r="A194" s="2010"/>
      <c r="B194" s="2011"/>
      <c r="C194" s="2015"/>
      <c r="D194" s="2723"/>
      <c r="E194" s="2349"/>
      <c r="F194" s="2349"/>
      <c r="G194" s="2297"/>
      <c r="H194" s="2724"/>
      <c r="I194" s="2737"/>
      <c r="J194" s="2322"/>
      <c r="K194" s="2307"/>
      <c r="L194" s="2307"/>
      <c r="M194" s="2307"/>
      <c r="N194" s="2735"/>
      <c r="O194" s="2307"/>
      <c r="P194" s="2307"/>
      <c r="Q194" s="2307"/>
      <c r="R194" s="2733"/>
      <c r="S194" s="2307"/>
      <c r="T194" s="1953"/>
      <c r="U194" s="1953"/>
      <c r="V194" s="2022"/>
      <c r="W194" s="1466"/>
    </row>
    <row customHeight="1" ht="16.5">
      <c r="A195" s="2010"/>
      <c r="B195" s="2011"/>
      <c r="C195" s="2015"/>
      <c r="D195" s="2723"/>
      <c r="E195" s="2349"/>
      <c r="F195" s="2349"/>
      <c r="G195" s="2297"/>
      <c r="H195" s="2725"/>
      <c r="I195" s="2738"/>
      <c r="J195" s="2323"/>
      <c r="K195" s="2308"/>
      <c r="L195" s="2308"/>
      <c r="M195" s="2308"/>
      <c r="N195" s="2736"/>
      <c r="O195" s="2308"/>
      <c r="P195" s="2308"/>
      <c r="Q195" s="2308"/>
      <c r="R195" s="2734"/>
      <c r="S195" s="2308"/>
      <c r="T195" s="1467"/>
      <c r="U195" s="1467"/>
      <c r="V195" s="1467"/>
      <c r="W195" s="1468"/>
    </row>
    <row customHeight="1" ht="17.25">
      <c r="A196" s="2010"/>
      <c r="B196" s="2011"/>
      <c r="C196" s="2015"/>
      <c r="D196" s="2723"/>
      <c r="E196" s="2349"/>
      <c r="F196" s="2349"/>
      <c r="G196" s="2297"/>
      <c r="H196" s="2725"/>
      <c r="I196" s="2738"/>
      <c r="J196" s="2726"/>
      <c r="K196" s="2308"/>
      <c r="L196" s="2308"/>
      <c r="M196" s="2308"/>
      <c r="N196" s="2734"/>
      <c r="O196" s="2308"/>
      <c r="P196" s="1956"/>
      <c r="Q196" s="1467"/>
      <c r="R196" s="1467"/>
      <c r="S196" s="2023"/>
      <c r="T196" s="2023"/>
      <c r="U196" s="2023"/>
      <c r="V196" s="2023"/>
      <c r="W196" s="1468"/>
    </row>
    <row customHeight="1" ht="17.25">
      <c r="A197" s="2010"/>
      <c r="B197" s="2011"/>
      <c r="C197" s="2015"/>
      <c r="D197" s="2723"/>
      <c r="E197" s="2349"/>
      <c r="F197" s="2349"/>
      <c r="G197" s="2297"/>
      <c r="H197" s="2725"/>
      <c r="I197" s="2738"/>
      <c r="J197" s="2726"/>
      <c r="K197" s="2308"/>
      <c r="L197" s="1467"/>
      <c r="M197" s="1467"/>
      <c r="N197" s="1467"/>
      <c r="O197" s="1467"/>
      <c r="P197" s="1467"/>
      <c r="Q197" s="1467"/>
      <c r="R197" s="1467"/>
      <c r="S197" s="2023"/>
      <c r="T197" s="2023"/>
      <c r="U197" s="2023"/>
      <c r="V197" s="2023"/>
      <c r="W197" s="1468"/>
    </row>
    <row customHeight="1" ht="17.25">
      <c r="A198" s="2010"/>
      <c r="B198" s="2011"/>
      <c r="C198" s="2015"/>
      <c r="D198" s="2723"/>
      <c r="E198" s="2349"/>
      <c r="F198" s="2349"/>
      <c r="G198" s="2297"/>
      <c r="H198" s="1469"/>
      <c r="I198" s="1470"/>
      <c r="J198" s="1470"/>
      <c r="K198" s="1470"/>
      <c r="L198" s="1470"/>
      <c r="M198" s="1470"/>
      <c r="N198" s="1470"/>
      <c r="O198" s="1470"/>
      <c r="P198" s="1470"/>
      <c r="Q198" s="1470"/>
      <c r="R198" s="1470"/>
      <c r="S198" s="2024"/>
      <c r="T198" s="2024"/>
      <c r="U198" s="2024"/>
      <c r="V198" s="2024"/>
      <c r="W198" s="1472"/>
    </row>
    <row r="200" s="15413" customFormat="1" customHeight="1" ht="17.25">
      <c r="A200" s="1985" t="s">
        <v>1959</v>
      </c>
    </row>
    <row customHeight="1" ht="17.25">
      <c r="G201" s="2009"/>
      <c r="H201" s="2009"/>
      <c r="I201" s="2009"/>
      <c r="M201" s="2005"/>
    </row>
    <row s="12053" customFormat="1" customHeight="1" ht="15">
      <c r="D202" s="2693"/>
      <c r="E202" s="2369"/>
      <c r="F202" s="2369"/>
      <c r="G202" s="2355"/>
      <c r="H202" s="1734"/>
      <c r="I202" s="2697">
        <v>1</v>
      </c>
      <c r="J202" s="2671"/>
      <c r="K202" s="1749"/>
      <c r="L202" s="2355" t="s">
        <v>64</v>
      </c>
      <c r="M202" s="2355" t="s">
        <v>64</v>
      </c>
      <c r="N202" s="1734"/>
      <c r="O202" s="2278" t="s">
        <v>112</v>
      </c>
      <c r="P202" s="2687"/>
      <c r="Q202" s="1750"/>
      <c r="R202" s="2355" t="s">
        <v>64</v>
      </c>
      <c r="S202" s="2355" t="s">
        <v>64</v>
      </c>
      <c r="T202" s="2025"/>
      <c r="U202" s="2278" t="s">
        <v>112</v>
      </c>
      <c r="V202" s="2694" t="str">
        <f>IF(AK202="","",INDEX(TERRITORY_MR_LIST,MATCH(AK202,TERRITORY_LIST_ID,0)))</f>
        <v/>
      </c>
      <c r="W202" s="1751"/>
      <c r="X202" s="2355" t="s">
        <v>64</v>
      </c>
      <c r="Y202" s="2355" t="s">
        <v>19</v>
      </c>
      <c r="Z202" s="1734"/>
      <c r="AA202" s="2278" t="s">
        <v>112</v>
      </c>
      <c r="AB202" s="2696"/>
      <c r="AC202" s="1752"/>
      <c r="AD202" s="2355" t="s">
        <v>64</v>
      </c>
      <c r="AE202" s="2355" t="s">
        <v>19</v>
      </c>
      <c r="AF202" s="1732"/>
      <c r="AG202" s="1981" t="s">
        <v>112</v>
      </c>
      <c r="AH202" s="1742"/>
      <c r="AI202" s="1971"/>
    </row>
    <row s="12053" customFormat="1" customHeight="1" ht="15">
      <c r="D203" s="2693"/>
      <c r="E203" s="2369"/>
      <c r="F203" s="2369"/>
      <c r="G203" s="2356"/>
      <c r="H203" s="1734"/>
      <c r="I203" s="2697"/>
      <c r="J203" s="2671"/>
      <c r="K203" s="1733"/>
      <c r="L203" s="2356"/>
      <c r="M203" s="2356"/>
      <c r="N203" s="1734"/>
      <c r="O203" s="2278"/>
      <c r="P203" s="2687"/>
      <c r="Q203" s="1730"/>
      <c r="R203" s="2356"/>
      <c r="S203" s="2356"/>
      <c r="T203" s="2025"/>
      <c r="U203" s="2278"/>
      <c r="V203" s="2695"/>
      <c r="W203" s="1731"/>
      <c r="X203" s="2356"/>
      <c r="Y203" s="2356"/>
      <c r="Z203" s="1734"/>
      <c r="AA203" s="2278"/>
      <c r="AB203" s="2665"/>
      <c r="AC203" s="1735"/>
      <c r="AD203" s="2282"/>
      <c r="AE203" s="2282"/>
      <c r="AF203" s="1736"/>
      <c r="AG203" s="1737"/>
      <c r="AH203" s="2688" t="s">
        <v>1960</v>
      </c>
      <c r="AI203" s="2689"/>
    </row>
    <row s="12053" customFormat="1" customHeight="1" ht="15">
      <c r="D204" s="2693"/>
      <c r="E204" s="2369"/>
      <c r="F204" s="2369"/>
      <c r="G204" s="2356"/>
      <c r="H204" s="1734"/>
      <c r="I204" s="2697"/>
      <c r="J204" s="2671"/>
      <c r="K204" s="1733"/>
      <c r="L204" s="2356"/>
      <c r="M204" s="2356"/>
      <c r="N204" s="1734"/>
      <c r="O204" s="2278"/>
      <c r="P204" s="2687"/>
      <c r="Q204" s="1730"/>
      <c r="R204" s="2356"/>
      <c r="S204" s="2356"/>
      <c r="T204" s="2025"/>
      <c r="U204" s="2278"/>
      <c r="V204" s="2695"/>
      <c r="W204" s="1731"/>
      <c r="X204" s="2356"/>
      <c r="Y204" s="2356"/>
      <c r="Z204" s="1773"/>
      <c r="AA204" s="1739"/>
      <c r="AB204" s="2690" t="s">
        <v>1961</v>
      </c>
      <c r="AC204" s="2690"/>
      <c r="AD204" s="2690"/>
      <c r="AE204" s="2690"/>
      <c r="AF204" s="2690"/>
      <c r="AG204" s="2690"/>
      <c r="AH204" s="2690"/>
      <c r="AI204" s="2691"/>
    </row>
    <row s="12053" customFormat="1" customHeight="1" ht="15">
      <c r="D205" s="2693"/>
      <c r="E205" s="2369"/>
      <c r="F205" s="2369"/>
      <c r="G205" s="2356"/>
      <c r="H205" s="1734"/>
      <c r="I205" s="2697"/>
      <c r="J205" s="2671"/>
      <c r="K205" s="1733"/>
      <c r="L205" s="2356"/>
      <c r="M205" s="2356"/>
      <c r="N205" s="1734"/>
      <c r="O205" s="2278"/>
      <c r="P205" s="2692"/>
      <c r="Q205" s="1730"/>
      <c r="R205" s="2356"/>
      <c r="S205" s="2356"/>
      <c r="T205" s="2026"/>
      <c r="U205" s="1774"/>
      <c r="V205" s="2688" t="s">
        <v>106</v>
      </c>
      <c r="W205" s="2688"/>
      <c r="X205" s="2688"/>
      <c r="Y205" s="2688"/>
      <c r="Z205" s="2688"/>
      <c r="AA205" s="2688"/>
      <c r="AB205" s="2688"/>
      <c r="AC205" s="2688"/>
      <c r="AD205" s="2688"/>
      <c r="AE205" s="2688"/>
      <c r="AF205" s="2688"/>
      <c r="AG205" s="2688"/>
      <c r="AH205" s="2688"/>
      <c r="AI205" s="2689"/>
    </row>
    <row s="12053" customFormat="1" customHeight="1" ht="11.25">
      <c r="D206" s="2693"/>
      <c r="E206" s="2369"/>
      <c r="F206" s="2369"/>
      <c r="G206" s="2356"/>
      <c r="H206" s="1738"/>
      <c r="I206" s="2697"/>
      <c r="J206" s="2698"/>
      <c r="K206" s="1733"/>
      <c r="L206" s="2356"/>
      <c r="M206" s="2356"/>
      <c r="N206" s="1738"/>
      <c r="O206" s="1739"/>
      <c r="P206" s="2688" t="s">
        <v>1962</v>
      </c>
      <c r="Q206" s="2688"/>
      <c r="R206" s="2688"/>
      <c r="S206" s="2688"/>
      <c r="T206" s="2688"/>
      <c r="U206" s="2688"/>
      <c r="V206" s="2688"/>
      <c r="W206" s="2688"/>
      <c r="X206" s="2688"/>
      <c r="Y206" s="2688"/>
      <c r="Z206" s="2688"/>
      <c r="AA206" s="2688"/>
      <c r="AB206" s="2688"/>
      <c r="AC206" s="2688"/>
      <c r="AD206" s="2688"/>
      <c r="AE206" s="2688"/>
      <c r="AF206" s="2688"/>
      <c r="AG206" s="2688"/>
      <c r="AH206" s="2688"/>
      <c r="AI206" s="2689"/>
    </row>
    <row s="12462" customFormat="1" customHeight="1" ht="11.25">
      <c r="D207" s="2693"/>
      <c r="E207" s="2369"/>
      <c r="F207" s="2369"/>
      <c r="G207" s="2282"/>
      <c r="H207" s="1740"/>
      <c r="I207" s="1741"/>
      <c r="J207" s="2688" t="s">
        <v>168</v>
      </c>
      <c r="K207" s="2688"/>
      <c r="L207" s="2688"/>
      <c r="M207" s="2688"/>
      <c r="N207" s="2688"/>
      <c r="O207" s="2688"/>
      <c r="P207" s="2688"/>
      <c r="Q207" s="2688"/>
      <c r="R207" s="2688"/>
      <c r="S207" s="2688"/>
      <c r="T207" s="2688"/>
      <c r="U207" s="2688"/>
      <c r="V207" s="2688"/>
      <c r="W207" s="2688"/>
      <c r="X207" s="2688"/>
      <c r="Y207" s="2688"/>
      <c r="Z207" s="2688"/>
      <c r="AA207" s="2688"/>
      <c r="AB207" s="2688"/>
      <c r="AC207" s="2688"/>
      <c r="AD207" s="2688"/>
      <c r="AE207" s="2688"/>
      <c r="AF207" s="2688"/>
      <c r="AG207" s="2688"/>
      <c r="AH207" s="2688"/>
      <c r="AI207" s="2689"/>
      <c r="BK207" s="1744"/>
    </row>
    <row customHeight="1" ht="17.25">
      <c r="G208" s="2009"/>
      <c r="I208" s="2009"/>
      <c r="J208" s="2009"/>
      <c r="N208" s="2005"/>
    </row>
    <row s="12053" customFormat="1" customHeight="1" ht="15">
      <c r="D209" s="2693"/>
      <c r="E209" s="2369"/>
      <c r="F209" s="2369"/>
      <c r="G209" s="2349"/>
      <c r="H209" s="1769"/>
      <c r="I209" s="2351"/>
      <c r="J209" s="2322"/>
      <c r="K209" s="1955"/>
      <c r="L209" s="2307"/>
      <c r="M209" s="2307"/>
      <c r="N209" s="1754"/>
      <c r="O209" s="2307"/>
      <c r="P209" s="2322"/>
      <c r="Q209" s="1959"/>
      <c r="R209" s="2307"/>
      <c r="S209" s="2307"/>
      <c r="T209" s="2027"/>
      <c r="U209" s="2307"/>
      <c r="V209" s="2322"/>
      <c r="W209" s="1757"/>
      <c r="X209" s="2307"/>
      <c r="Y209" s="2307"/>
      <c r="Z209" s="1754"/>
      <c r="AA209" s="2307"/>
      <c r="AB209" s="2322"/>
      <c r="AC209" s="1758"/>
      <c r="AD209" s="2307"/>
      <c r="AE209" s="2307"/>
      <c r="AF209" s="1953"/>
      <c r="AG209" s="1953"/>
      <c r="AH209" s="1759"/>
      <c r="AI209" s="1466"/>
    </row>
    <row s="12053" customFormat="1" customHeight="1" ht="15">
      <c r="D210" s="2693"/>
      <c r="E210" s="2369"/>
      <c r="F210" s="2369"/>
      <c r="G210" s="2349"/>
      <c r="H210" s="1770"/>
      <c r="I210" s="2352"/>
      <c r="J210" s="2323"/>
      <c r="K210" s="1780"/>
      <c r="L210" s="2308"/>
      <c r="M210" s="2308"/>
      <c r="N210" s="1760"/>
      <c r="O210" s="2308"/>
      <c r="P210" s="2323"/>
      <c r="Q210" s="1960"/>
      <c r="R210" s="2308"/>
      <c r="S210" s="2308"/>
      <c r="T210" s="2028"/>
      <c r="U210" s="2308"/>
      <c r="V210" s="2323"/>
      <c r="W210" s="1763"/>
      <c r="X210" s="2308"/>
      <c r="Y210" s="2308"/>
      <c r="Z210" s="1760"/>
      <c r="AA210" s="2308"/>
      <c r="AB210" s="2323"/>
      <c r="AC210" s="1764"/>
      <c r="AD210" s="2308"/>
      <c r="AE210" s="2308"/>
      <c r="AF210" s="1958"/>
      <c r="AG210" s="1958"/>
      <c r="AH210" s="2347"/>
      <c r="AI210" s="2348"/>
    </row>
    <row s="12053" customFormat="1" customHeight="1" ht="15">
      <c r="D211" s="2693"/>
      <c r="E211" s="2369"/>
      <c r="F211" s="2369"/>
      <c r="G211" s="2349"/>
      <c r="H211" s="1770"/>
      <c r="I211" s="2352"/>
      <c r="J211" s="2323"/>
      <c r="K211" s="1780"/>
      <c r="L211" s="2308"/>
      <c r="M211" s="2308"/>
      <c r="N211" s="1760"/>
      <c r="O211" s="2308"/>
      <c r="P211" s="2323"/>
      <c r="Q211" s="1960"/>
      <c r="R211" s="2308"/>
      <c r="S211" s="2308"/>
      <c r="T211" s="2028"/>
      <c r="U211" s="2308"/>
      <c r="V211" s="2323"/>
      <c r="W211" s="1763"/>
      <c r="X211" s="2308"/>
      <c r="Y211" s="2308"/>
      <c r="Z211" s="1956"/>
      <c r="AA211" s="1958"/>
      <c r="AB211" s="2347"/>
      <c r="AC211" s="2347"/>
      <c r="AD211" s="2347"/>
      <c r="AE211" s="2347"/>
      <c r="AF211" s="2347"/>
      <c r="AG211" s="2347"/>
      <c r="AH211" s="2347"/>
      <c r="AI211" s="2348"/>
    </row>
    <row s="12053" customFormat="1" customHeight="1" ht="15">
      <c r="D212" s="2693"/>
      <c r="E212" s="2369"/>
      <c r="F212" s="2369"/>
      <c r="G212" s="2349"/>
      <c r="H212" s="1770"/>
      <c r="I212" s="2352"/>
      <c r="J212" s="2323"/>
      <c r="K212" s="1780"/>
      <c r="L212" s="2308"/>
      <c r="M212" s="2308"/>
      <c r="N212" s="1760"/>
      <c r="O212" s="2308"/>
      <c r="P212" s="2323"/>
      <c r="Q212" s="1960"/>
      <c r="R212" s="2308"/>
      <c r="S212" s="2308"/>
      <c r="T212" s="2029"/>
      <c r="U212" s="1767"/>
      <c r="V212" s="2347"/>
      <c r="W212" s="2347"/>
      <c r="X212" s="2347"/>
      <c r="Y212" s="2347"/>
      <c r="Z212" s="2347"/>
      <c r="AA212" s="2347"/>
      <c r="AB212" s="2347"/>
      <c r="AC212" s="2347"/>
      <c r="AD212" s="2347"/>
      <c r="AE212" s="2347"/>
      <c r="AF212" s="2347"/>
      <c r="AG212" s="2347"/>
      <c r="AH212" s="2347"/>
      <c r="AI212" s="2348"/>
    </row>
    <row s="12053" customFormat="1" customHeight="1" ht="11.25">
      <c r="D213" s="2693"/>
      <c r="E213" s="2369"/>
      <c r="F213" s="2369"/>
      <c r="G213" s="2349"/>
      <c r="H213" s="1771"/>
      <c r="I213" s="2352"/>
      <c r="J213" s="2323"/>
      <c r="K213" s="1780"/>
      <c r="L213" s="2308"/>
      <c r="M213" s="2308"/>
      <c r="N213" s="1958"/>
      <c r="O213" s="1958"/>
      <c r="P213" s="2347"/>
      <c r="Q213" s="2347"/>
      <c r="R213" s="2347"/>
      <c r="S213" s="2347"/>
      <c r="T213" s="2347"/>
      <c r="U213" s="2347"/>
      <c r="V213" s="2347"/>
      <c r="W213" s="2347"/>
      <c r="X213" s="2347"/>
      <c r="Y213" s="2347"/>
      <c r="Z213" s="2347"/>
      <c r="AA213" s="2347"/>
      <c r="AB213" s="2347"/>
      <c r="AC213" s="2347"/>
      <c r="AD213" s="2347"/>
      <c r="AE213" s="2347"/>
      <c r="AF213" s="2347"/>
      <c r="AG213" s="2347"/>
      <c r="AH213" s="2347"/>
      <c r="AI213" s="2348"/>
    </row>
    <row s="12462" customFormat="1" customHeight="1" ht="11.25">
      <c r="D214" s="2693"/>
      <c r="E214" s="2369"/>
      <c r="F214" s="2369"/>
      <c r="G214" s="2354"/>
      <c r="H214" s="1768"/>
      <c r="I214" s="1772"/>
      <c r="J214" s="2357"/>
      <c r="K214" s="2357"/>
      <c r="L214" s="2357"/>
      <c r="M214" s="2357"/>
      <c r="N214" s="2357"/>
      <c r="O214" s="2357"/>
      <c r="P214" s="2357"/>
      <c r="Q214" s="2357"/>
      <c r="R214" s="2357"/>
      <c r="S214" s="2357"/>
      <c r="T214" s="2357"/>
      <c r="U214" s="2357"/>
      <c r="V214" s="2357"/>
      <c r="W214" s="2357"/>
      <c r="X214" s="2357"/>
      <c r="Y214" s="2357"/>
      <c r="Z214" s="2357"/>
      <c r="AA214" s="2357"/>
      <c r="AB214" s="2357"/>
      <c r="AC214" s="2357"/>
      <c r="AD214" s="2357"/>
      <c r="AE214" s="2357"/>
      <c r="AF214" s="2357"/>
      <c r="AG214" s="2357"/>
      <c r="AH214" s="2357"/>
      <c r="AI214" s="2358"/>
      <c r="BK214" s="1744"/>
    </row>
    <row customHeight="1" ht="17.25">
      <c r="A215" s="202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89219C-A374-FDBA-628F-A6091D0C4C4B}"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15733" width="43.140625"/>
    <col min="2" max="2" style="15733" width="43.140625" hidden="1"/>
    <col min="3" max="3" style="15733" width="43.140625"/>
    <col min="4" max="5" style="15733" width="36.421875" customWidth="1"/>
    <col min="6" max="8" style="15734" width="36.421875" customWidth="1"/>
  </cols>
  <sheetData>
    <row customHeight="1" ht="9">
      <c r="A1" s="1016" t="s">
        <v>1963</v>
      </c>
      <c r="B1" s="1016"/>
      <c r="C1" s="1152" t="s">
        <v>1964</v>
      </c>
      <c r="D1" s="1150" t="s">
        <v>822</v>
      </c>
      <c r="E1" s="1150" t="s">
        <v>868</v>
      </c>
      <c r="F1" s="1150" t="s">
        <v>921</v>
      </c>
      <c r="G1" s="1150" t="s">
        <v>908</v>
      </c>
      <c r="H1" s="1150" t="s">
        <v>1636</v>
      </c>
    </row>
    <row customHeight="1" ht="9">
      <c r="A2" s="1153" t="s">
        <v>1965</v>
      </c>
      <c r="B2" s="1153"/>
      <c r="C2" s="1154" t="str">
        <f>INDEX(TEMPLATE_NUMBER_FORM_LIST,MATCH(TEMPLATE_SPHERE,TEMPLATE_SPHERE_LIST,0))</f>
        <v>16</v>
      </c>
      <c r="D2" s="1153" t="s">
        <v>1487</v>
      </c>
      <c r="E2" s="1153" t="s">
        <v>152</v>
      </c>
      <c r="F2" s="1155" t="s">
        <v>152</v>
      </c>
      <c r="G2" s="1153" t="s">
        <v>152</v>
      </c>
      <c r="H2" s="1156"/>
    </row>
    <row customHeight="1" ht="63">
      <c r="A3" s="1016"/>
      <c r="B3" s="1016" t="s">
        <v>112</v>
      </c>
      <c r="C3" s="115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154" t="s">
        <v>1966</v>
      </c>
      <c r="E3" s="115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155"/>
      <c r="G3" s="1156"/>
      <c r="H3" s="1016"/>
    </row>
    <row customHeight="1" ht="243">
      <c r="A4" s="1016" t="s">
        <v>1967</v>
      </c>
      <c r="B4" s="1016" t="s">
        <v>113</v>
      </c>
      <c r="C4" s="115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153" t="s">
        <v>1968</v>
      </c>
      <c r="E4" s="115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153"/>
      <c r="G4" s="1153"/>
      <c r="H4" s="1016" t="s">
        <v>1969</v>
      </c>
    </row>
    <row customHeight="1" ht="117">
      <c r="A5" s="1016" t="s">
        <v>1970</v>
      </c>
      <c r="B5" s="1016" t="s">
        <v>93</v>
      </c>
      <c r="C5" s="115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1016" t="s">
        <v>1971</v>
      </c>
      <c r="E5" s="101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156"/>
      <c r="G5" s="1156"/>
      <c r="H5" s="1016" t="s">
        <v>1972</v>
      </c>
    </row>
    <row customHeight="1" ht="90">
      <c r="A6" s="1016" t="s">
        <v>1973</v>
      </c>
      <c r="B6" s="1016" t="s">
        <v>94</v>
      </c>
      <c r="C6" s="115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101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101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1016"/>
      <c r="G6" s="1016"/>
      <c r="H6" s="1156"/>
    </row>
    <row customHeight="1" ht="45">
      <c r="A7" s="1016" t="s">
        <v>1974</v>
      </c>
      <c r="B7" s="1016" t="s">
        <v>114</v>
      </c>
      <c r="C7" s="1154" t="str">
        <f>IF(TEMPLATE_SPHERE="HEAT",D7,E7)</f>
        <v>Форма 11. Информация о расходах на капитальный и текущий ремонт основных средств</v>
      </c>
      <c r="D7" s="1016" t="s">
        <v>1975</v>
      </c>
      <c r="E7" s="1016" t="s">
        <v>1976</v>
      </c>
      <c r="F7" s="1156"/>
      <c r="G7" s="1156"/>
      <c r="H7" s="1156"/>
    </row>
    <row customHeight="1" ht="108">
      <c r="A8" s="1016" t="s">
        <v>1977</v>
      </c>
      <c r="B8" s="1016" t="s">
        <v>95</v>
      </c>
      <c r="C8" s="115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1016" t="s">
        <v>1181</v>
      </c>
      <c r="E8" s="1016" t="s">
        <v>1978</v>
      </c>
      <c r="F8" s="1156"/>
      <c r="G8" s="1156"/>
      <c r="H8" s="1156"/>
    </row>
    <row customHeight="1" ht="99">
      <c r="A9" s="1016" t="s">
        <v>1979</v>
      </c>
      <c r="B9" s="1016"/>
      <c r="C9" s="1016" t="s">
        <v>1980</v>
      </c>
      <c r="D9" s="1016"/>
      <c r="E9" s="1016"/>
      <c r="F9" s="1156"/>
      <c r="G9" s="1156"/>
      <c r="H9" s="1156"/>
    </row>
    <row customHeight="1" ht="126">
      <c r="A10" s="1016" t="s">
        <v>1981</v>
      </c>
      <c r="B10" s="1016"/>
      <c r="C10" s="1016" t="s">
        <v>1982</v>
      </c>
      <c r="D10" s="1016"/>
      <c r="E10" s="1016"/>
      <c r="F10" s="1156"/>
      <c r="G10" s="1156"/>
      <c r="H10" s="1156"/>
    </row>
    <row customHeight="1" ht="108">
      <c r="A11" s="1016" t="s">
        <v>1983</v>
      </c>
      <c r="B11" s="1016"/>
      <c r="C11" s="1016" t="s">
        <v>1984</v>
      </c>
      <c r="D11" s="1016"/>
      <c r="E11" s="1016"/>
      <c r="F11" s="1156"/>
      <c r="G11" s="1156"/>
      <c r="H11" s="1156"/>
    </row>
    <row customHeight="1" ht="54">
      <c r="A12" s="1016" t="s">
        <v>1985</v>
      </c>
      <c r="B12" s="1016"/>
      <c r="C12" s="1016" t="s">
        <v>1986</v>
      </c>
      <c r="D12" s="1016"/>
      <c r="E12" s="1016"/>
      <c r="F12" s="1156"/>
      <c r="G12" s="1156"/>
      <c r="H12" s="1156"/>
    </row>
    <row customHeight="1" ht="45">
      <c r="A13" s="1016" t="s">
        <v>1987</v>
      </c>
      <c r="B13" s="1016"/>
      <c r="C13" s="1016" t="s">
        <v>1988</v>
      </c>
      <c r="D13" s="1016"/>
      <c r="E13" s="1016"/>
      <c r="F13" s="1156"/>
      <c r="G13" s="1156"/>
      <c r="H13" s="1156"/>
    </row>
    <row customHeight="1" ht="117">
      <c r="A14" s="1016" t="s">
        <v>1989</v>
      </c>
      <c r="B14" s="1016"/>
      <c r="C14" s="1016" t="s">
        <v>1990</v>
      </c>
      <c r="D14" s="1016"/>
      <c r="E14" s="1016"/>
      <c r="F14" s="1156"/>
      <c r="G14" s="1156"/>
      <c r="H14" s="1156"/>
    </row>
    <row customHeight="1" ht="117">
      <c r="A15" s="1016" t="s">
        <v>1991</v>
      </c>
      <c r="B15" s="1016"/>
      <c r="C15" s="1016" t="s">
        <v>1992</v>
      </c>
      <c r="D15" s="1016"/>
      <c r="E15" s="1016"/>
      <c r="F15" s="1156"/>
      <c r="G15" s="1156"/>
      <c r="H15" s="1156"/>
    </row>
    <row customHeight="1" ht="63">
      <c r="A16" s="1016" t="s">
        <v>1993</v>
      </c>
      <c r="B16" s="1016"/>
      <c r="C16" s="1016" t="s">
        <v>1994</v>
      </c>
      <c r="D16" s="1016"/>
      <c r="E16" s="1016"/>
      <c r="F16" s="1156"/>
      <c r="G16" s="1156"/>
      <c r="H16" s="1156"/>
    </row>
    <row customHeight="1" ht="54">
      <c r="A17" s="1016" t="s">
        <v>1995</v>
      </c>
      <c r="B17" s="1016"/>
      <c r="C17" s="1154" t="s">
        <v>1996</v>
      </c>
      <c r="D17" s="1016"/>
      <c r="E17" s="1016"/>
      <c r="F17" s="1156"/>
      <c r="G17" s="1156"/>
      <c r="H17" s="1156"/>
    </row>
    <row customHeight="1" ht="27">
      <c r="A18" s="1016" t="s">
        <v>1997</v>
      </c>
      <c r="B18" s="1016"/>
      <c r="C18" s="1154" t="s">
        <v>1998</v>
      </c>
      <c r="D18" s="1016"/>
      <c r="E18" s="1016"/>
      <c r="F18" s="1156"/>
      <c r="G18" s="1156"/>
      <c r="H18" s="1156"/>
    </row>
    <row customHeight="1" ht="54">
      <c r="A19" s="1016" t="s">
        <v>1999</v>
      </c>
      <c r="B19" s="1016"/>
      <c r="C19" s="1154" t="s">
        <v>2000</v>
      </c>
      <c r="D19" s="1016"/>
      <c r="E19" s="1016"/>
      <c r="F19" s="1156"/>
      <c r="G19" s="1156"/>
      <c r="H19" s="1156"/>
    </row>
    <row customHeight="1" ht="36">
      <c r="A20" s="1016" t="s">
        <v>2001</v>
      </c>
      <c r="B20" s="1016"/>
      <c r="C20" s="1154" t="s">
        <v>2002</v>
      </c>
      <c r="D20" s="1016"/>
      <c r="E20" s="1016"/>
      <c r="F20" s="1156"/>
      <c r="G20" s="1156"/>
      <c r="H20" s="1156"/>
    </row>
    <row customHeight="1" ht="36">
      <c r="A21" s="1016" t="s">
        <v>2003</v>
      </c>
      <c r="B21" s="1016"/>
      <c r="C21" s="1154" t="s">
        <v>2004</v>
      </c>
      <c r="D21" s="1016"/>
      <c r="E21" s="1016"/>
      <c r="F21" s="1156"/>
      <c r="G21" s="1156"/>
      <c r="H21" s="1156"/>
    </row>
    <row customHeight="1" ht="27">
      <c r="A22" s="1016" t="s">
        <v>2005</v>
      </c>
      <c r="B22" s="1016"/>
      <c r="C22" s="1154" t="s">
        <v>2006</v>
      </c>
      <c r="D22" s="1016"/>
      <c r="E22" s="1016"/>
      <c r="F22" s="1156"/>
      <c r="G22" s="1156"/>
      <c r="H22" s="1156"/>
    </row>
    <row customHeight="1" ht="36">
      <c r="A23" s="1016" t="s">
        <v>2007</v>
      </c>
      <c r="B23" s="1016"/>
      <c r="C23" s="1154" t="s">
        <v>2008</v>
      </c>
      <c r="D23" s="1016"/>
      <c r="E23" s="1016"/>
      <c r="F23" s="1156"/>
      <c r="G23" s="1156"/>
      <c r="H23" s="1156"/>
    </row>
    <row customHeight="1" ht="28.5">
      <c r="A24" s="1016" t="s">
        <v>2009</v>
      </c>
      <c r="B24" s="1016"/>
      <c r="C24" s="1154" t="s">
        <v>2010</v>
      </c>
      <c r="D24" s="1016"/>
      <c r="E24" s="1016"/>
      <c r="F24" s="1156"/>
      <c r="G24" s="1156"/>
      <c r="H24" s="1156"/>
    </row>
    <row customHeight="1" ht="36">
      <c r="A25" s="1016" t="s">
        <v>2011</v>
      </c>
      <c r="B25" s="1016"/>
      <c r="C25" s="1154" t="s">
        <v>2012</v>
      </c>
      <c r="D25" s="1016"/>
      <c r="E25" s="1016"/>
      <c r="F25" s="1156"/>
      <c r="G25" s="1156"/>
      <c r="H25" s="1156"/>
    </row>
    <row customHeight="1" ht="27">
      <c r="A26" s="1016" t="s">
        <v>2013</v>
      </c>
      <c r="B26" s="1016"/>
      <c r="C26" s="1154" t="s">
        <v>2014</v>
      </c>
      <c r="D26" s="1016"/>
      <c r="E26" s="1016"/>
      <c r="F26" s="1156"/>
      <c r="G26" s="1156"/>
      <c r="H26" s="1156"/>
    </row>
    <row customHeight="1" ht="36">
      <c r="A27" s="1016" t="s">
        <v>2015</v>
      </c>
      <c r="B27" s="1016"/>
      <c r="C27" s="1154" t="s">
        <v>2016</v>
      </c>
      <c r="D27" s="1016"/>
      <c r="E27" s="1016"/>
      <c r="F27" s="1156"/>
      <c r="G27" s="1156"/>
      <c r="H27" s="1156"/>
    </row>
    <row customHeight="1" ht="28.5">
      <c r="A28" s="1016" t="s">
        <v>2017</v>
      </c>
      <c r="B28" s="1016"/>
      <c r="C28" s="1154" t="s">
        <v>2018</v>
      </c>
      <c r="D28" s="1016"/>
      <c r="E28" s="1016"/>
      <c r="F28" s="1156"/>
      <c r="G28" s="1156"/>
      <c r="H28" s="1156"/>
    </row>
    <row customHeight="1" ht="126">
      <c r="A29" s="1016" t="s">
        <v>2019</v>
      </c>
      <c r="B29" s="1016" t="s">
        <v>102</v>
      </c>
      <c r="C29" s="115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1016" t="s">
        <v>2020</v>
      </c>
      <c r="E29" s="101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156"/>
      <c r="G29" s="1156"/>
      <c r="H29" s="1016" t="s">
        <v>2021</v>
      </c>
    </row>
    <row customHeight="1" ht="36">
      <c r="A30" s="1016" t="s">
        <v>2022</v>
      </c>
      <c r="B30" s="1016"/>
      <c r="C30" s="115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1016" t="s">
        <v>2023</v>
      </c>
      <c r="E30" s="101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156"/>
      <c r="G30" s="1156"/>
      <c r="H30" s="1156"/>
    </row>
    <row customHeight="1" ht="54">
      <c r="A31" s="1016" t="s">
        <v>2024</v>
      </c>
      <c r="B31" s="1016"/>
      <c r="C31" s="115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1016" t="s">
        <v>2025</v>
      </c>
      <c r="E31" s="101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156"/>
      <c r="G31" s="1156"/>
      <c r="H31" s="1156"/>
    </row>
    <row customHeight="1" ht="198">
      <c r="A32" s="1016" t="s">
        <v>2026</v>
      </c>
      <c r="B32" s="1016"/>
      <c r="C32" s="115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1016" t="s">
        <v>2027</v>
      </c>
      <c r="E32" s="101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156"/>
      <c r="G32" s="1156"/>
      <c r="H32" s="1016" t="s">
        <v>2028</v>
      </c>
    </row>
    <row customHeight="1" ht="9">
      <c r="A33" s="1016"/>
      <c r="B33" s="1016"/>
      <c r="C33" s="1154"/>
      <c r="D33" s="1016"/>
      <c r="E33" s="1016"/>
      <c r="F33" s="1156"/>
      <c r="G33" s="1156"/>
      <c r="H33" s="1156"/>
    </row>
    <row customHeight="1" ht="9">
      <c r="A34" s="1016"/>
      <c r="B34" s="1016" t="s">
        <v>1525</v>
      </c>
      <c r="C34" s="1154">
        <f>INDEX(TEMPLATE_NAME_FORM_LIST,B34,MATCH(TEMPLATE_SPHERE,TEMPLATE_SPHERE_LIST,0))</f>
        <v>0</v>
      </c>
      <c r="D34" s="1016"/>
      <c r="E34" s="1016"/>
      <c r="F34" s="1156"/>
      <c r="G34" s="1156"/>
      <c r="H34" s="115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32DD1D3-A89F-24F2-2065-6E82A544EE3E}"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15733" width="9.140625"/>
    <col min="3" max="7" style="15777" width="8.00390625" customWidth="1"/>
    <col min="8" max="12" style="15777" width="8.57421875" customWidth="1"/>
    <col min="13" max="14" style="15777" width="27.7109375" customWidth="1"/>
    <col min="15" max="19" style="15777" width="5.140625" customWidth="1"/>
    <col min="20" max="24" style="15777" width="27.7109375" customWidth="1"/>
    <col min="25" max="25" style="15778" width="1.8515625" customWidth="1"/>
    <col min="26" max="26" style="15733" width="27.7109375" customWidth="1"/>
    <col min="27" max="27" style="15779" width="27.7109375" customWidth="1"/>
    <col min="28" max="29" style="15733" width="27.7109375" customWidth="1"/>
    <col min="30" max="30" style="15733" width="3.8515625" customWidth="1"/>
    <col min="31" max="34" style="15733" width="9.140625"/>
  </cols>
  <sheetData>
    <row s="15735" customFormat="1" customHeight="1" ht="18">
      <c r="A1" s="1068"/>
      <c r="B1" s="1068"/>
      <c r="C1" s="1068" t="s">
        <v>2029</v>
      </c>
      <c r="D1" s="1068"/>
      <c r="E1" s="1068"/>
      <c r="F1" s="1068"/>
      <c r="G1" s="1068"/>
      <c r="H1" s="1068" t="s">
        <v>2030</v>
      </c>
      <c r="I1" s="1068"/>
      <c r="J1" s="1068"/>
      <c r="K1" s="1068"/>
      <c r="L1" s="1068"/>
      <c r="M1" s="1068" t="s">
        <v>2031</v>
      </c>
      <c r="N1" s="1068" t="s">
        <v>2032</v>
      </c>
      <c r="O1" s="2762" t="s">
        <v>2033</v>
      </c>
      <c r="P1" s="2762"/>
      <c r="Q1" s="2762"/>
      <c r="R1" s="2762"/>
      <c r="S1" s="2762"/>
      <c r="T1" s="2762" t="s">
        <v>2031</v>
      </c>
      <c r="U1" s="2762"/>
      <c r="V1" s="2762"/>
      <c r="W1" s="2762"/>
      <c r="X1" s="2762"/>
      <c r="Y1" s="1169"/>
      <c r="Z1" s="2762" t="s">
        <v>2034</v>
      </c>
      <c r="AA1" s="2762"/>
      <c r="AB1" s="2762"/>
      <c r="AC1" s="2762"/>
      <c r="AD1" s="2762"/>
    </row>
    <row customHeight="1" ht="18">
      <c r="A2" s="1016"/>
      <c r="B2" s="1016"/>
      <c r="C2" s="1011" t="s">
        <v>822</v>
      </c>
      <c r="D2" s="1011" t="s">
        <v>868</v>
      </c>
      <c r="E2" s="1011" t="s">
        <v>921</v>
      </c>
      <c r="F2" s="1011" t="s">
        <v>908</v>
      </c>
      <c r="G2" s="1011" t="s">
        <v>1636</v>
      </c>
      <c r="H2" s="1013"/>
      <c r="I2" s="1013"/>
      <c r="J2" s="1013"/>
      <c r="K2" s="1013"/>
      <c r="L2" s="1013"/>
      <c r="M2" s="1013"/>
      <c r="N2" s="1013"/>
      <c r="O2" s="1011" t="s">
        <v>822</v>
      </c>
      <c r="P2" s="1011" t="s">
        <v>868</v>
      </c>
      <c r="Q2" s="1011" t="s">
        <v>908</v>
      </c>
      <c r="R2" s="1011" t="s">
        <v>921</v>
      </c>
      <c r="S2" s="1011" t="s">
        <v>1636</v>
      </c>
      <c r="T2" s="1011" t="s">
        <v>822</v>
      </c>
      <c r="U2" s="1011" t="s">
        <v>868</v>
      </c>
      <c r="V2" s="1011" t="s">
        <v>908</v>
      </c>
      <c r="W2" s="1011" t="s">
        <v>921</v>
      </c>
      <c r="X2" s="1011" t="s">
        <v>1636</v>
      </c>
      <c r="Y2" s="1011"/>
      <c r="Z2" s="1011" t="s">
        <v>822</v>
      </c>
      <c r="AA2" s="1020" t="s">
        <v>868</v>
      </c>
      <c r="AB2" s="1011" t="s">
        <v>908</v>
      </c>
      <c r="AC2" s="1011" t="s">
        <v>921</v>
      </c>
      <c r="AD2" s="1011" t="s">
        <v>1636</v>
      </c>
    </row>
    <row customHeight="1" ht="162">
      <c r="A3" s="1015" t="s">
        <v>26</v>
      </c>
      <c r="B3" s="1015"/>
      <c r="C3" s="2766" t="s">
        <v>2035</v>
      </c>
      <c r="D3" s="2767"/>
      <c r="E3" s="2767"/>
      <c r="F3" s="2768"/>
      <c r="G3" s="1013"/>
      <c r="H3" s="1013"/>
      <c r="I3" s="1013"/>
      <c r="J3" s="1013"/>
      <c r="K3" s="1013"/>
      <c r="L3" s="1013"/>
      <c r="M3" s="1013"/>
      <c r="N3" s="101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1013"/>
      <c r="P3" s="1013"/>
      <c r="Q3" s="1013"/>
      <c r="R3" s="1013"/>
      <c r="S3" s="1013"/>
      <c r="T3" s="1013"/>
      <c r="U3" s="1013"/>
      <c r="V3" s="1013"/>
      <c r="W3" s="1013"/>
      <c r="X3" s="1013"/>
      <c r="Y3" s="1170"/>
      <c r="Z3" s="1016" t="s">
        <v>2036</v>
      </c>
      <c r="AA3" s="1013" t="s">
        <v>2037</v>
      </c>
      <c r="AB3" s="1016" t="s">
        <v>2038</v>
      </c>
      <c r="AC3" s="1016" t="s">
        <v>2039</v>
      </c>
      <c r="AD3" s="1016"/>
      <c r="AG3" s="1016"/>
      <c r="AH3" s="1016"/>
    </row>
    <row customHeight="1" ht="9">
      <c r="A4" s="1015"/>
      <c r="B4" s="1015"/>
      <c r="C4" s="1013"/>
      <c r="D4" s="1013"/>
      <c r="E4" s="1013"/>
      <c r="F4" s="1013"/>
      <c r="G4" s="1013"/>
      <c r="H4" s="1013"/>
      <c r="I4" s="1013"/>
      <c r="J4" s="1013"/>
      <c r="K4" s="1013"/>
      <c r="L4" s="1013"/>
      <c r="M4" s="1013"/>
      <c r="N4" s="1013"/>
      <c r="O4" s="1013"/>
      <c r="P4" s="1013"/>
      <c r="Q4" s="1013"/>
      <c r="R4" s="1013"/>
      <c r="S4" s="1013"/>
      <c r="T4" s="1013"/>
      <c r="U4" s="1013"/>
      <c r="V4" s="1013"/>
      <c r="W4" s="1013"/>
      <c r="X4" s="1013"/>
      <c r="Y4" s="1170"/>
      <c r="Z4" s="1016"/>
      <c r="AA4" s="1019"/>
      <c r="AB4" s="1016"/>
      <c r="AC4" s="1016"/>
      <c r="AD4" s="1016"/>
    </row>
    <row customHeight="1" ht="9">
      <c r="A5" s="1015"/>
      <c r="B5" s="1015"/>
      <c r="C5" s="1013"/>
      <c r="D5" s="1013"/>
      <c r="E5" s="1013"/>
      <c r="F5" s="1013"/>
      <c r="G5" s="1013"/>
      <c r="H5" s="1013"/>
      <c r="I5" s="1013"/>
      <c r="J5" s="1013"/>
      <c r="K5" s="1013"/>
      <c r="L5" s="1013"/>
      <c r="M5" s="1013"/>
      <c r="N5" s="1013"/>
      <c r="O5" s="1013"/>
      <c r="P5" s="1013"/>
      <c r="Q5" s="1013"/>
      <c r="R5" s="1013"/>
      <c r="S5" s="1013"/>
      <c r="T5" s="1013"/>
      <c r="U5" s="1013"/>
      <c r="V5" s="1013"/>
      <c r="W5" s="1013"/>
      <c r="X5" s="1013"/>
      <c r="Y5" s="1170"/>
      <c r="Z5" s="1016"/>
      <c r="AA5" s="1019"/>
      <c r="AB5" s="1016"/>
      <c r="AC5" s="1016"/>
      <c r="AD5" s="1016"/>
    </row>
    <row customHeight="1" ht="9">
      <c r="A6" s="1015"/>
      <c r="B6" s="1015"/>
      <c r="C6" s="1013"/>
      <c r="D6" s="1013"/>
      <c r="E6" s="1013"/>
      <c r="F6" s="1013"/>
      <c r="G6" s="1013"/>
      <c r="H6" s="1013"/>
      <c r="I6" s="1013"/>
      <c r="J6" s="1013"/>
      <c r="K6" s="1013"/>
      <c r="L6" s="1013"/>
      <c r="M6" s="1013"/>
      <c r="N6" s="1013"/>
      <c r="O6" s="1013"/>
      <c r="P6" s="1013"/>
      <c r="Q6" s="1013"/>
      <c r="R6" s="1013"/>
      <c r="S6" s="1013"/>
      <c r="T6" s="1013"/>
      <c r="U6" s="1013"/>
      <c r="V6" s="1013"/>
      <c r="W6" s="1013"/>
      <c r="X6" s="1013"/>
      <c r="Y6" s="1170"/>
      <c r="Z6" s="1016"/>
      <c r="AA6" s="1019"/>
      <c r="AB6" s="1016"/>
      <c r="AC6" s="1016"/>
      <c r="AD6" s="1016"/>
    </row>
    <row customHeight="1" ht="9">
      <c r="A7" s="1015"/>
      <c r="B7" s="1015"/>
      <c r="C7" s="1013"/>
      <c r="D7" s="1013"/>
      <c r="E7" s="1013"/>
      <c r="F7" s="1013"/>
      <c r="G7" s="1013"/>
      <c r="H7" s="1013"/>
      <c r="I7" s="1013"/>
      <c r="J7" s="1013"/>
      <c r="K7" s="1013"/>
      <c r="L7" s="1013"/>
      <c r="M7" s="1013"/>
      <c r="N7" s="1013"/>
      <c r="O7" s="1013"/>
      <c r="P7" s="1013"/>
      <c r="Q7" s="1013"/>
      <c r="R7" s="1013"/>
      <c r="S7" s="1013"/>
      <c r="T7" s="1013"/>
      <c r="U7" s="1013"/>
      <c r="V7" s="1013"/>
      <c r="W7" s="1013"/>
      <c r="X7" s="1013"/>
      <c r="Y7" s="1170"/>
      <c r="Z7" s="1016"/>
      <c r="AA7" s="1019"/>
      <c r="AB7" s="1016"/>
      <c r="AC7" s="1016"/>
      <c r="AD7" s="1016"/>
    </row>
    <row customHeight="1" ht="9">
      <c r="A8" s="1015"/>
      <c r="B8" s="1015"/>
      <c r="C8" s="1013"/>
      <c r="D8" s="1013"/>
      <c r="E8" s="1013"/>
      <c r="F8" s="1013"/>
      <c r="G8" s="1013"/>
      <c r="H8" s="1013"/>
      <c r="I8" s="1013"/>
      <c r="J8" s="1013"/>
      <c r="K8" s="1013"/>
      <c r="L8" s="1013"/>
      <c r="M8" s="1013"/>
      <c r="N8" s="1013"/>
      <c r="O8" s="1013"/>
      <c r="P8" s="1013"/>
      <c r="Q8" s="1013"/>
      <c r="R8" s="1013"/>
      <c r="S8" s="1013"/>
      <c r="T8" s="1013"/>
      <c r="U8" s="1013"/>
      <c r="V8" s="1013"/>
      <c r="W8" s="1013"/>
      <c r="X8" s="1013"/>
      <c r="Y8" s="1170"/>
      <c r="Z8" s="1016"/>
      <c r="AA8" s="1019"/>
      <c r="AB8" s="1016"/>
      <c r="AC8" s="1016"/>
      <c r="AD8" s="1016"/>
    </row>
    <row customHeight="1" ht="9">
      <c r="A9" s="1015"/>
      <c r="B9" s="1015"/>
      <c r="C9" s="1013"/>
      <c r="D9" s="1013"/>
      <c r="E9" s="1013"/>
      <c r="F9" s="1013"/>
      <c r="G9" s="1013"/>
      <c r="H9" s="1013"/>
      <c r="I9" s="1013"/>
      <c r="J9" s="1013"/>
      <c r="K9" s="1013"/>
      <c r="L9" s="1013"/>
      <c r="M9" s="1013"/>
      <c r="N9" s="1013"/>
      <c r="O9" s="1013"/>
      <c r="P9" s="1013"/>
      <c r="Q9" s="1013"/>
      <c r="R9" s="1013"/>
      <c r="S9" s="1013"/>
      <c r="T9" s="1013"/>
      <c r="U9" s="1013"/>
      <c r="V9" s="1013"/>
      <c r="W9" s="1013"/>
      <c r="X9" s="1013"/>
      <c r="Y9" s="1170"/>
      <c r="Z9" s="1016"/>
      <c r="AA9" s="1019"/>
      <c r="AB9" s="1016"/>
      <c r="AC9" s="1016"/>
      <c r="AD9" s="1016"/>
    </row>
    <row customHeight="1" ht="9">
      <c r="A10" s="1069"/>
      <c r="B10" s="1069"/>
      <c r="C10" s="1069"/>
      <c r="D10" s="1069"/>
      <c r="E10" s="1069"/>
      <c r="F10" s="1069"/>
      <c r="G10" s="1069"/>
      <c r="H10" s="1069"/>
      <c r="I10" s="1069"/>
      <c r="J10" s="1069"/>
      <c r="K10" s="1069"/>
      <c r="L10" s="1069"/>
      <c r="M10" s="1069"/>
      <c r="N10" s="1069"/>
      <c r="O10" s="1069"/>
      <c r="P10" s="1069"/>
      <c r="Q10" s="1069"/>
      <c r="R10" s="1069"/>
      <c r="S10" s="1069"/>
      <c r="T10" s="1069"/>
      <c r="U10" s="1069"/>
      <c r="V10" s="1069"/>
      <c r="W10" s="1069"/>
      <c r="X10" s="1069"/>
      <c r="Y10" s="1069"/>
      <c r="Z10" s="1069"/>
      <c r="AA10" s="1069"/>
      <c r="AB10" s="1069"/>
      <c r="AC10" s="1069"/>
      <c r="AD10" s="1069"/>
    </row>
    <row customHeight="1" ht="45">
      <c r="A11" s="2763" t="s">
        <v>33</v>
      </c>
      <c r="B11" s="1069">
        <v>1</v>
      </c>
      <c r="C11" s="2769" t="s">
        <v>1576</v>
      </c>
      <c r="D11" s="2769" t="s">
        <v>1572</v>
      </c>
      <c r="E11" s="2769" t="s">
        <v>1669</v>
      </c>
      <c r="F11" s="2769" t="s">
        <v>2040</v>
      </c>
      <c r="G11" s="2769"/>
      <c r="H11" s="1068" t="s">
        <v>2041</v>
      </c>
      <c r="I11" s="1068"/>
      <c r="J11" s="1068"/>
      <c r="K11" s="1068"/>
      <c r="L11" s="1068"/>
      <c r="M11" s="1014" t="str">
        <f>IF(TEMPLATE_SPHERE="HEAT",T11,U11)</f>
        <v>Количество поданных заявок</v>
      </c>
      <c r="N11" s="101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1013"/>
      <c r="P11" s="1013"/>
      <c r="Q11" s="1013"/>
      <c r="R11" s="1013"/>
      <c r="S11" s="1013"/>
      <c r="T11" s="1013" t="s">
        <v>2042</v>
      </c>
      <c r="U11" s="1013" t="s">
        <v>2043</v>
      </c>
      <c r="V11" s="1013"/>
      <c r="W11" s="1013"/>
      <c r="X11" s="1013"/>
      <c r="Y11" s="1170"/>
      <c r="Z11" s="1016" t="s">
        <v>2044</v>
      </c>
      <c r="AA11" s="101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1016"/>
      <c r="AC11" s="1016"/>
      <c r="AD11" s="1016"/>
    </row>
    <row customHeight="1" ht="45">
      <c r="A12" s="2763"/>
      <c r="B12" s="1069">
        <v>2</v>
      </c>
      <c r="C12" s="2770"/>
      <c r="D12" s="2770"/>
      <c r="E12" s="2770"/>
      <c r="F12" s="2770"/>
      <c r="G12" s="2770"/>
      <c r="H12" s="1068" t="s">
        <v>2045</v>
      </c>
      <c r="I12" s="1068"/>
      <c r="J12" s="1068"/>
      <c r="K12" s="1068"/>
      <c r="L12" s="1068"/>
      <c r="M12" s="1014" t="str">
        <f>IF(TEMPLATE_SPHERE="HEAT",T12,U12)</f>
        <v>Количество рассмотренных заявок</v>
      </c>
      <c r="N12" s="101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1013"/>
      <c r="P12" s="1013"/>
      <c r="Q12" s="1013"/>
      <c r="R12" s="1013"/>
      <c r="S12" s="1013"/>
      <c r="T12" s="1013" t="s">
        <v>2046</v>
      </c>
      <c r="U12" s="1013" t="s">
        <v>2047</v>
      </c>
      <c r="V12" s="1013"/>
      <c r="W12" s="1013"/>
      <c r="X12" s="1013"/>
      <c r="Y12" s="1170"/>
      <c r="Z12" s="1016" t="s">
        <v>2048</v>
      </c>
      <c r="AA12" s="101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1016"/>
      <c r="AC12" s="1016"/>
      <c r="AD12" s="1016"/>
    </row>
    <row customHeight="1" ht="72">
      <c r="A13" s="2763"/>
      <c r="B13" s="1069">
        <v>3</v>
      </c>
      <c r="C13" s="2770"/>
      <c r="D13" s="2770"/>
      <c r="E13" s="2770"/>
      <c r="F13" s="2770"/>
      <c r="G13" s="2770"/>
      <c r="H13" s="2762" t="s">
        <v>2049</v>
      </c>
      <c r="I13" s="1068"/>
      <c r="J13" s="1068"/>
      <c r="K13" s="1068"/>
      <c r="L13" s="1068"/>
      <c r="M13" s="101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1014" t="str">
        <f>IF(TEMPLATE_SPHERE="HEAT",Z13,AA13)</f>
        <v>Указывается количество заявок с решением об отказе в течение отчетного квартала.</v>
      </c>
      <c r="O13" s="1013"/>
      <c r="P13" s="1014"/>
      <c r="Q13" s="1014"/>
      <c r="R13" s="1014"/>
      <c r="S13" s="1013"/>
      <c r="T13" s="1013" t="s">
        <v>2050</v>
      </c>
      <c r="U13" s="1014" t="s">
        <v>2051</v>
      </c>
      <c r="V13" s="1014"/>
      <c r="W13" s="1014"/>
      <c r="X13" s="1013"/>
      <c r="Y13" s="1170"/>
      <c r="Z13" s="1016" t="s">
        <v>2052</v>
      </c>
      <c r="AA13" s="101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1016"/>
      <c r="AC13" s="1016"/>
      <c r="AD13" s="1016"/>
    </row>
    <row customHeight="1" ht="45">
      <c r="A14" s="2763"/>
      <c r="B14" s="1069">
        <v>4</v>
      </c>
      <c r="C14" s="2770"/>
      <c r="D14" s="2770"/>
      <c r="E14" s="2770"/>
      <c r="F14" s="2770"/>
      <c r="G14" s="2770"/>
      <c r="H14" s="2762"/>
      <c r="I14" s="1071"/>
      <c r="J14" s="1071"/>
      <c r="K14" s="1071"/>
      <c r="L14" s="1071"/>
      <c r="M14" s="1017" t="str">
        <f>IF(TEMPLATE_SPHERE="HEAT",T14,U14)</f>
        <v>Причины отказа в заключении договора о подключении (технологическом присоединении) к системе теплоснабжения</v>
      </c>
      <c r="N14" s="101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013"/>
      <c r="P14" s="1014"/>
      <c r="Q14" s="1014"/>
      <c r="R14" s="1014"/>
      <c r="S14" s="1013"/>
      <c r="T14" s="1013" t="s">
        <v>2053</v>
      </c>
      <c r="U14" s="101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1014"/>
      <c r="W14" s="1014"/>
      <c r="X14" s="1013"/>
      <c r="Y14" s="1170"/>
      <c r="Z14" s="1016" t="s">
        <v>2054</v>
      </c>
      <c r="AA14" s="1019" t="s">
        <v>2054</v>
      </c>
      <c r="AB14" s="1016"/>
      <c r="AC14" s="1016"/>
      <c r="AD14" s="1016"/>
    </row>
    <row customHeight="1" ht="108">
      <c r="A15" s="2763"/>
      <c r="B15" s="1069">
        <v>5</v>
      </c>
      <c r="C15" s="2770"/>
      <c r="D15" s="2770"/>
      <c r="E15" s="2770"/>
      <c r="F15" s="2770"/>
      <c r="G15" s="2770"/>
      <c r="H15" s="2764" t="s">
        <v>2055</v>
      </c>
      <c r="I15" s="1070"/>
      <c r="J15" s="1070"/>
      <c r="K15" s="1070"/>
      <c r="L15" s="1070"/>
      <c r="M15" s="1019" t="str">
        <f>IF(TEMPLATE_SPHERE="HEAT",T15,U15)</f>
        <v>Резерв мощности источников тепловой энергии, входящих в систему теплоснабжения, в течение одного квартала, в том числе:</v>
      </c>
      <c r="N15" s="101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1013"/>
      <c r="P15" s="1014"/>
      <c r="Q15" s="1014"/>
      <c r="R15" s="1014"/>
      <c r="S15" s="1013"/>
      <c r="T15" s="1013" t="s">
        <v>2056</v>
      </c>
      <c r="U15" s="101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1014"/>
      <c r="W15" s="1014"/>
      <c r="X15" s="1013"/>
      <c r="Y15" s="1170"/>
      <c r="Z15" s="1016" t="s">
        <v>2057</v>
      </c>
      <c r="AA15" s="101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1016"/>
      <c r="AC15" s="1016"/>
      <c r="AD15" s="1016"/>
    </row>
    <row customHeight="1" ht="108">
      <c r="A16" s="1069"/>
      <c r="B16" s="1069">
        <v>6</v>
      </c>
      <c r="C16" s="2771"/>
      <c r="D16" s="2771"/>
      <c r="E16" s="2771"/>
      <c r="F16" s="2771"/>
      <c r="G16" s="2771"/>
      <c r="H16" s="2765"/>
      <c r="I16" s="1132"/>
      <c r="J16" s="1132"/>
      <c r="K16" s="1132"/>
      <c r="L16" s="1132"/>
      <c r="M16" s="1062"/>
      <c r="N16" s="101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1013"/>
      <c r="P16" s="1014"/>
      <c r="Q16" s="1014"/>
      <c r="R16" s="1014"/>
      <c r="S16" s="1013"/>
      <c r="T16" s="1013"/>
      <c r="U16" s="1014"/>
      <c r="V16" s="1014"/>
      <c r="W16" s="1014"/>
      <c r="X16" s="1013"/>
      <c r="Y16" s="1170"/>
      <c r="Z16" s="1016" t="s">
        <v>2057</v>
      </c>
      <c r="AA16" s="101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1016"/>
      <c r="AC16" s="1016"/>
      <c r="AD16" s="1016"/>
    </row>
    <row customHeight="1" ht="9">
      <c r="A17" s="1069"/>
      <c r="B17" s="1069"/>
      <c r="C17" s="1069">
        <v>22</v>
      </c>
      <c r="D17" s="1069">
        <v>21</v>
      </c>
      <c r="E17" s="1069">
        <v>42</v>
      </c>
      <c r="F17" s="1069">
        <v>63</v>
      </c>
      <c r="G17" s="1069"/>
      <c r="H17" s="1069"/>
      <c r="I17" s="1069"/>
      <c r="J17" s="1069"/>
      <c r="K17" s="1069"/>
      <c r="L17" s="1069"/>
      <c r="M17" s="1069"/>
      <c r="N17" s="1069"/>
      <c r="O17" s="1069"/>
      <c r="P17" s="1069"/>
      <c r="Q17" s="1069"/>
      <c r="R17" s="1069"/>
      <c r="S17" s="1069"/>
      <c r="T17" s="1069"/>
      <c r="U17" s="1069"/>
      <c r="V17" s="1069"/>
      <c r="W17" s="1069"/>
      <c r="X17" s="1069"/>
      <c r="Y17" s="1069"/>
      <c r="Z17" s="1069"/>
      <c r="AA17" s="1069"/>
      <c r="AB17" s="1069"/>
      <c r="AC17" s="1069"/>
      <c r="AD17" s="1069"/>
    </row>
    <row customHeight="1" ht="27">
      <c r="A18" s="1015" t="s">
        <v>1672</v>
      </c>
      <c r="B18" s="1069">
        <v>1</v>
      </c>
      <c r="C18" s="1013" t="s">
        <v>2041</v>
      </c>
      <c r="D18" s="1137" t="s">
        <v>2041</v>
      </c>
      <c r="E18" s="1013" t="s">
        <v>2041</v>
      </c>
      <c r="F18" s="1013" t="s">
        <v>2041</v>
      </c>
      <c r="G18" s="1013"/>
      <c r="H18" s="1172"/>
      <c r="I18" s="1175">
        <f>INDEX(TEMPLATE_NUMBER_POINT_FHD,B18,MATCH(TEMPLATE_SPHERE,TEMPLATE_SPHERE_LIST_FOR_NOTE,0))</f>
        <v>1</v>
      </c>
      <c r="J18" s="1175" t="str">
        <f>INDEX(TEMPLATE_DATA_POINT_FHD,B18,MATCH(TEMPLATE_SPHERE,TEMPLATE_SPHERE_LIST_FOR_NOTE,0))</f>
        <v>Выручка от регулируемого вида деятельности с распределением по видам деятельности</v>
      </c>
      <c r="K18" s="117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1014">
        <f>IF(I18=0,"",I18)</f>
        <v>1</v>
      </c>
      <c r="M18" s="1014" t="str">
        <f>IF(J18=0,"",J18)</f>
        <v>Выручка от регулируемого вида деятельности с распределением по видам деятельности</v>
      </c>
      <c r="N18" s="1014" t="str">
        <f>IF(K18=0,"",K18)</f>
        <v>Указывается выручка от регулируемого вида деятельности с распределением по видам деятельности.</v>
      </c>
      <c r="O18" s="1127">
        <v>1</v>
      </c>
      <c r="P18" s="1127">
        <v>1</v>
      </c>
      <c r="Q18" s="1127">
        <v>1</v>
      </c>
      <c r="R18" s="1127">
        <v>1</v>
      </c>
      <c r="S18" s="1127"/>
      <c r="T18" s="1134" t="s">
        <v>2058</v>
      </c>
      <c r="U18" s="1016" t="s">
        <v>2059</v>
      </c>
      <c r="V18" s="1016" t="s">
        <v>2060</v>
      </c>
      <c r="W18" s="1016" t="s">
        <v>2061</v>
      </c>
      <c r="X18" s="1013"/>
      <c r="Y18" s="1170"/>
      <c r="Z18" s="1016" t="s">
        <v>2062</v>
      </c>
      <c r="AA18" s="1019" t="s">
        <v>2063</v>
      </c>
      <c r="AB18" s="1019" t="s">
        <v>2063</v>
      </c>
      <c r="AC18" s="1019" t="s">
        <v>2063</v>
      </c>
      <c r="AD18" s="1016"/>
    </row>
    <row customHeight="1" ht="36">
      <c r="A19" s="1015"/>
      <c r="B19" s="1069">
        <v>2</v>
      </c>
      <c r="C19" s="1013" t="s">
        <v>2045</v>
      </c>
      <c r="D19" s="1137" t="s">
        <v>2045</v>
      </c>
      <c r="E19" s="1013" t="s">
        <v>2045</v>
      </c>
      <c r="F19" s="1013" t="s">
        <v>2045</v>
      </c>
      <c r="G19" s="1013"/>
      <c r="H19" s="1172"/>
      <c r="I19" s="1175">
        <f>INDEX(TEMPLATE_NUMBER_POINT_FHD,B19,MATCH(TEMPLATE_SPHERE,TEMPLATE_SPHERE_LIST_FOR_NOTE,0))</f>
        <v>2</v>
      </c>
      <c r="J19" s="117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175" t="str">
        <f>INDEX(TEMPLATE_NOTE_POINT_FHD,B19,MATCH(TEMPLATE_SPHERE,TEMPLATE_SPHERE_LIST_FOR_NOTE,0))</f>
        <v>Указывается суммарная себестоимость производимых товаров.</v>
      </c>
      <c r="L19" s="1014">
        <f>IF(I19=0,"",I19)</f>
        <v>2</v>
      </c>
      <c r="M19" s="1014" t="str">
        <f>IF(J19=0,"",J19)</f>
        <v>Себестоимость производимых товаров (оказываемых услуг) по регулируемому виду деятельности, включая:</v>
      </c>
      <c r="N19" s="1014" t="str">
        <f>IF(K19=0,"",K19)</f>
        <v>Указывается суммарная себестоимость производимых товаров.</v>
      </c>
      <c r="O19" s="1127">
        <v>2</v>
      </c>
      <c r="P19" s="1127">
        <v>2</v>
      </c>
      <c r="Q19" s="1127">
        <v>2</v>
      </c>
      <c r="R19" s="1127">
        <v>2</v>
      </c>
      <c r="S19" s="1127"/>
      <c r="T19" s="1134" t="s">
        <v>2064</v>
      </c>
      <c r="U19" s="1016" t="s">
        <v>2065</v>
      </c>
      <c r="V19" s="1016" t="s">
        <v>2066</v>
      </c>
      <c r="W19" s="1016" t="s">
        <v>2067</v>
      </c>
      <c r="X19" s="1013"/>
      <c r="Y19" s="1170"/>
      <c r="Z19" s="1016" t="s">
        <v>2068</v>
      </c>
      <c r="AA19" s="1019" t="s">
        <v>2068</v>
      </c>
      <c r="AB19" s="1019" t="s">
        <v>2068</v>
      </c>
      <c r="AC19" s="1019" t="s">
        <v>2068</v>
      </c>
      <c r="AD19" s="1016"/>
    </row>
    <row customHeight="1" ht="27">
      <c r="A20" s="1015"/>
      <c r="B20" s="1069">
        <v>3</v>
      </c>
      <c r="C20" s="1013">
        <v>1</v>
      </c>
      <c r="D20" s="1137"/>
      <c r="E20" s="1013"/>
      <c r="F20" s="1013"/>
      <c r="G20" s="1013"/>
      <c r="H20" s="1172"/>
      <c r="I20" s="1175" t="str">
        <f>INDEX(TEMPLATE_NUMBER_POINT_FHD,B20,MATCH(TEMPLATE_SPHERE,TEMPLATE_SPHERE_LIST_FOR_NOTE,0))</f>
        <v>2.1</v>
      </c>
      <c r="J20" s="1175" t="str">
        <f>INDEX(TEMPLATE_DATA_POINT_FHD,B20,MATCH(TEMPLATE_SPHERE,TEMPLATE_SPHERE_LIST_FOR_NOTE,0))</f>
        <v>Расходы на приобретаемую тепловую энергию (мощность), теплоноситель</v>
      </c>
      <c r="K20" s="1175">
        <f>INDEX(TEMPLATE_NOTE_POINT_FHD,B20,MATCH(TEMPLATE_SPHERE,TEMPLATE_SPHERE_LIST_FOR_NOTE,0))</f>
        <v>0</v>
      </c>
      <c r="L20" s="1014" t="str">
        <f>IF(I20=0,"",I20)</f>
        <v>2.1</v>
      </c>
      <c r="M20" s="1014" t="str">
        <f>IF(J20=0,"",J20)</f>
        <v>Расходы на приобретаемую тепловую энергию (мощность), теплоноситель</v>
      </c>
      <c r="N20" s="1014" t="str">
        <f>IF(K20=0,"",K20)</f>
        <v/>
      </c>
      <c r="O20" s="1127" t="s">
        <v>723</v>
      </c>
      <c r="P20" s="1127" t="s">
        <v>723</v>
      </c>
      <c r="Q20" s="1127" t="s">
        <v>723</v>
      </c>
      <c r="R20" s="1127" t="s">
        <v>723</v>
      </c>
      <c r="S20" s="1127"/>
      <c r="T20" s="1134" t="s">
        <v>2069</v>
      </c>
      <c r="U20" s="1016" t="s">
        <v>2070</v>
      </c>
      <c r="V20" s="1016" t="s">
        <v>2071</v>
      </c>
      <c r="W20" s="1016" t="s">
        <v>2072</v>
      </c>
      <c r="X20" s="1013"/>
      <c r="Y20" s="1170"/>
      <c r="Z20" s="1016"/>
      <c r="AA20" s="1019"/>
      <c r="AB20" s="1016"/>
      <c r="AC20" s="1016"/>
      <c r="AD20" s="1016"/>
    </row>
    <row customHeight="1" ht="36">
      <c r="A21" s="1015"/>
      <c r="B21" s="1069">
        <v>4</v>
      </c>
      <c r="C21" s="1013">
        <v>2</v>
      </c>
      <c r="D21" s="1137"/>
      <c r="E21" s="1013"/>
      <c r="F21" s="1013"/>
      <c r="G21" s="1013"/>
      <c r="H21" s="1172"/>
      <c r="I21" s="1175" t="str">
        <f>INDEX(TEMPLATE_NUMBER_POINT_FHD,B21,MATCH(TEMPLATE_SPHERE,TEMPLATE_SPHERE_LIST_FOR_NOTE,0))</f>
        <v>2.2</v>
      </c>
      <c r="J21" s="117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175" t="str">
        <f>INDEX(TEMPLATE_NOTE_POINT_FHD,B21,MATCH(TEMPLATE_SPHERE,TEMPLATE_SPHERE_LIST_FOR_NOTE,0))</f>
        <v>Указываются суммарные расходы на приобретение топлива всех видов.</v>
      </c>
      <c r="L21" s="1014" t="str">
        <f>IF(I21=0,"",I21)</f>
        <v>2.2</v>
      </c>
      <c r="M21" s="101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1014" t="str">
        <f>IF(K21=0,"",K21)</f>
        <v>Указываются суммарные расходы на приобретение топлива всех видов.</v>
      </c>
      <c r="O21" s="1127" t="s">
        <v>319</v>
      </c>
      <c r="P21" s="1127"/>
      <c r="Q21" s="1127"/>
      <c r="R21" s="1127"/>
      <c r="S21" s="1127"/>
      <c r="T21" s="1134" t="s">
        <v>2073</v>
      </c>
      <c r="U21" s="1016"/>
      <c r="V21" s="1016"/>
      <c r="W21" s="1016"/>
      <c r="X21" s="1013"/>
      <c r="Y21" s="1170"/>
      <c r="Z21" s="1016" t="s">
        <v>2074</v>
      </c>
      <c r="AA21" s="1019"/>
      <c r="AB21" s="1016"/>
      <c r="AC21" s="1016"/>
      <c r="AD21" s="1016"/>
    </row>
    <row customHeight="1" ht="36">
      <c r="A22" s="1015"/>
      <c r="B22" s="1069">
        <v>5</v>
      </c>
      <c r="C22" s="1013">
        <v>3</v>
      </c>
      <c r="D22" s="1137"/>
      <c r="E22" s="1013"/>
      <c r="F22" s="1013"/>
      <c r="G22" s="1061"/>
      <c r="H22" s="1128"/>
      <c r="I22" s="1175">
        <f>INDEX(TEMPLATE_NUMBER_POINT_FHD,B22,MATCH(TEMPLATE_SPHERE,TEMPLATE_SPHERE_LIST_FOR_NOTE,0))</f>
        <v>0</v>
      </c>
      <c r="J22" s="1175">
        <f>INDEX(TEMPLATE_DATA_POINT_FHD,B22,MATCH(TEMPLATE_SPHERE,TEMPLATE_SPHERE_LIST_FOR_NOTE,0))</f>
        <v>0</v>
      </c>
      <c r="K22" s="1175">
        <f>INDEX(TEMPLATE_NOTE_POINT_FHD,B22,MATCH(TEMPLATE_SPHERE,TEMPLATE_SPHERE_LIST_FOR_NOTE,0))</f>
        <v>0</v>
      </c>
      <c r="L22" s="1014" t="str">
        <f>IF(I22=0,"",I22)</f>
        <v/>
      </c>
      <c r="M22" s="1014" t="str">
        <f>IF(J22=0,"",J22)</f>
        <v/>
      </c>
      <c r="N22" s="1014" t="str">
        <f>IF(K22=0,"",K22)</f>
        <v/>
      </c>
      <c r="O22" s="1127"/>
      <c r="P22" s="1127"/>
      <c r="Q22" s="1127" t="s">
        <v>319</v>
      </c>
      <c r="R22" s="1127"/>
      <c r="S22" s="1127"/>
      <c r="T22" s="1134"/>
      <c r="U22" s="1016"/>
      <c r="V22" s="1016" t="s">
        <v>2075</v>
      </c>
      <c r="W22" s="1016"/>
      <c r="X22" s="1013"/>
      <c r="Y22" s="1170"/>
      <c r="Z22" s="1016"/>
      <c r="AA22" s="1019"/>
      <c r="AB22" s="1016"/>
      <c r="AC22" s="1016"/>
      <c r="AD22" s="1016"/>
    </row>
    <row customHeight="1" ht="27">
      <c r="A23" s="1015"/>
      <c r="B23" s="1069">
        <v>6</v>
      </c>
      <c r="C23" s="1013">
        <v>4</v>
      </c>
      <c r="D23" s="1137"/>
      <c r="E23" s="1013"/>
      <c r="F23" s="1013"/>
      <c r="G23" s="1061"/>
      <c r="H23" s="1128"/>
      <c r="I23" s="1175">
        <f>INDEX(TEMPLATE_NUMBER_POINT_FHD,B23,MATCH(TEMPLATE_SPHERE,TEMPLATE_SPHERE_LIST_FOR_NOTE,0))</f>
        <v>0</v>
      </c>
      <c r="J23" s="1175">
        <f>INDEX(TEMPLATE_DATA_POINT_FHD,B23,MATCH(TEMPLATE_SPHERE,TEMPLATE_SPHERE_LIST_FOR_NOTE,0))</f>
        <v>0</v>
      </c>
      <c r="K23" s="1175">
        <f>INDEX(TEMPLATE_NOTE_POINT_FHD,B23,MATCH(TEMPLATE_SPHERE,TEMPLATE_SPHERE_LIST_FOR_NOTE,0))</f>
        <v>0</v>
      </c>
      <c r="L23" s="1014" t="str">
        <f>IF(I23=0,"",I23)</f>
        <v/>
      </c>
      <c r="M23" s="1014" t="str">
        <f>IF(J23=0,"",J23)</f>
        <v/>
      </c>
      <c r="N23" s="1014" t="str">
        <f>IF(K23=0,"",K23)</f>
        <v/>
      </c>
      <c r="O23" s="1127"/>
      <c r="P23" s="1127"/>
      <c r="Q23" s="1127" t="s">
        <v>322</v>
      </c>
      <c r="R23" s="1127"/>
      <c r="S23" s="1127"/>
      <c r="T23" s="1134"/>
      <c r="U23" s="1016"/>
      <c r="V23" s="1016" t="s">
        <v>2076</v>
      </c>
      <c r="W23" s="1016"/>
      <c r="X23" s="1013"/>
      <c r="Y23" s="1170"/>
      <c r="Z23" s="1016"/>
      <c r="AA23" s="1019"/>
      <c r="AB23" s="1016"/>
      <c r="AC23" s="1016"/>
      <c r="AD23" s="1016"/>
    </row>
    <row customHeight="1" ht="36">
      <c r="A24" s="1015"/>
      <c r="B24" s="1069">
        <v>7</v>
      </c>
      <c r="C24" s="1013">
        <v>5</v>
      </c>
      <c r="D24" s="1137"/>
      <c r="E24" s="1013"/>
      <c r="F24" s="1013"/>
      <c r="G24" s="1061"/>
      <c r="H24" s="1128"/>
      <c r="I24" s="1175">
        <f>INDEX(TEMPLATE_NUMBER_POINT_FHD,B24,MATCH(TEMPLATE_SPHERE,TEMPLATE_SPHERE_LIST_FOR_NOTE,0))</f>
        <v>0</v>
      </c>
      <c r="J24" s="1175">
        <f>INDEX(TEMPLATE_DATA_POINT_FHD,B24,MATCH(TEMPLATE_SPHERE,TEMPLATE_SPHERE_LIST_FOR_NOTE,0))</f>
        <v>0</v>
      </c>
      <c r="K24" s="1175">
        <f>INDEX(TEMPLATE_NOTE_POINT_FHD,B24,MATCH(TEMPLATE_SPHERE,TEMPLATE_SPHERE_LIST_FOR_NOTE,0))</f>
        <v>0</v>
      </c>
      <c r="L24" s="1014" t="str">
        <f>IF(I24=0,"",I24)</f>
        <v/>
      </c>
      <c r="M24" s="1014" t="str">
        <f>IF(J24=0,"",J24)</f>
        <v/>
      </c>
      <c r="N24" s="1014" t="str">
        <f>IF(K24=0,"",K24)</f>
        <v/>
      </c>
      <c r="O24" s="1127"/>
      <c r="P24" s="1127"/>
      <c r="Q24" s="1127" t="s">
        <v>743</v>
      </c>
      <c r="R24" s="1127"/>
      <c r="S24" s="1127"/>
      <c r="T24" s="1134"/>
      <c r="U24" s="1016"/>
      <c r="V24" s="1016" t="s">
        <v>2077</v>
      </c>
      <c r="W24" s="1016"/>
      <c r="X24" s="1013"/>
      <c r="Y24" s="1170"/>
      <c r="Z24" s="1016"/>
      <c r="AA24" s="1019"/>
      <c r="AB24" s="1016"/>
      <c r="AC24" s="1016"/>
      <c r="AD24" s="1016"/>
    </row>
    <row customHeight="1" ht="36">
      <c r="A25" s="1015"/>
      <c r="B25" s="1069">
        <v>8</v>
      </c>
      <c r="C25" s="1013">
        <v>6</v>
      </c>
      <c r="D25" s="1137"/>
      <c r="E25" s="1013"/>
      <c r="F25" s="1013"/>
      <c r="G25" s="1061"/>
      <c r="H25" s="1128"/>
      <c r="I25" s="1175" t="str">
        <f>INDEX(TEMPLATE_NUMBER_POINT_FHD,B25,MATCH(TEMPLATE_SPHERE,TEMPLATE_SPHERE_LIST_FOR_NOTE,0))</f>
        <v>2.3</v>
      </c>
      <c r="J25" s="117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175">
        <f>INDEX(TEMPLATE_NOTE_POINT_FHD,B25,MATCH(TEMPLATE_SPHERE,TEMPLATE_SPHERE_LIST_FOR_NOTE,0))</f>
        <v>0</v>
      </c>
      <c r="L25" s="1014" t="str">
        <f>IF(I25=0,"",I25)</f>
        <v>2.3</v>
      </c>
      <c r="M25" s="1014" t="str">
        <f>IF(J25=0,"",J25)</f>
        <v>Расходы на приобретаемую электрическую энергию (мощность), используемую в технологическом процессе</v>
      </c>
      <c r="N25" s="1014" t="str">
        <f>IF(K25=0,"",K25)</f>
        <v/>
      </c>
      <c r="O25" s="1127" t="s">
        <v>322</v>
      </c>
      <c r="P25" s="1127" t="s">
        <v>319</v>
      </c>
      <c r="Q25" s="1127" t="s">
        <v>750</v>
      </c>
      <c r="R25" s="1127" t="s">
        <v>319</v>
      </c>
      <c r="S25" s="1127"/>
      <c r="T25" s="1134" t="s">
        <v>2078</v>
      </c>
      <c r="U25" s="1016" t="s">
        <v>2078</v>
      </c>
      <c r="V25" s="1016" t="s">
        <v>2078</v>
      </c>
      <c r="W25" s="1016" t="s">
        <v>2078</v>
      </c>
      <c r="X25" s="1013"/>
      <c r="Y25" s="1170"/>
      <c r="Z25" s="1016"/>
      <c r="AA25" s="1019"/>
      <c r="AB25" s="1016"/>
      <c r="AC25" s="1016"/>
      <c r="AD25" s="1016"/>
    </row>
    <row customHeight="1" ht="18">
      <c r="A26" s="1015"/>
      <c r="B26" s="1069">
        <v>9</v>
      </c>
      <c r="C26" s="1013" t="s">
        <v>667</v>
      </c>
      <c r="D26" s="1137"/>
      <c r="E26" s="1013"/>
      <c r="F26" s="1013"/>
      <c r="G26" s="1061"/>
      <c r="H26" s="1128"/>
      <c r="I26" s="1175" t="str">
        <f>INDEX(TEMPLATE_NUMBER_POINT_FHD,B26,MATCH(TEMPLATE_SPHERE,TEMPLATE_SPHERE_LIST_FOR_NOTE,0))</f>
        <v>2.3.1</v>
      </c>
      <c r="J26" s="1175" t="str">
        <f>INDEX(TEMPLATE_DATA_POINT_FHD,B26,MATCH(TEMPLATE_SPHERE,TEMPLATE_SPHERE_LIST_FOR_NOTE,0))</f>
        <v>Средневзвешенная стоимость 1 кВт.ч (с учетом мощности)</v>
      </c>
      <c r="K26" s="1175">
        <f>INDEX(TEMPLATE_NOTE_POINT_FHD,B26,MATCH(TEMPLATE_SPHERE,TEMPLATE_SPHERE_LIST_FOR_NOTE,0))</f>
        <v>0</v>
      </c>
      <c r="L26" s="1014" t="str">
        <f>IF(I26=0,"",I26)</f>
        <v>2.3.1</v>
      </c>
      <c r="M26" s="1014" t="str">
        <f>IF(J26=0,"",J26)</f>
        <v>Средневзвешенная стоимость 1 кВт.ч (с учетом мощности)</v>
      </c>
      <c r="N26" s="1014" t="str">
        <f>IF(K26=0,"",K26)</f>
        <v/>
      </c>
      <c r="O26" s="1127" t="s">
        <v>739</v>
      </c>
      <c r="P26" s="1127" t="s">
        <v>733</v>
      </c>
      <c r="Q26" s="1127" t="s">
        <v>2079</v>
      </c>
      <c r="R26" s="1127" t="s">
        <v>733</v>
      </c>
      <c r="S26" s="1127"/>
      <c r="T26" s="1134" t="str">
        <f>"Средневзвешенная стоимость 1 кВт.ч"&amp;IF(TITLE_TYPE_ORG="Регулируемая организация"," (с учетом мощности)","")</f>
        <v>Средневзвешенная стоимость 1 кВт.ч (с учетом мощности)</v>
      </c>
      <c r="U26" s="1134" t="s">
        <v>2080</v>
      </c>
      <c r="V26" s="1134" t="s">
        <v>2080</v>
      </c>
      <c r="W26" s="1134" t="s">
        <v>2080</v>
      </c>
      <c r="X26" s="1013"/>
      <c r="Y26" s="1170"/>
      <c r="Z26" s="1016"/>
      <c r="AA26" s="1019"/>
      <c r="AB26" s="1016"/>
      <c r="AC26" s="1016"/>
      <c r="AD26" s="1016"/>
    </row>
    <row customHeight="1" ht="18">
      <c r="A27" s="1015"/>
      <c r="B27" s="1069">
        <v>10</v>
      </c>
      <c r="C27" s="1013" t="s">
        <v>671</v>
      </c>
      <c r="D27" s="1137"/>
      <c r="E27" s="1013"/>
      <c r="F27" s="1013"/>
      <c r="G27" s="1061"/>
      <c r="H27" s="1128"/>
      <c r="I27" s="1175" t="str">
        <f>INDEX(TEMPLATE_NUMBER_POINT_FHD,B27,MATCH(TEMPLATE_SPHERE,TEMPLATE_SPHERE_LIST_FOR_NOTE,0))</f>
        <v>2.3.2</v>
      </c>
      <c r="J27" s="1175" t="str">
        <f>INDEX(TEMPLATE_DATA_POINT_FHD,B27,MATCH(TEMPLATE_SPHERE,TEMPLATE_SPHERE_LIST_FOR_NOTE,0))</f>
        <v>Объём приобретения электрической энергии</v>
      </c>
      <c r="K27" s="1175">
        <f>INDEX(TEMPLATE_NOTE_POINT_FHD,B27,MATCH(TEMPLATE_SPHERE,TEMPLATE_SPHERE_LIST_FOR_NOTE,0))</f>
        <v>0</v>
      </c>
      <c r="L27" s="1014" t="str">
        <f>IF(I27=0,"",I27)</f>
        <v>2.3.2</v>
      </c>
      <c r="M27" s="1014" t="str">
        <f>IF(J27=0,"",J27)</f>
        <v>Объём приобретения электрической энергии</v>
      </c>
      <c r="N27" s="1014" t="str">
        <f>IF(K27=0,"",K27)</f>
        <v/>
      </c>
      <c r="O27" s="1127" t="s">
        <v>741</v>
      </c>
      <c r="P27" s="1127" t="s">
        <v>735</v>
      </c>
      <c r="Q27" s="1127" t="s">
        <v>2081</v>
      </c>
      <c r="R27" s="1127" t="s">
        <v>735</v>
      </c>
      <c r="S27" s="1127"/>
      <c r="T27" s="1134" t="s">
        <v>2082</v>
      </c>
      <c r="U27" s="1134" t="s">
        <v>2082</v>
      </c>
      <c r="V27" s="1134" t="s">
        <v>2082</v>
      </c>
      <c r="W27" s="1134" t="s">
        <v>2082</v>
      </c>
      <c r="X27" s="1013"/>
      <c r="Y27" s="1170"/>
      <c r="Z27" s="1016"/>
      <c r="AA27" s="1019"/>
      <c r="AB27" s="1016"/>
      <c r="AC27" s="1016"/>
      <c r="AD27" s="1016"/>
    </row>
    <row customHeight="1" ht="27">
      <c r="A28" s="1015"/>
      <c r="B28" s="1069">
        <v>11</v>
      </c>
      <c r="C28" s="1013">
        <v>7</v>
      </c>
      <c r="D28" s="1137"/>
      <c r="E28" s="1013"/>
      <c r="F28" s="1013"/>
      <c r="G28" s="1061"/>
      <c r="H28" s="1128"/>
      <c r="I28" s="1175" t="str">
        <f>INDEX(TEMPLATE_NUMBER_POINT_FHD,B28,MATCH(TEMPLATE_SPHERE,TEMPLATE_SPHERE_LIST_FOR_NOTE,0))</f>
        <v>2.4</v>
      </c>
      <c r="J28" s="1175" t="str">
        <f>INDEX(TEMPLATE_DATA_POINT_FHD,B28,MATCH(TEMPLATE_SPHERE,TEMPLATE_SPHERE_LIST_FOR_NOTE,0))</f>
        <v>Расходы на приобретение холодной воды, используемой в технологическом процессе</v>
      </c>
      <c r="K28" s="1175">
        <f>INDEX(TEMPLATE_NOTE_POINT_FHD,B28,MATCH(TEMPLATE_SPHERE,TEMPLATE_SPHERE_LIST_FOR_NOTE,0))</f>
        <v>0</v>
      </c>
      <c r="L28" s="1014" t="str">
        <f>IF(I28=0,"",I28)</f>
        <v>2.4</v>
      </c>
      <c r="M28" s="1014" t="str">
        <f>IF(J28=0,"",J28)</f>
        <v>Расходы на приобретение холодной воды, используемой в технологическом процессе</v>
      </c>
      <c r="N28" s="1014" t="str">
        <f>IF(K28=0,"",K28)</f>
        <v/>
      </c>
      <c r="O28" s="1127" t="s">
        <v>743</v>
      </c>
      <c r="P28" s="1127"/>
      <c r="Q28" s="1127"/>
      <c r="R28" s="1127"/>
      <c r="S28" s="1127"/>
      <c r="T28" s="1134" t="s">
        <v>2083</v>
      </c>
      <c r="U28" s="1016"/>
      <c r="V28" s="1016"/>
      <c r="W28" s="1016"/>
      <c r="X28" s="1013"/>
      <c r="Y28" s="1170"/>
      <c r="Z28" s="1016"/>
      <c r="AA28" s="1019"/>
      <c r="AB28" s="1016"/>
      <c r="AC28" s="1016"/>
      <c r="AD28" s="1016"/>
    </row>
    <row customHeight="1" ht="27">
      <c r="A29" s="1015"/>
      <c r="B29" s="1069">
        <v>12</v>
      </c>
      <c r="C29" s="1013">
        <v>8</v>
      </c>
      <c r="D29" s="1137"/>
      <c r="E29" s="1013"/>
      <c r="F29" s="1013"/>
      <c r="G29" s="1061"/>
      <c r="H29" s="1128"/>
      <c r="I29" s="1175" t="str">
        <f>INDEX(TEMPLATE_NUMBER_POINT_FHD,B29,MATCH(TEMPLATE_SPHERE,TEMPLATE_SPHERE_LIST_FOR_NOTE,0))</f>
        <v>2.5</v>
      </c>
      <c r="J29" s="1175" t="str">
        <f>INDEX(TEMPLATE_DATA_POINT_FHD,B29,MATCH(TEMPLATE_SPHERE,TEMPLATE_SPHERE_LIST_FOR_NOTE,0))</f>
        <v>Расходы на  химические реагенты, используемые в технологическом процессе</v>
      </c>
      <c r="K29" s="1175">
        <f>INDEX(TEMPLATE_NOTE_POINT_FHD,B29,MATCH(TEMPLATE_SPHERE,TEMPLATE_SPHERE_LIST_FOR_NOTE,0))</f>
        <v>0</v>
      </c>
      <c r="L29" s="1014" t="str">
        <f>IF(I29=0,"",I29)</f>
        <v>2.5</v>
      </c>
      <c r="M29" s="1014" t="str">
        <f>IF(J29=0,"",J29)</f>
        <v>Расходы на  химические реагенты, используемые в технологическом процессе</v>
      </c>
      <c r="N29" s="1014" t="str">
        <f>IF(K29=0,"",K29)</f>
        <v/>
      </c>
      <c r="O29" s="1127" t="s">
        <v>750</v>
      </c>
      <c r="P29" s="1127" t="s">
        <v>322</v>
      </c>
      <c r="Q29" s="1127"/>
      <c r="R29" s="1127" t="s">
        <v>322</v>
      </c>
      <c r="S29" s="1127"/>
      <c r="T29" s="113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1016" t="s">
        <v>2084</v>
      </c>
      <c r="V29" s="1016"/>
      <c r="W29" s="1016" t="s">
        <v>2084</v>
      </c>
      <c r="X29" s="1013"/>
      <c r="Y29" s="1170"/>
      <c r="Z29" s="1016"/>
      <c r="AA29" s="1019"/>
      <c r="AB29" s="1016"/>
      <c r="AC29" s="1016"/>
      <c r="AD29" s="1016"/>
    </row>
    <row customHeight="1" ht="54">
      <c r="A30" s="1015"/>
      <c r="B30" s="1069">
        <v>13</v>
      </c>
      <c r="C30" s="1013">
        <v>9</v>
      </c>
      <c r="D30" s="1137"/>
      <c r="E30" s="1013"/>
      <c r="F30" s="1013"/>
      <c r="G30" s="1061"/>
      <c r="H30" s="1128"/>
      <c r="I30" s="1175" t="str">
        <f>INDEX(TEMPLATE_NUMBER_POINT_FHD,B30,MATCH(TEMPLATE_SPHERE,TEMPLATE_SPHERE_LIST_FOR_NOTE,0))</f>
        <v>2.6</v>
      </c>
      <c r="J30" s="117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175">
        <f>INDEX(TEMPLATE_NOTE_POINT_FHD,B30,MATCH(TEMPLATE_SPHERE,TEMPLATE_SPHERE_LIST_FOR_NOTE,0))</f>
        <v>0</v>
      </c>
      <c r="L30" s="1014" t="str">
        <f>IF(I30=0,"",I30)</f>
        <v>2.6</v>
      </c>
      <c r="M30" s="101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014" t="str">
        <f>IF(K30=0,"",K30)</f>
        <v/>
      </c>
      <c r="O30" s="1127" t="s">
        <v>752</v>
      </c>
      <c r="P30" s="1127" t="s">
        <v>743</v>
      </c>
      <c r="Q30" s="1127" t="s">
        <v>752</v>
      </c>
      <c r="R30" s="1127" t="s">
        <v>743</v>
      </c>
      <c r="S30" s="1127"/>
      <c r="T30" s="1134" t="s">
        <v>2085</v>
      </c>
      <c r="U30" s="1016" t="s">
        <v>2085</v>
      </c>
      <c r="V30" s="1016" t="s">
        <v>2085</v>
      </c>
      <c r="W30" s="1016" t="s">
        <v>2085</v>
      </c>
      <c r="X30" s="1013"/>
      <c r="Y30" s="1170"/>
      <c r="Z30" s="1016"/>
      <c r="AA30" s="1019" t="s">
        <v>2086</v>
      </c>
      <c r="AB30" s="1019" t="s">
        <v>2086</v>
      </c>
      <c r="AC30" s="1019" t="s">
        <v>2086</v>
      </c>
      <c r="AD30" s="1016"/>
    </row>
    <row customHeight="1" ht="18">
      <c r="A31" s="1015"/>
      <c r="B31" s="1069">
        <v>14</v>
      </c>
      <c r="C31" s="1013" t="s">
        <v>2087</v>
      </c>
      <c r="D31" s="1137"/>
      <c r="E31" s="1013"/>
      <c r="F31" s="1013"/>
      <c r="G31" s="1061"/>
      <c r="H31" s="1128"/>
      <c r="I31" s="1175" t="str">
        <f>INDEX(TEMPLATE_NUMBER_POINT_FHD,B31,MATCH(TEMPLATE_SPHERE,TEMPLATE_SPHERE_LIST_FOR_NOTE,0))</f>
        <v>2.6.1</v>
      </c>
      <c r="J31" s="1175" t="str">
        <f>INDEX(TEMPLATE_DATA_POINT_FHD,B31,MATCH(TEMPLATE_SPHERE,TEMPLATE_SPHERE_LIST_FOR_NOTE,0))</f>
        <v>Расходы на оплату труда основного производственного персонала</v>
      </c>
      <c r="K31" s="1175">
        <f>INDEX(TEMPLATE_NOTE_POINT_FHD,B31,MATCH(TEMPLATE_SPHERE,TEMPLATE_SPHERE_LIST_FOR_NOTE,0))</f>
        <v>0</v>
      </c>
      <c r="L31" s="1014" t="str">
        <f>IF(I31=0,"",I31)</f>
        <v>2.6.1</v>
      </c>
      <c r="M31" s="1014" t="str">
        <f>IF(J31=0,"",J31)</f>
        <v>Расходы на оплату труда основного производственного персонала</v>
      </c>
      <c r="N31" s="1014" t="str">
        <f>IF(K31=0,"",K31)</f>
        <v/>
      </c>
      <c r="O31" s="1127" t="s">
        <v>2088</v>
      </c>
      <c r="P31" s="1127" t="s">
        <v>746</v>
      </c>
      <c r="Q31" s="1127" t="s">
        <v>2088</v>
      </c>
      <c r="R31" s="1127" t="s">
        <v>746</v>
      </c>
      <c r="S31" s="1127"/>
      <c r="T31" s="1135" t="s">
        <v>2089</v>
      </c>
      <c r="U31" s="1016" t="s">
        <v>2089</v>
      </c>
      <c r="V31" s="1016" t="s">
        <v>2089</v>
      </c>
      <c r="W31" s="1016" t="s">
        <v>2089</v>
      </c>
      <c r="X31" s="1013"/>
      <c r="Y31" s="1170"/>
      <c r="Z31" s="1016"/>
      <c r="AA31" s="1019"/>
      <c r="AB31" s="1019"/>
      <c r="AC31" s="1019"/>
      <c r="AD31" s="1016"/>
    </row>
    <row customHeight="1" ht="36">
      <c r="A32" s="1015"/>
      <c r="B32" s="1069">
        <v>15</v>
      </c>
      <c r="C32" s="1013" t="s">
        <v>2090</v>
      </c>
      <c r="D32" s="1137"/>
      <c r="E32" s="1013"/>
      <c r="F32" s="1013"/>
      <c r="G32" s="1061"/>
      <c r="H32" s="1128"/>
      <c r="I32" s="1175" t="str">
        <f>INDEX(TEMPLATE_NUMBER_POINT_FHD,B32,MATCH(TEMPLATE_SPHERE,TEMPLATE_SPHERE_LIST_FOR_NOTE,0))</f>
        <v>2.6.2</v>
      </c>
      <c r="J32" s="117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175">
        <f>INDEX(TEMPLATE_NOTE_POINT_FHD,B32,MATCH(TEMPLATE_SPHERE,TEMPLATE_SPHERE_LIST_FOR_NOTE,0))</f>
        <v>0</v>
      </c>
      <c r="L32" s="1014" t="str">
        <f>IF(I32=0,"",I32)</f>
        <v>2.6.2</v>
      </c>
      <c r="M32" s="1014" t="str">
        <f>IF(J32=0,"",J32)</f>
        <v>Страховые взносы на обязательное социальное страхование, выплачиваемые из фонда оплаты труда основного производственного персонала</v>
      </c>
      <c r="N32" s="1014" t="str">
        <f>IF(K32=0,"",K32)</f>
        <v/>
      </c>
      <c r="O32" s="1127" t="s">
        <v>2091</v>
      </c>
      <c r="P32" s="1127" t="s">
        <v>748</v>
      </c>
      <c r="Q32" s="1127" t="s">
        <v>2091</v>
      </c>
      <c r="R32" s="1127" t="s">
        <v>748</v>
      </c>
      <c r="S32" s="1127"/>
      <c r="T32" s="113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1016" t="s">
        <v>2092</v>
      </c>
      <c r="V32" s="1016" t="s">
        <v>2092</v>
      </c>
      <c r="W32" s="1016" t="s">
        <v>2092</v>
      </c>
      <c r="X32" s="1013"/>
      <c r="Y32" s="1170"/>
      <c r="Z32" s="1016"/>
      <c r="AA32" s="1019"/>
      <c r="AB32" s="1019"/>
      <c r="AC32" s="1019"/>
      <c r="AD32" s="1016"/>
    </row>
    <row customHeight="1" ht="45">
      <c r="A33" s="1015"/>
      <c r="B33" s="1069">
        <v>16</v>
      </c>
      <c r="C33" s="1013">
        <v>10</v>
      </c>
      <c r="D33" s="1137"/>
      <c r="E33" s="1013"/>
      <c r="F33" s="1013"/>
      <c r="G33" s="1061"/>
      <c r="H33" s="1128"/>
      <c r="I33" s="1175" t="str">
        <f>INDEX(TEMPLATE_NUMBER_POINT_FHD,B33,MATCH(TEMPLATE_SPHERE,TEMPLATE_SPHERE_LIST_FOR_NOTE,0))</f>
        <v>2.7</v>
      </c>
      <c r="J33" s="117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175">
        <f>INDEX(TEMPLATE_NOTE_POINT_FHD,B33,MATCH(TEMPLATE_SPHERE,TEMPLATE_SPHERE_LIST_FOR_NOTE,0))</f>
        <v>0</v>
      </c>
      <c r="L33" s="1014" t="str">
        <f>IF(I33=0,"",I33)</f>
        <v>2.7</v>
      </c>
      <c r="M33" s="101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014" t="str">
        <f>IF(K33=0,"",K33)</f>
        <v/>
      </c>
      <c r="O33" s="1127" t="s">
        <v>754</v>
      </c>
      <c r="P33" s="1127" t="s">
        <v>750</v>
      </c>
      <c r="Q33" s="1127" t="s">
        <v>754</v>
      </c>
      <c r="R33" s="1127" t="s">
        <v>750</v>
      </c>
      <c r="S33" s="1127"/>
      <c r="T33" s="113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1016" t="s">
        <v>2093</v>
      </c>
      <c r="V33" s="1016" t="s">
        <v>2093</v>
      </c>
      <c r="W33" s="1016" t="s">
        <v>2094</v>
      </c>
      <c r="X33" s="1013"/>
      <c r="Y33" s="1170"/>
      <c r="Z33" s="1016"/>
      <c r="AA33" s="1019" t="s">
        <v>2095</v>
      </c>
      <c r="AB33" s="1019" t="s">
        <v>2095</v>
      </c>
      <c r="AC33" s="1019" t="s">
        <v>2095</v>
      </c>
      <c r="AD33" s="1016"/>
    </row>
    <row customHeight="1" ht="27">
      <c r="A34" s="1015"/>
      <c r="B34" s="1069">
        <v>17</v>
      </c>
      <c r="C34" s="1013" t="s">
        <v>2096</v>
      </c>
      <c r="D34" s="1137"/>
      <c r="E34" s="1013"/>
      <c r="F34" s="1013"/>
      <c r="G34" s="1061"/>
      <c r="H34" s="1128"/>
      <c r="I34" s="1175" t="str">
        <f>INDEX(TEMPLATE_NUMBER_POINT_FHD,B34,MATCH(TEMPLATE_SPHERE,TEMPLATE_SPHERE_LIST_FOR_NOTE,0))</f>
        <v>2.7.1</v>
      </c>
      <c r="J34" s="1175" t="str">
        <f>INDEX(TEMPLATE_DATA_POINT_FHD,B34,MATCH(TEMPLATE_SPHERE,TEMPLATE_SPHERE_LIST_FOR_NOTE,0))</f>
        <v>Расходы на оплату труда административно-управленческого персонала</v>
      </c>
      <c r="K34" s="1175">
        <f>INDEX(TEMPLATE_NOTE_POINT_FHD,B34,MATCH(TEMPLATE_SPHERE,TEMPLATE_SPHERE_LIST_FOR_NOTE,0))</f>
        <v>0</v>
      </c>
      <c r="L34" s="1014" t="str">
        <f>IF(I34=0,"",I34)</f>
        <v>2.7.1</v>
      </c>
      <c r="M34" s="1014" t="str">
        <f>IF(J34=0,"",J34)</f>
        <v>Расходы на оплату труда административно-управленческого персонала</v>
      </c>
      <c r="N34" s="1014" t="str">
        <f>IF(K34=0,"",K34)</f>
        <v/>
      </c>
      <c r="O34" s="1127" t="s">
        <v>2097</v>
      </c>
      <c r="P34" s="1127" t="s">
        <v>2079</v>
      </c>
      <c r="Q34" s="1127" t="s">
        <v>2097</v>
      </c>
      <c r="R34" s="1127" t="s">
        <v>2079</v>
      </c>
      <c r="S34" s="1127"/>
      <c r="T34" s="1136" t="s">
        <v>2098</v>
      </c>
      <c r="U34" s="1016" t="s">
        <v>2098</v>
      </c>
      <c r="V34" s="1016" t="s">
        <v>2098</v>
      </c>
      <c r="W34" s="1016" t="s">
        <v>2099</v>
      </c>
      <c r="X34" s="1013"/>
      <c r="Y34" s="1170"/>
      <c r="Z34" s="1016"/>
      <c r="AA34" s="1019"/>
      <c r="AB34" s="1016"/>
      <c r="AC34" s="1016"/>
      <c r="AD34" s="1016"/>
    </row>
    <row customHeight="1" ht="45">
      <c r="A35" s="1015"/>
      <c r="B35" s="1069">
        <v>18</v>
      </c>
      <c r="C35" s="1013" t="s">
        <v>2100</v>
      </c>
      <c r="D35" s="1137"/>
      <c r="E35" s="1013"/>
      <c r="F35" s="1013"/>
      <c r="G35" s="1061"/>
      <c r="H35" s="1128"/>
      <c r="I35" s="1175" t="str">
        <f>INDEX(TEMPLATE_NUMBER_POINT_FHD,B35,MATCH(TEMPLATE_SPHERE,TEMPLATE_SPHERE_LIST_FOR_NOTE,0))</f>
        <v>2.7.2</v>
      </c>
      <c r="J35" s="117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175">
        <f>INDEX(TEMPLATE_NOTE_POINT_FHD,B35,MATCH(TEMPLATE_SPHERE,TEMPLATE_SPHERE_LIST_FOR_NOTE,0))</f>
        <v>0</v>
      </c>
      <c r="L35" s="1014" t="str">
        <f>IF(I35=0,"",I35)</f>
        <v>2.7.2</v>
      </c>
      <c r="M35" s="101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1014" t="str">
        <f>IF(K35=0,"",K35)</f>
        <v/>
      </c>
      <c r="O35" s="1127" t="s">
        <v>2101</v>
      </c>
      <c r="P35" s="1127" t="s">
        <v>2081</v>
      </c>
      <c r="Q35" s="1127" t="s">
        <v>2101</v>
      </c>
      <c r="R35" s="1127" t="s">
        <v>2081</v>
      </c>
      <c r="S35" s="1127"/>
      <c r="T35" s="113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1016" t="s">
        <v>2102</v>
      </c>
      <c r="V35" s="1016" t="s">
        <v>2102</v>
      </c>
      <c r="W35" s="1016" t="s">
        <v>2102</v>
      </c>
      <c r="X35" s="1013"/>
      <c r="Y35" s="1170"/>
      <c r="Z35" s="1016"/>
      <c r="AA35" s="1019"/>
      <c r="AB35" s="1016"/>
      <c r="AC35" s="1016"/>
      <c r="AD35" s="1016"/>
    </row>
    <row customHeight="1" ht="18">
      <c r="A36" s="1015"/>
      <c r="B36" s="1069">
        <v>19</v>
      </c>
      <c r="C36" s="1013">
        <v>11</v>
      </c>
      <c r="D36" s="1137"/>
      <c r="E36" s="1013"/>
      <c r="F36" s="1013"/>
      <c r="G36" s="1061"/>
      <c r="H36" s="1128"/>
      <c r="I36" s="1175" t="str">
        <f>INDEX(TEMPLATE_NUMBER_POINT_FHD,B36,MATCH(TEMPLATE_SPHERE,TEMPLATE_SPHERE_LIST_FOR_NOTE,0))</f>
        <v>2.8</v>
      </c>
      <c r="J36" s="1175" t="str">
        <f>INDEX(TEMPLATE_DATA_POINT_FHD,B36,MATCH(TEMPLATE_SPHERE,TEMPLATE_SPHERE_LIST_FOR_NOTE,0))</f>
        <v>Расходы на амортизацию основных средств и нематериальных активов</v>
      </c>
      <c r="K36" s="1175">
        <f>INDEX(TEMPLATE_NOTE_POINT_FHD,B36,MATCH(TEMPLATE_SPHERE,TEMPLATE_SPHERE_LIST_FOR_NOTE,0))</f>
        <v>0</v>
      </c>
      <c r="L36" s="1014" t="str">
        <f>IF(I36=0,"",I36)</f>
        <v>2.8</v>
      </c>
      <c r="M36" s="1014" t="str">
        <f>IF(J36=0,"",J36)</f>
        <v>Расходы на амортизацию основных средств и нематериальных активов</v>
      </c>
      <c r="N36" s="1014" t="str">
        <f>IF(K36=0,"",K36)</f>
        <v/>
      </c>
      <c r="O36" s="1127" t="s">
        <v>756</v>
      </c>
      <c r="P36" s="1127" t="s">
        <v>752</v>
      </c>
      <c r="Q36" s="1127" t="s">
        <v>756</v>
      </c>
      <c r="R36" s="1127" t="s">
        <v>752</v>
      </c>
      <c r="S36" s="1127"/>
      <c r="T36" s="1134" t="s">
        <v>2103</v>
      </c>
      <c r="U36" s="1016" t="s">
        <v>2103</v>
      </c>
      <c r="V36" s="1016" t="s">
        <v>2103</v>
      </c>
      <c r="W36" s="1016" t="s">
        <v>2103</v>
      </c>
      <c r="X36" s="1013"/>
      <c r="Y36" s="1170"/>
      <c r="Z36" s="1016"/>
      <c r="AA36" s="1019"/>
      <c r="AB36" s="1016"/>
      <c r="AC36" s="1016"/>
      <c r="AD36" s="1016"/>
    </row>
    <row customHeight="1" ht="18">
      <c r="A37" s="1015"/>
      <c r="B37" s="1069">
        <v>20</v>
      </c>
      <c r="C37" s="1013" t="s">
        <v>2104</v>
      </c>
      <c r="D37" s="1137"/>
      <c r="E37" s="1013"/>
      <c r="F37" s="1013"/>
      <c r="G37" s="1061"/>
      <c r="H37" s="1128"/>
      <c r="I37" s="1175" t="str">
        <f>INDEX(TEMPLATE_NUMBER_POINT_FHD,B37,MATCH(TEMPLATE_SPHERE,TEMPLATE_SPHERE_LIST_FOR_NOTE,0))</f>
        <v>2.8.1</v>
      </c>
      <c r="J37" s="1175" t="str">
        <f>INDEX(TEMPLATE_DATA_POINT_FHD,B37,MATCH(TEMPLATE_SPHERE,TEMPLATE_SPHERE_LIST_FOR_NOTE,0))</f>
        <v>Расходы на амортизацию основных средств</v>
      </c>
      <c r="K37" s="1175">
        <f>INDEX(TEMPLATE_NOTE_POINT_FHD,B37,MATCH(TEMPLATE_SPHERE,TEMPLATE_SPHERE_LIST_FOR_NOTE,0))</f>
        <v>0</v>
      </c>
      <c r="L37" s="1014" t="str">
        <f>IF(I37=0,"",I37)</f>
        <v>2.8.1</v>
      </c>
      <c r="M37" s="1014" t="str">
        <f>IF(J37=0,"",J37)</f>
        <v>Расходы на амортизацию основных средств</v>
      </c>
      <c r="N37" s="1014" t="str">
        <f>IF(K37=0,"",K37)</f>
        <v/>
      </c>
      <c r="O37" s="1127" t="s">
        <v>2105</v>
      </c>
      <c r="P37" s="1127" t="s">
        <v>2088</v>
      </c>
      <c r="Q37" s="1127" t="s">
        <v>2105</v>
      </c>
      <c r="R37" s="1127" t="s">
        <v>2088</v>
      </c>
      <c r="S37" s="1127"/>
      <c r="T37" s="1134" t="s">
        <v>2106</v>
      </c>
      <c r="U37" s="1016" t="s">
        <v>2106</v>
      </c>
      <c r="V37" s="1016" t="s">
        <v>2106</v>
      </c>
      <c r="W37" s="1016" t="s">
        <v>2106</v>
      </c>
      <c r="X37" s="1013"/>
      <c r="Y37" s="1170"/>
      <c r="Z37" s="1016"/>
      <c r="AA37" s="1019"/>
      <c r="AB37" s="1016"/>
      <c r="AC37" s="1016"/>
      <c r="AD37" s="1016"/>
    </row>
    <row customHeight="1" ht="18">
      <c r="A38" s="1015"/>
      <c r="B38" s="1069">
        <v>21</v>
      </c>
      <c r="C38" s="1013" t="s">
        <v>2107</v>
      </c>
      <c r="D38" s="1137"/>
      <c r="E38" s="1013"/>
      <c r="F38" s="1013"/>
      <c r="G38" s="1061"/>
      <c r="H38" s="1128"/>
      <c r="I38" s="1175" t="str">
        <f>INDEX(TEMPLATE_NUMBER_POINT_FHD,B38,MATCH(TEMPLATE_SPHERE,TEMPLATE_SPHERE_LIST_FOR_NOTE,0))</f>
        <v>2.8.2</v>
      </c>
      <c r="J38" s="1175" t="str">
        <f>INDEX(TEMPLATE_DATA_POINT_FHD,B38,MATCH(TEMPLATE_SPHERE,TEMPLATE_SPHERE_LIST_FOR_NOTE,0))</f>
        <v>Расходы на амортизацию нематериальных активов</v>
      </c>
      <c r="K38" s="1175">
        <f>INDEX(TEMPLATE_NOTE_POINT_FHD,B38,MATCH(TEMPLATE_SPHERE,TEMPLATE_SPHERE_LIST_FOR_NOTE,0))</f>
        <v>0</v>
      </c>
      <c r="L38" s="1014" t="str">
        <f>IF(I38=0,"",I38)</f>
        <v>2.8.2</v>
      </c>
      <c r="M38" s="1014" t="str">
        <f>IF(J38=0,"",J38)</f>
        <v>Расходы на амортизацию нематериальных активов</v>
      </c>
      <c r="N38" s="1014" t="str">
        <f>IF(K38=0,"",K38)</f>
        <v/>
      </c>
      <c r="O38" s="1127" t="s">
        <v>2108</v>
      </c>
      <c r="P38" s="1127" t="s">
        <v>2091</v>
      </c>
      <c r="Q38" s="1127" t="s">
        <v>2108</v>
      </c>
      <c r="R38" s="1127" t="s">
        <v>2091</v>
      </c>
      <c r="S38" s="1127"/>
      <c r="T38" s="1134" t="s">
        <v>2109</v>
      </c>
      <c r="U38" s="1016" t="s">
        <v>2109</v>
      </c>
      <c r="V38" s="1016" t="s">
        <v>2109</v>
      </c>
      <c r="W38" s="1016" t="s">
        <v>2109</v>
      </c>
      <c r="X38" s="1013"/>
      <c r="Y38" s="1170"/>
      <c r="Z38" s="1016"/>
      <c r="AA38" s="1019"/>
      <c r="AB38" s="1016"/>
      <c r="AC38" s="1016"/>
      <c r="AD38" s="1016"/>
    </row>
    <row customHeight="1" ht="36">
      <c r="A39" s="1015"/>
      <c r="B39" s="1069">
        <v>22</v>
      </c>
      <c r="C39" s="1013">
        <v>12</v>
      </c>
      <c r="D39" s="1137"/>
      <c r="E39" s="1013"/>
      <c r="F39" s="1013"/>
      <c r="G39" s="1061"/>
      <c r="H39" s="1128"/>
      <c r="I39" s="1175" t="str">
        <f>INDEX(TEMPLATE_NUMBER_POINT_FHD,B39,MATCH(TEMPLATE_SPHERE,TEMPLATE_SPHERE_LIST_FOR_NOTE,0))</f>
        <v>2.9</v>
      </c>
      <c r="J39" s="1175" t="str">
        <f>INDEX(TEMPLATE_DATA_POINT_FHD,B39,MATCH(TEMPLATE_SPHERE,TEMPLATE_SPHERE_LIST_FOR_NOTE,0))</f>
        <v>Расходы на аренду имущества, используемого для осуществления регулируемого вида деятельности</v>
      </c>
      <c r="K39" s="1175">
        <f>INDEX(TEMPLATE_NOTE_POINT_FHD,B39,MATCH(TEMPLATE_SPHERE,TEMPLATE_SPHERE_LIST_FOR_NOTE,0))</f>
        <v>0</v>
      </c>
      <c r="L39" s="1014" t="str">
        <f>IF(I39=0,"",I39)</f>
        <v>2.9</v>
      </c>
      <c r="M39" s="1014" t="str">
        <f>IF(J39=0,"",J39)</f>
        <v>Расходы на аренду имущества, используемого для осуществления регулируемого вида деятельности</v>
      </c>
      <c r="N39" s="1014" t="str">
        <f>IF(K39=0,"",K39)</f>
        <v/>
      </c>
      <c r="O39" s="1127" t="s">
        <v>760</v>
      </c>
      <c r="P39" s="1127" t="s">
        <v>754</v>
      </c>
      <c r="Q39" s="1127" t="s">
        <v>760</v>
      </c>
      <c r="R39" s="1127" t="s">
        <v>754</v>
      </c>
      <c r="S39" s="1127"/>
      <c r="T39" s="1134" t="s">
        <v>2110</v>
      </c>
      <c r="U39" s="1016" t="s">
        <v>2111</v>
      </c>
      <c r="V39" s="1016" t="s">
        <v>2112</v>
      </c>
      <c r="W39" s="1016" t="s">
        <v>2113</v>
      </c>
      <c r="X39" s="1013"/>
      <c r="Y39" s="1170"/>
      <c r="Z39" s="1016"/>
      <c r="AA39" s="1019"/>
      <c r="AB39" s="1016"/>
      <c r="AC39" s="1016"/>
      <c r="AD39" s="1016"/>
    </row>
    <row customHeight="1" ht="18">
      <c r="A40" s="1015"/>
      <c r="B40" s="1069">
        <v>23</v>
      </c>
      <c r="C40" s="1013">
        <v>13</v>
      </c>
      <c r="D40" s="1137"/>
      <c r="E40" s="1013"/>
      <c r="F40" s="1013"/>
      <c r="G40" s="1013"/>
      <c r="H40" s="1064"/>
      <c r="I40" s="1175" t="str">
        <f>INDEX(TEMPLATE_NUMBER_POINT_FHD,B40,MATCH(TEMPLATE_SPHERE,TEMPLATE_SPHERE_LIST_FOR_NOTE,0))</f>
        <v>2.10</v>
      </c>
      <c r="J40" s="1175" t="str">
        <f>INDEX(TEMPLATE_DATA_POINT_FHD,B40,MATCH(TEMPLATE_SPHERE,TEMPLATE_SPHERE_LIST_FOR_NOTE,0))</f>
        <v>Общепроизводственные расходы, в том числе:</v>
      </c>
      <c r="K40" s="1175" t="str">
        <f>INDEX(TEMPLATE_NOTE_POINT_FHD,B40,MATCH(TEMPLATE_SPHERE,TEMPLATE_SPHERE_LIST_FOR_NOTE,0))</f>
        <v>Указывается общая сумма общепроизводственных расходов.</v>
      </c>
      <c r="L40" s="1014" t="str">
        <f>IF(I40=0,"",I40)</f>
        <v>2.10</v>
      </c>
      <c r="M40" s="1014" t="str">
        <f>IF(J40=0,"",J40)</f>
        <v>Общепроизводственные расходы, в том числе:</v>
      </c>
      <c r="N40" s="1014" t="str">
        <f>IF(K40=0,"",K40)</f>
        <v>Указывается общая сумма общепроизводственных расходов.</v>
      </c>
      <c r="O40" s="1127" t="s">
        <v>2114</v>
      </c>
      <c r="P40" s="1127" t="s">
        <v>756</v>
      </c>
      <c r="Q40" s="1127" t="s">
        <v>2114</v>
      </c>
      <c r="R40" s="1127" t="s">
        <v>756</v>
      </c>
      <c r="S40" s="1127"/>
      <c r="T40" s="1013" t="s">
        <v>2115</v>
      </c>
      <c r="U40" s="1013" t="s">
        <v>2115</v>
      </c>
      <c r="V40" s="1013" t="s">
        <v>2115</v>
      </c>
      <c r="W40" s="1013" t="s">
        <v>2115</v>
      </c>
      <c r="X40" s="1013"/>
      <c r="Y40" s="1170"/>
      <c r="Z40" s="1016" t="s">
        <v>2116</v>
      </c>
      <c r="AA40" s="1019" t="s">
        <v>2116</v>
      </c>
      <c r="AB40" s="1019" t="s">
        <v>2116</v>
      </c>
      <c r="AC40" s="1019" t="s">
        <v>2116</v>
      </c>
      <c r="AD40" s="1016"/>
    </row>
    <row customHeight="1" ht="27">
      <c r="A41" s="1015"/>
      <c r="B41" s="1069">
        <v>24</v>
      </c>
      <c r="C41" s="1013" t="s">
        <v>2117</v>
      </c>
      <c r="D41" s="1137"/>
      <c r="E41" s="1013"/>
      <c r="F41" s="1013"/>
      <c r="G41" s="1013"/>
      <c r="H41" s="1061"/>
      <c r="I41" s="1175" t="str">
        <f>INDEX(TEMPLATE_NUMBER_POINT_FHD,B41,MATCH(TEMPLATE_SPHERE,TEMPLATE_SPHERE_LIST_FOR_NOTE,0))</f>
        <v>2.10.1</v>
      </c>
      <c r="J41" s="1175" t="str">
        <f>INDEX(TEMPLATE_DATA_POINT_FHD,B41,MATCH(TEMPLATE_SPHERE,TEMPLATE_SPHERE_LIST_FOR_NOTE,0))</f>
        <v>Расходы на текущий ремонт</v>
      </c>
      <c r="K41" s="1175" t="str">
        <f>INDEX(TEMPLATE_NOTE_POINT_FHD,B41,MATCH(TEMPLATE_SPHERE,TEMPLATE_SPHERE_LIST_FOR_NOTE,0))</f>
        <v>Указываются расходы на текущий ремонт, отнесенные к общепроизводственным расходам.</v>
      </c>
      <c r="L41" s="1014" t="str">
        <f>IF(I41=0,"",I41)</f>
        <v>2.10.1</v>
      </c>
      <c r="M41" s="1014" t="str">
        <f>IF(J41=0,"",J41)</f>
        <v>Расходы на текущий ремонт</v>
      </c>
      <c r="N41" s="1014" t="str">
        <f>IF(K41=0,"",K41)</f>
        <v>Указываются расходы на текущий ремонт, отнесенные к общепроизводственным расходам.</v>
      </c>
      <c r="O41" s="1127" t="s">
        <v>2118</v>
      </c>
      <c r="P41" s="1127" t="s">
        <v>2105</v>
      </c>
      <c r="Q41" s="1127" t="s">
        <v>2118</v>
      </c>
      <c r="R41" s="1127" t="s">
        <v>2105</v>
      </c>
      <c r="S41" s="1127"/>
      <c r="T41" s="1013" t="s">
        <v>2119</v>
      </c>
      <c r="U41" s="1013" t="s">
        <v>2119</v>
      </c>
      <c r="V41" s="1013" t="s">
        <v>2119</v>
      </c>
      <c r="W41" s="1013" t="s">
        <v>2119</v>
      </c>
      <c r="X41" s="1013"/>
      <c r="Y41" s="1170"/>
      <c r="Z41" s="1016" t="s">
        <v>2120</v>
      </c>
      <c r="AA41" s="1016" t="s">
        <v>2120</v>
      </c>
      <c r="AB41" s="1016" t="s">
        <v>2120</v>
      </c>
      <c r="AC41" s="1016" t="s">
        <v>2120</v>
      </c>
      <c r="AD41" s="1016"/>
    </row>
    <row customHeight="1" ht="27">
      <c r="A42" s="1015"/>
      <c r="B42" s="1069">
        <v>25</v>
      </c>
      <c r="C42" s="1013" t="s">
        <v>2121</v>
      </c>
      <c r="D42" s="1137"/>
      <c r="E42" s="1013"/>
      <c r="F42" s="1013"/>
      <c r="G42" s="1013"/>
      <c r="H42" s="1061"/>
      <c r="I42" s="1175" t="str">
        <f>INDEX(TEMPLATE_NUMBER_POINT_FHD,B42,MATCH(TEMPLATE_SPHERE,TEMPLATE_SPHERE_LIST_FOR_NOTE,0))</f>
        <v>2.10.2</v>
      </c>
      <c r="J42" s="1175" t="str">
        <f>INDEX(TEMPLATE_DATA_POINT_FHD,B42,MATCH(TEMPLATE_SPHERE,TEMPLATE_SPHERE_LIST_FOR_NOTE,0))</f>
        <v>Расходы на капитальный ремонт</v>
      </c>
      <c r="K42" s="1175" t="str">
        <f>INDEX(TEMPLATE_NOTE_POINT_FHD,B42,MATCH(TEMPLATE_SPHERE,TEMPLATE_SPHERE_LIST_FOR_NOTE,0))</f>
        <v>Указываются расходы на капитальный ремонт, отнесенные к общепроизводственным расходам.</v>
      </c>
      <c r="L42" s="1014" t="str">
        <f>IF(I42=0,"",I42)</f>
        <v>2.10.2</v>
      </c>
      <c r="M42" s="1014" t="str">
        <f>IF(J42=0,"",J42)</f>
        <v>Расходы на капитальный ремонт</v>
      </c>
      <c r="N42" s="1014" t="str">
        <f>IF(K42=0,"",K42)</f>
        <v>Указываются расходы на капитальный ремонт, отнесенные к общепроизводственным расходам.</v>
      </c>
      <c r="O42" s="1127" t="s">
        <v>2122</v>
      </c>
      <c r="P42" s="1127" t="s">
        <v>2108</v>
      </c>
      <c r="Q42" s="1127" t="s">
        <v>2122</v>
      </c>
      <c r="R42" s="1127" t="s">
        <v>2108</v>
      </c>
      <c r="S42" s="1127"/>
      <c r="T42" s="1013" t="s">
        <v>2123</v>
      </c>
      <c r="U42" s="1013" t="s">
        <v>2123</v>
      </c>
      <c r="V42" s="1013" t="s">
        <v>2123</v>
      </c>
      <c r="W42" s="1013" t="s">
        <v>2123</v>
      </c>
      <c r="X42" s="1013"/>
      <c r="Y42" s="1170"/>
      <c r="Z42" s="1016" t="s">
        <v>2124</v>
      </c>
      <c r="AA42" s="1016" t="s">
        <v>2124</v>
      </c>
      <c r="AB42" s="1016" t="s">
        <v>2124</v>
      </c>
      <c r="AC42" s="1016" t="s">
        <v>2124</v>
      </c>
      <c r="AD42" s="1016"/>
    </row>
    <row customHeight="1" ht="18">
      <c r="A43" s="1015"/>
      <c r="B43" s="1069">
        <v>26</v>
      </c>
      <c r="C43" s="1013">
        <v>14</v>
      </c>
      <c r="D43" s="1137"/>
      <c r="E43" s="1013"/>
      <c r="F43" s="1013"/>
      <c r="G43" s="1013"/>
      <c r="H43" s="1061"/>
      <c r="I43" s="1175" t="str">
        <f>INDEX(TEMPLATE_NUMBER_POINT_FHD,B43,MATCH(TEMPLATE_SPHERE,TEMPLATE_SPHERE_LIST_FOR_NOTE,0))</f>
        <v>2.11</v>
      </c>
      <c r="J43" s="1175" t="str">
        <f>INDEX(TEMPLATE_DATA_POINT_FHD,B43,MATCH(TEMPLATE_SPHERE,TEMPLATE_SPHERE_LIST_FOR_NOTE,0))</f>
        <v>Общехозяйственные расходы, в том числе:</v>
      </c>
      <c r="K43" s="1175" t="str">
        <f>INDEX(TEMPLATE_NOTE_POINT_FHD,B43,MATCH(TEMPLATE_SPHERE,TEMPLATE_SPHERE_LIST_FOR_NOTE,0))</f>
        <v>Указывается общая сумма общехозяйственных расходов.</v>
      </c>
      <c r="L43" s="1014" t="str">
        <f>IF(I43=0,"",I43)</f>
        <v>2.11</v>
      </c>
      <c r="M43" s="1014" t="str">
        <f>IF(J43=0,"",J43)</f>
        <v>Общехозяйственные расходы, в том числе:</v>
      </c>
      <c r="N43" s="1014" t="str">
        <f>IF(K43=0,"",K43)</f>
        <v>Указывается общая сумма общехозяйственных расходов.</v>
      </c>
      <c r="O43" s="1127" t="s">
        <v>2125</v>
      </c>
      <c r="P43" s="1127" t="s">
        <v>760</v>
      </c>
      <c r="Q43" s="1127" t="s">
        <v>2125</v>
      </c>
      <c r="R43" s="1127" t="s">
        <v>760</v>
      </c>
      <c r="S43" s="1127"/>
      <c r="T43" s="1013" t="s">
        <v>2126</v>
      </c>
      <c r="U43" s="1013" t="s">
        <v>2126</v>
      </c>
      <c r="V43" s="1013" t="s">
        <v>2126</v>
      </c>
      <c r="W43" s="1013" t="s">
        <v>2126</v>
      </c>
      <c r="X43" s="1013"/>
      <c r="Y43" s="1170"/>
      <c r="Z43" s="1016" t="s">
        <v>2127</v>
      </c>
      <c r="AA43" s="1016" t="s">
        <v>2127</v>
      </c>
      <c r="AB43" s="1016" t="s">
        <v>2127</v>
      </c>
      <c r="AC43" s="1016" t="s">
        <v>2127</v>
      </c>
      <c r="AD43" s="1016"/>
    </row>
    <row customHeight="1" ht="27">
      <c r="A44" s="1015"/>
      <c r="B44" s="1069">
        <v>27</v>
      </c>
      <c r="C44" s="1013" t="s">
        <v>2128</v>
      </c>
      <c r="D44" s="1137"/>
      <c r="E44" s="1013"/>
      <c r="F44" s="1013"/>
      <c r="G44" s="1013"/>
      <c r="H44" s="1061"/>
      <c r="I44" s="1175" t="str">
        <f>INDEX(TEMPLATE_NUMBER_POINT_FHD,B44,MATCH(TEMPLATE_SPHERE,TEMPLATE_SPHERE_LIST_FOR_NOTE,0))</f>
        <v>2.11.1</v>
      </c>
      <c r="J44" s="1175" t="str">
        <f>INDEX(TEMPLATE_DATA_POINT_FHD,B44,MATCH(TEMPLATE_SPHERE,TEMPLATE_SPHERE_LIST_FOR_NOTE,0))</f>
        <v>Расходы на текущий ремонт</v>
      </c>
      <c r="K44" s="1175" t="str">
        <f>INDEX(TEMPLATE_NOTE_POINT_FHD,B44,MATCH(TEMPLATE_SPHERE,TEMPLATE_SPHERE_LIST_FOR_NOTE,0))</f>
        <v>Указываются расходы на текущий ремонт, отнесенные к общехозяйственным расходам.</v>
      </c>
      <c r="L44" s="1014" t="str">
        <f>IF(I44=0,"",I44)</f>
        <v>2.11.1</v>
      </c>
      <c r="M44" s="1014" t="str">
        <f>IF(J44=0,"",J44)</f>
        <v>Расходы на текущий ремонт</v>
      </c>
      <c r="N44" s="1014" t="str">
        <f>IF(K44=0,"",K44)</f>
        <v>Указываются расходы на текущий ремонт, отнесенные к общехозяйственным расходам.</v>
      </c>
      <c r="O44" s="1127" t="s">
        <v>2129</v>
      </c>
      <c r="P44" s="1127" t="s">
        <v>2130</v>
      </c>
      <c r="Q44" s="1127" t="s">
        <v>2129</v>
      </c>
      <c r="R44" s="1127" t="s">
        <v>2130</v>
      </c>
      <c r="S44" s="1127"/>
      <c r="T44" s="1013" t="s">
        <v>2119</v>
      </c>
      <c r="U44" s="1013" t="s">
        <v>2119</v>
      </c>
      <c r="V44" s="1013" t="s">
        <v>2119</v>
      </c>
      <c r="W44" s="1013" t="s">
        <v>2119</v>
      </c>
      <c r="X44" s="1013"/>
      <c r="Y44" s="1170"/>
      <c r="Z44" s="1016" t="s">
        <v>2131</v>
      </c>
      <c r="AA44" s="1016" t="s">
        <v>2131</v>
      </c>
      <c r="AB44" s="1016" t="s">
        <v>2131</v>
      </c>
      <c r="AC44" s="1016" t="s">
        <v>2131</v>
      </c>
      <c r="AD44" s="1016"/>
    </row>
    <row customHeight="1" ht="27">
      <c r="A45" s="1015"/>
      <c r="B45" s="1069">
        <v>28</v>
      </c>
      <c r="C45" s="1013" t="s">
        <v>2132</v>
      </c>
      <c r="D45" s="1137"/>
      <c r="E45" s="1013"/>
      <c r="F45" s="1013"/>
      <c r="G45" s="1013"/>
      <c r="H45" s="1061"/>
      <c r="I45" s="1175" t="str">
        <f>INDEX(TEMPLATE_NUMBER_POINT_FHD,B45,MATCH(TEMPLATE_SPHERE,TEMPLATE_SPHERE_LIST_FOR_NOTE,0))</f>
        <v>2.11.2</v>
      </c>
      <c r="J45" s="1175" t="str">
        <f>INDEX(TEMPLATE_DATA_POINT_FHD,B45,MATCH(TEMPLATE_SPHERE,TEMPLATE_SPHERE_LIST_FOR_NOTE,0))</f>
        <v>Расходы на капитальный ремонт</v>
      </c>
      <c r="K45" s="1175" t="str">
        <f>INDEX(TEMPLATE_NOTE_POINT_FHD,B45,MATCH(TEMPLATE_SPHERE,TEMPLATE_SPHERE_LIST_FOR_NOTE,0))</f>
        <v>Указываются расходы на капитальный ремонт, отнесенные к общехозяйственным расходам.</v>
      </c>
      <c r="L45" s="1014" t="str">
        <f>IF(I45=0,"",I45)</f>
        <v>2.11.2</v>
      </c>
      <c r="M45" s="1014" t="str">
        <f>IF(J45=0,"",J45)</f>
        <v>Расходы на капитальный ремонт</v>
      </c>
      <c r="N45" s="1014" t="str">
        <f>IF(K45=0,"",K45)</f>
        <v>Указываются расходы на капитальный ремонт, отнесенные к общехозяйственным расходам.</v>
      </c>
      <c r="O45" s="1127" t="s">
        <v>2133</v>
      </c>
      <c r="P45" s="1127" t="s">
        <v>2134</v>
      </c>
      <c r="Q45" s="1127" t="s">
        <v>2133</v>
      </c>
      <c r="R45" s="1127" t="s">
        <v>2134</v>
      </c>
      <c r="S45" s="1127"/>
      <c r="T45" s="1013" t="s">
        <v>2123</v>
      </c>
      <c r="U45" s="1013" t="s">
        <v>2123</v>
      </c>
      <c r="V45" s="1013" t="s">
        <v>2123</v>
      </c>
      <c r="W45" s="1013" t="s">
        <v>2123</v>
      </c>
      <c r="X45" s="1013"/>
      <c r="Y45" s="1170"/>
      <c r="Z45" s="1016" t="s">
        <v>2135</v>
      </c>
      <c r="AA45" s="1016" t="s">
        <v>2135</v>
      </c>
      <c r="AB45" s="1016" t="s">
        <v>2135</v>
      </c>
      <c r="AC45" s="1016" t="s">
        <v>2135</v>
      </c>
      <c r="AD45" s="1016"/>
    </row>
    <row customHeight="1" ht="54">
      <c r="A46" s="1015"/>
      <c r="B46" s="1069">
        <v>29</v>
      </c>
      <c r="C46" s="1013">
        <v>15</v>
      </c>
      <c r="D46" s="1137"/>
      <c r="E46" s="1013"/>
      <c r="F46" s="1013"/>
      <c r="G46" s="1013"/>
      <c r="H46" s="1061"/>
      <c r="I46" s="1175" t="str">
        <f>INDEX(TEMPLATE_NUMBER_POINT_FHD,B46,MATCH(TEMPLATE_SPHERE,TEMPLATE_SPHERE_LIST_FOR_NOTE,0))</f>
        <v>2.12</v>
      </c>
      <c r="J46" s="1175" t="str">
        <f>INDEX(TEMPLATE_DATA_POINT_FHD,B46,MATCH(TEMPLATE_SPHERE,TEMPLATE_SPHERE_LIST_FOR_NOTE,0))</f>
        <v>Расходы на капитальный и текущий ремонт основных средств</v>
      </c>
      <c r="K46" s="117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014" t="str">
        <f>IF(I46=0,"",I46)</f>
        <v>2.12</v>
      </c>
      <c r="M46" s="1014" t="str">
        <f>IF(J46=0,"",J46)</f>
        <v>Расходы на капитальный и текущий ремонт основных средств</v>
      </c>
      <c r="N46" s="101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127" t="s">
        <v>2136</v>
      </c>
      <c r="P46" s="1127" t="s">
        <v>2114</v>
      </c>
      <c r="Q46" s="1127" t="s">
        <v>2136</v>
      </c>
      <c r="R46" s="1127" t="s">
        <v>2114</v>
      </c>
      <c r="S46" s="1127"/>
      <c r="T46" s="101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1013" t="s">
        <v>2137</v>
      </c>
      <c r="V46" s="1013" t="s">
        <v>2137</v>
      </c>
      <c r="W46" s="1013" t="s">
        <v>2137</v>
      </c>
      <c r="X46" s="1013"/>
      <c r="Y46" s="1170"/>
      <c r="Z46" s="1016" t="s">
        <v>2138</v>
      </c>
      <c r="AA46" s="1016" t="s">
        <v>2139</v>
      </c>
      <c r="AB46" s="1016" t="s">
        <v>2139</v>
      </c>
      <c r="AC46" s="1016" t="s">
        <v>2139</v>
      </c>
      <c r="AD46" s="1016"/>
    </row>
    <row customHeight="1" ht="54">
      <c r="A47" s="1015"/>
      <c r="B47" s="1069">
        <v>30</v>
      </c>
      <c r="C47" s="1013" t="s">
        <v>2140</v>
      </c>
      <c r="D47" s="1137"/>
      <c r="E47" s="1013"/>
      <c r="F47" s="1013"/>
      <c r="G47" s="1013"/>
      <c r="H47" s="1061"/>
      <c r="I47" s="1175" t="str">
        <f>INDEX(TEMPLATE_NUMBER_POINT_FHD,B47,MATCH(TEMPLATE_SPHERE,TEMPLATE_SPHERE_LIST_FOR_NOTE,0))</f>
        <v>2.12.1</v>
      </c>
      <c r="J47" s="117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175">
        <f>INDEX(TEMPLATE_NOTE_POINT_FHD,B47,MATCH(TEMPLATE_SPHERE,TEMPLATE_SPHERE_LIST_FOR_NOTE,0))</f>
        <v>0</v>
      </c>
      <c r="L47" s="1014" t="str">
        <f>IF(I47=0,"",I47)</f>
        <v>2.12.1</v>
      </c>
      <c r="M47" s="101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014" t="str">
        <f>IF(K47=0,"",K47)</f>
        <v/>
      </c>
      <c r="O47" s="1127" t="s">
        <v>2141</v>
      </c>
      <c r="P47" s="1127" t="s">
        <v>2118</v>
      </c>
      <c r="Q47" s="1127" t="s">
        <v>2141</v>
      </c>
      <c r="R47" s="1127" t="s">
        <v>2118</v>
      </c>
      <c r="S47" s="1127"/>
      <c r="T47" s="1013" t="s">
        <v>2142</v>
      </c>
      <c r="U47" s="1013" t="s">
        <v>2142</v>
      </c>
      <c r="V47" s="1013" t="s">
        <v>2142</v>
      </c>
      <c r="W47" s="1013" t="s">
        <v>2142</v>
      </c>
      <c r="X47" s="1013"/>
      <c r="Y47" s="1170"/>
      <c r="Z47" s="1016"/>
      <c r="AA47" s="1019"/>
      <c r="AB47" s="1019"/>
      <c r="AC47" s="1019"/>
      <c r="AD47" s="1016"/>
    </row>
    <row customHeight="1" ht="54">
      <c r="A48" s="1015"/>
      <c r="B48" s="1069">
        <v>31</v>
      </c>
      <c r="C48" s="1013">
        <v>16</v>
      </c>
      <c r="D48" s="1137"/>
      <c r="E48" s="1013"/>
      <c r="F48" s="1013"/>
      <c r="G48" s="1013"/>
      <c r="H48" s="1061"/>
      <c r="I48" s="1175">
        <f>INDEX(TEMPLATE_NUMBER_POINT_FHD,B48,MATCH(TEMPLATE_SPHERE,TEMPLATE_SPHERE_LIST_FOR_NOTE,0))</f>
        <v>0</v>
      </c>
      <c r="J48" s="1175">
        <f>INDEX(TEMPLATE_DATA_POINT_FHD,B48,MATCH(TEMPLATE_SPHERE,TEMPLATE_SPHERE_LIST_FOR_NOTE,0))</f>
        <v>0</v>
      </c>
      <c r="K48" s="1175">
        <f>INDEX(TEMPLATE_NOTE_POINT_FHD,B48,MATCH(TEMPLATE_SPHERE,TEMPLATE_SPHERE_LIST_FOR_NOTE,0))</f>
        <v>0</v>
      </c>
      <c r="L48" s="1014" t="str">
        <f>IF(I48=0,"",I48)</f>
        <v/>
      </c>
      <c r="M48" s="1014" t="str">
        <f>IF(J48=0,"",J48)</f>
        <v/>
      </c>
      <c r="N48" s="1014" t="str">
        <f>IF(K48=0,"",K48)</f>
        <v/>
      </c>
      <c r="O48" s="1127"/>
      <c r="P48" s="1127" t="s">
        <v>2125</v>
      </c>
      <c r="Q48" s="1127" t="s">
        <v>2143</v>
      </c>
      <c r="R48" s="1127" t="s">
        <v>2125</v>
      </c>
      <c r="S48" s="1127"/>
      <c r="T48" s="1013"/>
      <c r="U48" s="1013" t="s">
        <v>2144</v>
      </c>
      <c r="V48" s="1013" t="s">
        <v>2145</v>
      </c>
      <c r="W48" s="1013" t="s">
        <v>2145</v>
      </c>
      <c r="X48" s="1013"/>
      <c r="Y48" s="1170"/>
      <c r="Z48" s="1016"/>
      <c r="AA48" s="1019" t="s">
        <v>2139</v>
      </c>
      <c r="AB48" s="1019" t="s">
        <v>2139</v>
      </c>
      <c r="AC48" s="1019" t="s">
        <v>2139</v>
      </c>
      <c r="AD48" s="1016"/>
    </row>
    <row customHeight="1" ht="54">
      <c r="A49" s="1015"/>
      <c r="B49" s="1069">
        <v>32</v>
      </c>
      <c r="C49" s="1013" t="s">
        <v>2146</v>
      </c>
      <c r="D49" s="1137"/>
      <c r="E49" s="1013"/>
      <c r="F49" s="1013"/>
      <c r="G49" s="1013"/>
      <c r="H49" s="1061"/>
      <c r="I49" s="1175">
        <f>INDEX(TEMPLATE_NUMBER_POINT_FHD,B49,MATCH(TEMPLATE_SPHERE,TEMPLATE_SPHERE_LIST_FOR_NOTE,0))</f>
        <v>0</v>
      </c>
      <c r="J49" s="1175">
        <f>INDEX(TEMPLATE_DATA_POINT_FHD,B49,MATCH(TEMPLATE_SPHERE,TEMPLATE_SPHERE_LIST_FOR_NOTE,0))</f>
        <v>0</v>
      </c>
      <c r="K49" s="1175">
        <f>INDEX(TEMPLATE_NOTE_POINT_FHD,B49,MATCH(TEMPLATE_SPHERE,TEMPLATE_SPHERE_LIST_FOR_NOTE,0))</f>
        <v>0</v>
      </c>
      <c r="L49" s="1014" t="str">
        <f>IF(I49=0,"",I49)</f>
        <v/>
      </c>
      <c r="M49" s="1014" t="str">
        <f>IF(J49=0,"",J49)</f>
        <v/>
      </c>
      <c r="N49" s="1014" t="str">
        <f>IF(K49=0,"",K49)</f>
        <v/>
      </c>
      <c r="O49" s="1127"/>
      <c r="P49" s="1127" t="s">
        <v>2129</v>
      </c>
      <c r="Q49" s="1127" t="s">
        <v>2147</v>
      </c>
      <c r="R49" s="1127" t="s">
        <v>2129</v>
      </c>
      <c r="S49" s="1127"/>
      <c r="T49" s="1013"/>
      <c r="U49" s="1013" t="s">
        <v>2142</v>
      </c>
      <c r="V49" s="1013" t="s">
        <v>2142</v>
      </c>
      <c r="W49" s="1013" t="s">
        <v>2142</v>
      </c>
      <c r="X49" s="1013"/>
      <c r="Y49" s="1170"/>
      <c r="Z49" s="1016"/>
      <c r="AA49" s="1019"/>
      <c r="AB49" s="1019"/>
      <c r="AC49" s="1019"/>
      <c r="AD49" s="1016"/>
    </row>
    <row customHeight="1" ht="126">
      <c r="A50" s="1015"/>
      <c r="B50" s="1069">
        <v>33</v>
      </c>
      <c r="C50" s="1013">
        <v>17</v>
      </c>
      <c r="D50" s="1137"/>
      <c r="E50" s="1013"/>
      <c r="F50" s="1013"/>
      <c r="G50" s="1013"/>
      <c r="H50" s="1061"/>
      <c r="I50" s="1175" t="str">
        <f>INDEX(TEMPLATE_NUMBER_POINT_FHD,B50,MATCH(TEMPLATE_SPHERE,TEMPLATE_SPHERE_LIST_FOR_NOTE,0))</f>
        <v>2.13</v>
      </c>
      <c r="J50" s="117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17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1014" t="str">
        <f>IF(I50=0,"",I50)</f>
        <v>2.13</v>
      </c>
      <c r="M50" s="101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101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127" t="s">
        <v>2143</v>
      </c>
      <c r="P50" s="1127" t="s">
        <v>2136</v>
      </c>
      <c r="Q50" s="1127" t="s">
        <v>2148</v>
      </c>
      <c r="R50" s="1127" t="s">
        <v>2136</v>
      </c>
      <c r="S50" s="1127"/>
      <c r="T50" s="1013" t="s">
        <v>2149</v>
      </c>
      <c r="U50" s="1013" t="s">
        <v>2150</v>
      </c>
      <c r="V50" s="1013" t="s">
        <v>2151</v>
      </c>
      <c r="W50" s="1013" t="s">
        <v>2152</v>
      </c>
      <c r="X50" s="1013"/>
      <c r="Y50" s="1170"/>
      <c r="Z50" s="1016" t="s">
        <v>2153</v>
      </c>
      <c r="AA50" s="1019" t="s">
        <v>2154</v>
      </c>
      <c r="AB50" s="1019" t="s">
        <v>2154</v>
      </c>
      <c r="AC50" s="1019" t="s">
        <v>2154</v>
      </c>
      <c r="AD50" s="1016"/>
    </row>
    <row customHeight="1" ht="27">
      <c r="A51" s="1015"/>
      <c r="B51" s="1069">
        <v>34</v>
      </c>
      <c r="C51" s="1013" t="s">
        <v>2155</v>
      </c>
      <c r="D51" s="1137"/>
      <c r="E51" s="1013"/>
      <c r="F51" s="1013"/>
      <c r="G51" s="1013"/>
      <c r="H51" s="1061"/>
      <c r="I51" s="1175" t="str">
        <f>INDEX(TEMPLATE_NUMBER_POINT_FHD,B51,MATCH(TEMPLATE_SPHERE,TEMPLATE_SPHERE_LIST_FOR_NOTE,0))</f>
        <v>3</v>
      </c>
      <c r="J51" s="117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175">
        <f>INDEX(TEMPLATE_NOTE_POINT_FHD,B51,MATCH(TEMPLATE_SPHERE,TEMPLATE_SPHERE_LIST_FOR_NOTE,0))</f>
        <v>0</v>
      </c>
      <c r="L51" s="1014" t="str">
        <f>IF(I51=0,"",I51)</f>
        <v>3</v>
      </c>
      <c r="M51" s="1014" t="str">
        <f>IF(J51=0,"",J51)</f>
        <v>Валовая прибыль (убытки) от реализации товаров и оказания услуг по регулируемому виду деятельности</v>
      </c>
      <c r="N51" s="1014" t="str">
        <f>IF(K51=0,"",K51)</f>
        <v/>
      </c>
      <c r="O51" s="1127" t="s">
        <v>93</v>
      </c>
      <c r="P51" s="1127"/>
      <c r="Q51" s="1127"/>
      <c r="R51" s="1127"/>
      <c r="S51" s="1127"/>
      <c r="T51" s="1013" t="s">
        <v>2156</v>
      </c>
      <c r="U51" s="1013"/>
      <c r="V51" s="1013"/>
      <c r="W51" s="1013"/>
      <c r="X51" s="1013"/>
      <c r="Y51" s="1170"/>
      <c r="Z51" s="1016"/>
      <c r="AA51" s="1019"/>
      <c r="AB51" s="1019"/>
      <c r="AC51" s="1019"/>
      <c r="AD51" s="1016"/>
    </row>
    <row customHeight="1" ht="36">
      <c r="A52" s="1015"/>
      <c r="B52" s="1069">
        <v>35</v>
      </c>
      <c r="C52" s="1013" t="s">
        <v>2049</v>
      </c>
      <c r="D52" s="1137" t="s">
        <v>2049</v>
      </c>
      <c r="E52" s="1013" t="s">
        <v>2049</v>
      </c>
      <c r="F52" s="1013" t="s">
        <v>2049</v>
      </c>
      <c r="G52" s="1013"/>
      <c r="H52" s="1061"/>
      <c r="I52" s="1175" t="str">
        <f>INDEX(TEMPLATE_NUMBER_POINT_FHD,B52,MATCH(TEMPLATE_SPHERE,TEMPLATE_SPHERE_LIST_FOR_NOTE,0))</f>
        <v>4</v>
      </c>
      <c r="J52" s="1175" t="str">
        <f>INDEX(TEMPLATE_DATA_POINT_FHD,B52,MATCH(TEMPLATE_SPHERE,TEMPLATE_SPHERE_LIST_FOR_NOTE,0))</f>
        <v>Чистая прибыль, полученная от регулируемого вида деятельности, в том числе:</v>
      </c>
      <c r="K52" s="1175" t="str">
        <f>INDEX(TEMPLATE_NOTE_POINT_FHD,B52,MATCH(TEMPLATE_SPHERE,TEMPLATE_SPHERE_LIST_FOR_NOTE,0))</f>
        <v>Указывается общая сумма чистой прибыли, полученной от регулируемого вида деятельности.</v>
      </c>
      <c r="L52" s="1014" t="str">
        <f>IF(I52=0,"",I52)</f>
        <v>4</v>
      </c>
      <c r="M52" s="1014" t="str">
        <f>IF(J52=0,"",J52)</f>
        <v>Чистая прибыль, полученная от регулируемого вида деятельности, в том числе:</v>
      </c>
      <c r="N52" s="1014" t="str">
        <f>IF(K52=0,"",K52)</f>
        <v>Указывается общая сумма чистой прибыли, полученной от регулируемого вида деятельности.</v>
      </c>
      <c r="O52" s="1127" t="s">
        <v>94</v>
      </c>
      <c r="P52" s="1127" t="s">
        <v>93</v>
      </c>
      <c r="Q52" s="1127" t="s">
        <v>93</v>
      </c>
      <c r="R52" s="1127" t="s">
        <v>93</v>
      </c>
      <c r="S52" s="1127"/>
      <c r="T52" s="1013" t="s">
        <v>2157</v>
      </c>
      <c r="U52" s="1013" t="s">
        <v>2158</v>
      </c>
      <c r="V52" s="1013" t="s">
        <v>2159</v>
      </c>
      <c r="W52" s="1013" t="s">
        <v>2160</v>
      </c>
      <c r="X52" s="1013"/>
      <c r="Y52" s="1170"/>
      <c r="Z52" s="1016" t="s">
        <v>764</v>
      </c>
      <c r="AA52" s="1019" t="s">
        <v>764</v>
      </c>
      <c r="AB52" s="1019" t="s">
        <v>764</v>
      </c>
      <c r="AC52" s="1019" t="s">
        <v>764</v>
      </c>
      <c r="AD52" s="1016"/>
    </row>
    <row customHeight="1" ht="36">
      <c r="A53" s="1015"/>
      <c r="B53" s="1069">
        <v>36</v>
      </c>
      <c r="C53" s="1013">
        <v>1</v>
      </c>
      <c r="D53" s="1137"/>
      <c r="E53" s="1013"/>
      <c r="F53" s="1013"/>
      <c r="G53" s="1013"/>
      <c r="H53" s="1061"/>
      <c r="I53" s="1175" t="str">
        <f>INDEX(TEMPLATE_NUMBER_POINT_FHD,B53,MATCH(TEMPLATE_SPHERE,TEMPLATE_SPHERE_LIST_FOR_NOTE,0))</f>
        <v>4.1</v>
      </c>
      <c r="J53" s="117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175">
        <f>INDEX(TEMPLATE_NOTE_POINT_FHD,B53,MATCH(TEMPLATE_SPHERE,TEMPLATE_SPHERE_LIST_FOR_NOTE,0))</f>
        <v>0</v>
      </c>
      <c r="L53" s="1014" t="str">
        <f>IF(I53=0,"",I53)</f>
        <v>4.1</v>
      </c>
      <c r="M53" s="101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1014" t="str">
        <f>IF(K53=0,"",K53)</f>
        <v/>
      </c>
      <c r="O53" s="1127" t="s">
        <v>768</v>
      </c>
      <c r="P53" s="1127" t="s">
        <v>336</v>
      </c>
      <c r="Q53" s="1127" t="s">
        <v>336</v>
      </c>
      <c r="R53" s="1127" t="s">
        <v>336</v>
      </c>
      <c r="S53" s="1127"/>
      <c r="T53" s="1013" t="s">
        <v>2161</v>
      </c>
      <c r="U53" s="1013" t="s">
        <v>2161</v>
      </c>
      <c r="V53" s="1013" t="s">
        <v>2161</v>
      </c>
      <c r="W53" s="1013" t="s">
        <v>2161</v>
      </c>
      <c r="X53" s="1013"/>
      <c r="Y53" s="1170"/>
      <c r="Z53" s="1016"/>
      <c r="AA53" s="1019"/>
      <c r="AB53" s="1016"/>
      <c r="AC53" s="1016"/>
      <c r="AD53" s="1016"/>
    </row>
    <row customHeight="1" ht="18">
      <c r="A54" s="1015"/>
      <c r="B54" s="1069">
        <v>37</v>
      </c>
      <c r="C54" s="1013" t="s">
        <v>2055</v>
      </c>
      <c r="D54" s="1137" t="s">
        <v>2055</v>
      </c>
      <c r="E54" s="1013" t="s">
        <v>2055</v>
      </c>
      <c r="F54" s="1013" t="s">
        <v>2055</v>
      </c>
      <c r="G54" s="1013"/>
      <c r="H54" s="1061"/>
      <c r="I54" s="1175" t="str">
        <f>INDEX(TEMPLATE_NUMBER_POINT_FHD,B54,MATCH(TEMPLATE_SPHERE,TEMPLATE_SPHERE_LIST_FOR_NOTE,0))</f>
        <v>5</v>
      </c>
      <c r="J54" s="1175" t="str">
        <f>INDEX(TEMPLATE_DATA_POINT_FHD,B54,MATCH(TEMPLATE_SPHERE,TEMPLATE_SPHERE_LIST_FOR_NOTE,0))</f>
        <v>Изменение стоимости основных фондов, в том числе:</v>
      </c>
      <c r="K54" s="1175" t="str">
        <f>INDEX(TEMPLATE_NOTE_POINT_FHD,B54,MATCH(TEMPLATE_SPHERE,TEMPLATE_SPHERE_LIST_FOR_NOTE,0))</f>
        <v>Указывается общее изменение стоимости основных фондов.</v>
      </c>
      <c r="L54" s="1014" t="str">
        <f>IF(I54=0,"",I54)</f>
        <v>5</v>
      </c>
      <c r="M54" s="1014" t="str">
        <f>IF(J54=0,"",J54)</f>
        <v>Изменение стоимости основных фондов, в том числе:</v>
      </c>
      <c r="N54" s="1014" t="str">
        <f>IF(K54=0,"",K54)</f>
        <v>Указывается общее изменение стоимости основных фондов.</v>
      </c>
      <c r="O54" s="1127" t="s">
        <v>114</v>
      </c>
      <c r="P54" s="1127" t="s">
        <v>94</v>
      </c>
      <c r="Q54" s="1127" t="s">
        <v>94</v>
      </c>
      <c r="R54" s="1127" t="s">
        <v>94</v>
      </c>
      <c r="S54" s="1127"/>
      <c r="T54" s="1013" t="s">
        <v>766</v>
      </c>
      <c r="U54" s="1013" t="s">
        <v>766</v>
      </c>
      <c r="V54" s="1013" t="s">
        <v>766</v>
      </c>
      <c r="W54" s="1013" t="s">
        <v>766</v>
      </c>
      <c r="X54" s="1013"/>
      <c r="Y54" s="1170"/>
      <c r="Z54" s="1016" t="s">
        <v>767</v>
      </c>
      <c r="AA54" s="1016" t="s">
        <v>767</v>
      </c>
      <c r="AB54" s="1016" t="s">
        <v>767</v>
      </c>
      <c r="AC54" s="1016" t="s">
        <v>767</v>
      </c>
      <c r="AD54" s="1016"/>
    </row>
    <row customHeight="1" ht="36">
      <c r="A55" s="1015"/>
      <c r="B55" s="1069">
        <v>38</v>
      </c>
      <c r="C55" s="1013">
        <v>1</v>
      </c>
      <c r="D55" s="1137"/>
      <c r="E55" s="1013"/>
      <c r="F55" s="1013"/>
      <c r="G55" s="1013"/>
      <c r="H55" s="1061"/>
      <c r="I55" s="1175" t="str">
        <f>INDEX(TEMPLATE_NUMBER_POINT_FHD,B55,MATCH(TEMPLATE_SPHERE,TEMPLATE_SPHERE_LIST_FOR_NOTE,0))</f>
        <v>5.1</v>
      </c>
      <c r="J55" s="1175" t="str">
        <f>INDEX(TEMPLATE_DATA_POINT_FHD,B55,MATCH(TEMPLATE_SPHERE,TEMPLATE_SPHERE_LIST_FOR_NOTE,0))</f>
        <v>Изменение стоимости основных фондов за счет:</v>
      </c>
      <c r="K55" s="117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1014" t="str">
        <f>IF(I55=0,"",I55)</f>
        <v>5.1</v>
      </c>
      <c r="M55" s="1014" t="str">
        <f>IF(J55=0,"",J55)</f>
        <v>Изменение стоимости основных фондов за счет:</v>
      </c>
      <c r="N55" s="1014" t="str">
        <f>IF(K55=0,"",K55)</f>
        <v>Указываются общее изменение стоимости основных фондов за счет их ввода в эксплуатацию и вывода из эксплуатации.</v>
      </c>
      <c r="O55" s="1127" t="s">
        <v>325</v>
      </c>
      <c r="P55" s="1127" t="s">
        <v>768</v>
      </c>
      <c r="Q55" s="1127" t="s">
        <v>768</v>
      </c>
      <c r="R55" s="1127" t="s">
        <v>768</v>
      </c>
      <c r="S55" s="1127"/>
      <c r="T55" s="101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1013" t="s">
        <v>2162</v>
      </c>
      <c r="V55" s="1013" t="s">
        <v>2162</v>
      </c>
      <c r="W55" s="1013" t="s">
        <v>2162</v>
      </c>
      <c r="X55" s="1013"/>
      <c r="Y55" s="1170"/>
      <c r="Z55" s="1016" t="s">
        <v>2163</v>
      </c>
      <c r="AA55" s="1016" t="s">
        <v>2163</v>
      </c>
      <c r="AB55" s="1016" t="s">
        <v>2163</v>
      </c>
      <c r="AC55" s="1016" t="s">
        <v>2163</v>
      </c>
      <c r="AD55" s="1016"/>
    </row>
    <row customHeight="1" ht="27">
      <c r="A56" s="1015"/>
      <c r="B56" s="1069">
        <v>39</v>
      </c>
      <c r="C56" s="1013" t="s">
        <v>1036</v>
      </c>
      <c r="D56" s="1137"/>
      <c r="E56" s="1013"/>
      <c r="F56" s="1013"/>
      <c r="G56" s="1013"/>
      <c r="H56" s="1061"/>
      <c r="I56" s="1175" t="str">
        <f>INDEX(TEMPLATE_NUMBER_POINT_FHD,B56,MATCH(TEMPLATE_SPHERE,TEMPLATE_SPHERE_LIST_FOR_NOTE,0))</f>
        <v>5.1.1</v>
      </c>
      <c r="J56" s="1175" t="str">
        <f>INDEX(TEMPLATE_DATA_POINT_FHD,B56,MATCH(TEMPLATE_SPHERE,TEMPLATE_SPHERE_LIST_FOR_NOTE,0))</f>
        <v>Изменения стоимости основных фондов за счет их ввода в эксплуатацию</v>
      </c>
      <c r="K56" s="1175" t="str">
        <f>INDEX(TEMPLATE_NOTE_POINT_FHD,B56,MATCH(TEMPLATE_SPHERE,TEMPLATE_SPHERE_LIST_FOR_NOTE,0))</f>
        <v>Указываются изменение стоимости основных фондов за счет их ввода в эксплуатацию.</v>
      </c>
      <c r="L56" s="1014" t="str">
        <f>IF(I56=0,"",I56)</f>
        <v>5.1.1</v>
      </c>
      <c r="M56" s="1014" t="str">
        <f>IF(J56=0,"",J56)</f>
        <v>Изменения стоимости основных фондов за счет их ввода в эксплуатацию</v>
      </c>
      <c r="N56" s="1014" t="str">
        <f>IF(K56=0,"",K56)</f>
        <v>Указываются изменение стоимости основных фондов за счет их ввода в эксплуатацию.</v>
      </c>
      <c r="O56" s="1127" t="s">
        <v>1161</v>
      </c>
      <c r="P56" s="1127" t="s">
        <v>771</v>
      </c>
      <c r="Q56" s="1127" t="s">
        <v>771</v>
      </c>
      <c r="R56" s="1127" t="s">
        <v>771</v>
      </c>
      <c r="S56" s="1127"/>
      <c r="T56" s="101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1013" t="s">
        <v>2164</v>
      </c>
      <c r="V56" s="1013" t="s">
        <v>2164</v>
      </c>
      <c r="W56" s="1013" t="s">
        <v>2164</v>
      </c>
      <c r="X56" s="1013"/>
      <c r="Y56" s="1170"/>
      <c r="Z56" s="1016" t="s">
        <v>773</v>
      </c>
      <c r="AA56" s="1016" t="s">
        <v>773</v>
      </c>
      <c r="AB56" s="1016" t="s">
        <v>773</v>
      </c>
      <c r="AC56" s="1016" t="s">
        <v>773</v>
      </c>
      <c r="AD56" s="1016"/>
    </row>
    <row customHeight="1" ht="27">
      <c r="A57" s="1015"/>
      <c r="B57" s="1069">
        <v>40</v>
      </c>
      <c r="C57" s="1013" t="s">
        <v>1038</v>
      </c>
      <c r="D57" s="1137"/>
      <c r="E57" s="1013"/>
      <c r="F57" s="1013"/>
      <c r="G57" s="1013"/>
      <c r="H57" s="1061"/>
      <c r="I57" s="1175" t="str">
        <f>INDEX(TEMPLATE_NUMBER_POINT_FHD,B57,MATCH(TEMPLATE_SPHERE,TEMPLATE_SPHERE_LIST_FOR_NOTE,0))</f>
        <v>5.1.2</v>
      </c>
      <c r="J57" s="1175" t="str">
        <f>INDEX(TEMPLATE_DATA_POINT_FHD,B57,MATCH(TEMPLATE_SPHERE,TEMPLATE_SPHERE_LIST_FOR_NOTE,0))</f>
        <v>Изменения стоимости основных фондов за счет их вывода в эксплуатацию</v>
      </c>
      <c r="K57" s="1175" t="str">
        <f>INDEX(TEMPLATE_NOTE_POINT_FHD,B57,MATCH(TEMPLATE_SPHERE,TEMPLATE_SPHERE_LIST_FOR_NOTE,0))</f>
        <v>Указываются изменение стоимости основных фондов за счет их вывода из эксплуатации.</v>
      </c>
      <c r="L57" s="1014" t="str">
        <f>IF(I57=0,"",I57)</f>
        <v>5.1.2</v>
      </c>
      <c r="M57" s="1014" t="str">
        <f>IF(J57=0,"",J57)</f>
        <v>Изменения стоимости основных фондов за счет их вывода в эксплуатацию</v>
      </c>
      <c r="N57" s="1014" t="str">
        <f>IF(K57=0,"",K57)</f>
        <v>Указываются изменение стоимости основных фондов за счет их вывода из эксплуатации.</v>
      </c>
      <c r="O57" s="1127" t="s">
        <v>2165</v>
      </c>
      <c r="P57" s="1127" t="s">
        <v>774</v>
      </c>
      <c r="Q57" s="1127" t="s">
        <v>774</v>
      </c>
      <c r="R57" s="1127" t="s">
        <v>774</v>
      </c>
      <c r="S57" s="1127"/>
      <c r="T57" s="101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1013" t="s">
        <v>2166</v>
      </c>
      <c r="V57" s="1013" t="s">
        <v>2166</v>
      </c>
      <c r="W57" s="1013" t="s">
        <v>2166</v>
      </c>
      <c r="X57" s="1013"/>
      <c r="Y57" s="1170"/>
      <c r="Z57" s="1016" t="s">
        <v>776</v>
      </c>
      <c r="AA57" s="1016" t="s">
        <v>776</v>
      </c>
      <c r="AB57" s="1016" t="s">
        <v>776</v>
      </c>
      <c r="AC57" s="1016" t="s">
        <v>776</v>
      </c>
      <c r="AD57" s="1016"/>
    </row>
    <row customHeight="1" ht="18">
      <c r="A58" s="1015"/>
      <c r="B58" s="1069">
        <v>41</v>
      </c>
      <c r="C58" s="1013">
        <v>2</v>
      </c>
      <c r="D58" s="1137"/>
      <c r="E58" s="1013"/>
      <c r="F58" s="1013"/>
      <c r="G58" s="1013"/>
      <c r="H58" s="1061"/>
      <c r="I58" s="1175" t="str">
        <f>INDEX(TEMPLATE_NUMBER_POINT_FHD,B58,MATCH(TEMPLATE_SPHERE,TEMPLATE_SPHERE_LIST_FOR_NOTE,0))</f>
        <v>5.2</v>
      </c>
      <c r="J58" s="1175" t="str">
        <f>INDEX(TEMPLATE_DATA_POINT_FHD,B58,MATCH(TEMPLATE_SPHERE,TEMPLATE_SPHERE_LIST_FOR_NOTE,0))</f>
        <v>Изменение стоимости основных фондов за счет их переоценки</v>
      </c>
      <c r="K58" s="1175">
        <f>INDEX(TEMPLATE_NOTE_POINT_FHD,B58,MATCH(TEMPLATE_SPHERE,TEMPLATE_SPHERE_LIST_FOR_NOTE,0))</f>
        <v>0</v>
      </c>
      <c r="L58" s="1014" t="str">
        <f>IF(I58=0,"",I58)</f>
        <v>5.2</v>
      </c>
      <c r="M58" s="1014" t="str">
        <f>IF(J58=0,"",J58)</f>
        <v>Изменение стоимости основных фондов за счет их переоценки</v>
      </c>
      <c r="N58" s="1014" t="str">
        <f>IF(K58=0,"",K58)</f>
        <v/>
      </c>
      <c r="O58" s="1127" t="s">
        <v>896</v>
      </c>
      <c r="P58" s="1127" t="s">
        <v>810</v>
      </c>
      <c r="Q58" s="1127" t="s">
        <v>810</v>
      </c>
      <c r="R58" s="1127" t="s">
        <v>810</v>
      </c>
      <c r="S58" s="1127"/>
      <c r="T58" s="101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1013" t="s">
        <v>2167</v>
      </c>
      <c r="V58" s="1013" t="s">
        <v>2167</v>
      </c>
      <c r="W58" s="1013" t="s">
        <v>2167</v>
      </c>
      <c r="X58" s="1013"/>
      <c r="Y58" s="1170"/>
      <c r="Z58" s="1016"/>
      <c r="AA58" s="1019"/>
      <c r="AB58" s="1016"/>
      <c r="AC58" s="1016"/>
      <c r="AD58" s="1016"/>
    </row>
    <row customHeight="1" ht="36">
      <c r="A59" s="1015"/>
      <c r="B59" s="1069">
        <v>42</v>
      </c>
      <c r="C59" s="1013">
        <v>3</v>
      </c>
      <c r="D59" s="1137" t="s">
        <v>2155</v>
      </c>
      <c r="E59" s="1013" t="s">
        <v>2155</v>
      </c>
      <c r="F59" s="1013" t="s">
        <v>2155</v>
      </c>
      <c r="G59" s="1013"/>
      <c r="H59" s="1061"/>
      <c r="I59" s="1175">
        <f>INDEX(TEMPLATE_NUMBER_POINT_FHD,B59,MATCH(TEMPLATE_SPHERE,TEMPLATE_SPHERE_LIST_FOR_NOTE,0))</f>
        <v>0</v>
      </c>
      <c r="J59" s="1175">
        <f>INDEX(TEMPLATE_DATA_POINT_FHD,B59,MATCH(TEMPLATE_SPHERE,TEMPLATE_SPHERE_LIST_FOR_NOTE,0))</f>
        <v>0</v>
      </c>
      <c r="K59" s="1175">
        <f>INDEX(TEMPLATE_NOTE_POINT_FHD,B59,MATCH(TEMPLATE_SPHERE,TEMPLATE_SPHERE_LIST_FOR_NOTE,0))</f>
        <v>0</v>
      </c>
      <c r="L59" s="1014" t="str">
        <f>IF(I59=0,"",I59)</f>
        <v/>
      </c>
      <c r="M59" s="1014" t="str">
        <f>IF(J59=0,"",J59)</f>
        <v/>
      </c>
      <c r="N59" s="1014" t="str">
        <f>IF(K59=0,"",K59)</f>
        <v/>
      </c>
      <c r="O59" s="1127"/>
      <c r="P59" s="1127" t="s">
        <v>114</v>
      </c>
      <c r="Q59" s="1127" t="s">
        <v>114</v>
      </c>
      <c r="R59" s="1127" t="s">
        <v>114</v>
      </c>
      <c r="S59" s="1127"/>
      <c r="T59" s="1013"/>
      <c r="U59" s="1013" t="s">
        <v>2168</v>
      </c>
      <c r="V59" s="1013" t="s">
        <v>2169</v>
      </c>
      <c r="W59" s="1013" t="s">
        <v>2170</v>
      </c>
      <c r="X59" s="1013"/>
      <c r="Y59" s="1170"/>
      <c r="Z59" s="1016"/>
      <c r="AA59" s="1019"/>
      <c r="AB59" s="1016"/>
      <c r="AC59" s="1016"/>
      <c r="AD59" s="1016"/>
    </row>
    <row customHeight="1" ht="81">
      <c r="A60" s="1015"/>
      <c r="B60" s="1069">
        <v>43</v>
      </c>
      <c r="C60" s="1013" t="s">
        <v>2171</v>
      </c>
      <c r="D60" s="1137" t="s">
        <v>2171</v>
      </c>
      <c r="E60" s="1013" t="s">
        <v>2171</v>
      </c>
      <c r="F60" s="1013" t="s">
        <v>2171</v>
      </c>
      <c r="G60" s="1013"/>
      <c r="H60" s="1061"/>
      <c r="I60" s="1175" t="str">
        <f>INDEX(TEMPLATE_NUMBER_POINT_FHD,B60,MATCH(TEMPLATE_SPHERE,TEMPLATE_SPHERE_LIST_FOR_NOTE,0))</f>
        <v>6</v>
      </c>
      <c r="J60" s="1175" t="str">
        <f>INDEX(TEMPLATE_DATA_POINT_FHD,B60,MATCH(TEMPLATE_SPHERE,TEMPLATE_SPHERE_LIST_FOR_NOTE,0))</f>
        <v>Годовая бухгалтерская (финансовая) отчетность, включая бухгалтерский баланс и приложения к нему</v>
      </c>
      <c r="K60" s="117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1014" t="str">
        <f>IF(I60=0,"",I60)</f>
        <v>6</v>
      </c>
      <c r="M60" s="1014" t="str">
        <f>IF(J60=0,"",J60)</f>
        <v>Годовая бухгалтерская (финансовая) отчетность, включая бухгалтерский баланс и приложения к нему</v>
      </c>
      <c r="N60" s="101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127" t="s">
        <v>95</v>
      </c>
      <c r="P60" s="1127" t="s">
        <v>95</v>
      </c>
      <c r="Q60" s="1127" t="s">
        <v>95</v>
      </c>
      <c r="R60" s="1127" t="s">
        <v>95</v>
      </c>
      <c r="S60" s="1127"/>
      <c r="T60" s="1013" t="s">
        <v>644</v>
      </c>
      <c r="U60" s="1013" t="s">
        <v>644</v>
      </c>
      <c r="V60" s="1013" t="s">
        <v>644</v>
      </c>
      <c r="W60" s="1013" t="s">
        <v>644</v>
      </c>
      <c r="X60" s="1013"/>
      <c r="Y60" s="1170"/>
      <c r="Z60" s="1016" t="s">
        <v>2172</v>
      </c>
      <c r="AA60" s="1019" t="s">
        <v>2173</v>
      </c>
      <c r="AB60" s="1016" t="s">
        <v>2174</v>
      </c>
      <c r="AC60" s="1016" t="s">
        <v>2173</v>
      </c>
      <c r="AD60" s="1016"/>
    </row>
    <row customHeight="1" ht="9">
      <c r="A61" s="1015"/>
      <c r="B61" s="1069">
        <v>44</v>
      </c>
      <c r="C61" s="1013"/>
      <c r="D61" s="1137" t="s">
        <v>2175</v>
      </c>
      <c r="E61" s="1013"/>
      <c r="F61" s="1013"/>
      <c r="G61" s="1013"/>
      <c r="H61" s="1061"/>
      <c r="I61" s="1175">
        <f>INDEX(TEMPLATE_NUMBER_POINT_FHD,B61,MATCH(TEMPLATE_SPHERE,TEMPLATE_SPHERE_LIST_FOR_NOTE,0))</f>
        <v>0</v>
      </c>
      <c r="J61" s="1175">
        <f>INDEX(TEMPLATE_DATA_POINT_FHD,B61,MATCH(TEMPLATE_SPHERE,TEMPLATE_SPHERE_LIST_FOR_NOTE,0))</f>
        <v>0</v>
      </c>
      <c r="K61" s="1175">
        <f>INDEX(TEMPLATE_NOTE_POINT_FHD,B61,MATCH(TEMPLATE_SPHERE,TEMPLATE_SPHERE_LIST_FOR_NOTE,0))</f>
        <v>0</v>
      </c>
      <c r="L61" s="1014" t="str">
        <f>IF(I61=0,"",I61)</f>
        <v/>
      </c>
      <c r="M61" s="1014" t="str">
        <f>IF(J61=0,"",J61)</f>
        <v/>
      </c>
      <c r="N61" s="1014" t="str">
        <f>IF(K61=0,"",K61)</f>
        <v/>
      </c>
      <c r="O61" s="1127"/>
      <c r="P61" s="1127" t="s">
        <v>96</v>
      </c>
      <c r="Q61" s="1127"/>
      <c r="R61" s="1127"/>
      <c r="S61" s="1127"/>
      <c r="T61" s="1013"/>
      <c r="U61" s="1013" t="s">
        <v>2176</v>
      </c>
      <c r="V61" s="1013"/>
      <c r="W61" s="1013"/>
      <c r="X61" s="1013"/>
      <c r="Y61" s="1170"/>
      <c r="Z61" s="1016"/>
      <c r="AA61" s="1019"/>
      <c r="AB61" s="1016"/>
      <c r="AC61" s="1016"/>
      <c r="AD61" s="1016"/>
    </row>
    <row customHeight="1" ht="9">
      <c r="A62" s="1015"/>
      <c r="B62" s="1069">
        <v>45</v>
      </c>
      <c r="C62" s="1013"/>
      <c r="D62" s="1137" t="s">
        <v>2177</v>
      </c>
      <c r="E62" s="1013"/>
      <c r="F62" s="1013"/>
      <c r="G62" s="1013"/>
      <c r="H62" s="1061"/>
      <c r="I62" s="1175">
        <f>INDEX(TEMPLATE_NUMBER_POINT_FHD,B62,MATCH(TEMPLATE_SPHERE,TEMPLATE_SPHERE_LIST_FOR_NOTE,0))</f>
        <v>0</v>
      </c>
      <c r="J62" s="1175">
        <f>INDEX(TEMPLATE_DATA_POINT_FHD,B62,MATCH(TEMPLATE_SPHERE,TEMPLATE_SPHERE_LIST_FOR_NOTE,0))</f>
        <v>0</v>
      </c>
      <c r="K62" s="1175">
        <f>INDEX(TEMPLATE_NOTE_POINT_FHD,B62,MATCH(TEMPLATE_SPHERE,TEMPLATE_SPHERE_LIST_FOR_NOTE,0))</f>
        <v>0</v>
      </c>
      <c r="L62" s="1014" t="str">
        <f>IF(I62=0,"",I62)</f>
        <v/>
      </c>
      <c r="M62" s="1014" t="str">
        <f>IF(J62=0,"",J62)</f>
        <v/>
      </c>
      <c r="N62" s="1014" t="str">
        <f>IF(K62=0,"",K62)</f>
        <v/>
      </c>
      <c r="O62" s="1127"/>
      <c r="P62" s="1127" t="s">
        <v>115</v>
      </c>
      <c r="Q62" s="1127"/>
      <c r="R62" s="1127"/>
      <c r="S62" s="1127"/>
      <c r="T62" s="1013"/>
      <c r="U62" s="1013" t="s">
        <v>2178</v>
      </c>
      <c r="V62" s="1013"/>
      <c r="W62" s="1013"/>
      <c r="X62" s="1013"/>
      <c r="Y62" s="1170"/>
      <c r="Z62" s="1016"/>
      <c r="AA62" s="1019"/>
      <c r="AB62" s="1016"/>
      <c r="AC62" s="1016"/>
      <c r="AD62" s="1016"/>
    </row>
    <row customHeight="1" ht="18">
      <c r="A63" s="1015"/>
      <c r="B63" s="1069">
        <v>46</v>
      </c>
      <c r="C63" s="1013"/>
      <c r="D63" s="1137" t="s">
        <v>2179</v>
      </c>
      <c r="E63" s="1013"/>
      <c r="F63" s="1013"/>
      <c r="G63" s="1013"/>
      <c r="H63" s="1061"/>
      <c r="I63" s="1175">
        <f>INDEX(TEMPLATE_NUMBER_POINT_FHD,B63,MATCH(TEMPLATE_SPHERE,TEMPLATE_SPHERE_LIST_FOR_NOTE,0))</f>
        <v>0</v>
      </c>
      <c r="J63" s="1175">
        <f>INDEX(TEMPLATE_DATA_POINT_FHD,B63,MATCH(TEMPLATE_SPHERE,TEMPLATE_SPHERE_LIST_FOR_NOTE,0))</f>
        <v>0</v>
      </c>
      <c r="K63" s="1175">
        <f>INDEX(TEMPLATE_NOTE_POINT_FHD,B63,MATCH(TEMPLATE_SPHERE,TEMPLATE_SPHERE_LIST_FOR_NOTE,0))</f>
        <v>0</v>
      </c>
      <c r="L63" s="1014" t="str">
        <f>IF(I63=0,"",I63)</f>
        <v/>
      </c>
      <c r="M63" s="1014" t="str">
        <f>IF(J63=0,"",J63)</f>
        <v/>
      </c>
      <c r="N63" s="1014" t="str">
        <f>IF(K63=0,"",K63)</f>
        <v/>
      </c>
      <c r="O63" s="1127"/>
      <c r="P63" s="1127" t="s">
        <v>151</v>
      </c>
      <c r="Q63" s="1127"/>
      <c r="R63" s="1127"/>
      <c r="S63" s="1127"/>
      <c r="T63" s="1013"/>
      <c r="U63" s="1013" t="s">
        <v>2180</v>
      </c>
      <c r="V63" s="1013"/>
      <c r="W63" s="1013"/>
      <c r="X63" s="1013"/>
      <c r="Y63" s="1170"/>
      <c r="Z63" s="1016"/>
      <c r="AA63" s="1019"/>
      <c r="AB63" s="1016"/>
      <c r="AC63" s="1016"/>
      <c r="AD63" s="1016"/>
    </row>
    <row customHeight="1" ht="18">
      <c r="A64" s="1015"/>
      <c r="B64" s="1069">
        <v>47</v>
      </c>
      <c r="C64" s="1013"/>
      <c r="D64" s="1137" t="s">
        <v>2181</v>
      </c>
      <c r="E64" s="1013"/>
      <c r="F64" s="1013"/>
      <c r="G64" s="1013"/>
      <c r="H64" s="1061"/>
      <c r="I64" s="1175">
        <f>INDEX(TEMPLATE_NUMBER_POINT_FHD,B64,MATCH(TEMPLATE_SPHERE,TEMPLATE_SPHERE_LIST_FOR_NOTE,0))</f>
        <v>0</v>
      </c>
      <c r="J64" s="1175">
        <f>INDEX(TEMPLATE_DATA_POINT_FHD,B64,MATCH(TEMPLATE_SPHERE,TEMPLATE_SPHERE_LIST_FOR_NOTE,0))</f>
        <v>0</v>
      </c>
      <c r="K64" s="1175">
        <f>INDEX(TEMPLATE_NOTE_POINT_FHD,B64,MATCH(TEMPLATE_SPHERE,TEMPLATE_SPHERE_LIST_FOR_NOTE,0))</f>
        <v>0</v>
      </c>
      <c r="L64" s="1014" t="str">
        <f>IF(I64=0,"",I64)</f>
        <v/>
      </c>
      <c r="M64" s="1014" t="str">
        <f>IF(J64=0,"",J64)</f>
        <v/>
      </c>
      <c r="N64" s="1014" t="str">
        <f>IF(K64=0,"",K64)</f>
        <v/>
      </c>
      <c r="O64" s="1127"/>
      <c r="P64" s="1127" t="s">
        <v>152</v>
      </c>
      <c r="Q64" s="1127"/>
      <c r="R64" s="1127"/>
      <c r="S64" s="1127"/>
      <c r="T64" s="1013"/>
      <c r="U64" s="1013" t="s">
        <v>2182</v>
      </c>
      <c r="V64" s="1013"/>
      <c r="W64" s="1013"/>
      <c r="X64" s="1013"/>
      <c r="Y64" s="1170"/>
      <c r="Z64" s="1016"/>
      <c r="AA64" s="1019" t="s">
        <v>2183</v>
      </c>
      <c r="AB64" s="1016"/>
      <c r="AC64" s="1016"/>
      <c r="AD64" s="1016"/>
    </row>
    <row customHeight="1" ht="18">
      <c r="A65" s="1015"/>
      <c r="B65" s="1069">
        <v>48</v>
      </c>
      <c r="C65" s="1013"/>
      <c r="D65" s="1137"/>
      <c r="E65" s="1013"/>
      <c r="F65" s="1013"/>
      <c r="G65" s="1013"/>
      <c r="H65" s="1061"/>
      <c r="I65" s="1175">
        <f>INDEX(TEMPLATE_NUMBER_POINT_FHD,B65,MATCH(TEMPLATE_SPHERE,TEMPLATE_SPHERE_LIST_FOR_NOTE,0))</f>
        <v>0</v>
      </c>
      <c r="J65" s="1175">
        <f>INDEX(TEMPLATE_DATA_POINT_FHD,B65,MATCH(TEMPLATE_SPHERE,TEMPLATE_SPHERE_LIST_FOR_NOTE,0))</f>
        <v>0</v>
      </c>
      <c r="K65" s="1175">
        <f>INDEX(TEMPLATE_NOTE_POINT_FHD,B65,MATCH(TEMPLATE_SPHERE,TEMPLATE_SPHERE_LIST_FOR_NOTE,0))</f>
        <v>0</v>
      </c>
      <c r="L65" s="1014" t="str">
        <f>IF(I65=0,"",I65)</f>
        <v/>
      </c>
      <c r="M65" s="1014" t="str">
        <f>IF(J65=0,"",J65)</f>
        <v/>
      </c>
      <c r="N65" s="1014" t="str">
        <f>IF(K65=0,"",K65)</f>
        <v/>
      </c>
      <c r="O65" s="1127"/>
      <c r="P65" s="1127" t="s">
        <v>2096</v>
      </c>
      <c r="Q65" s="1127"/>
      <c r="R65" s="1127"/>
      <c r="S65" s="1127"/>
      <c r="T65" s="1013"/>
      <c r="U65" s="1013" t="s">
        <v>2184</v>
      </c>
      <c r="V65" s="1013"/>
      <c r="W65" s="1013"/>
      <c r="X65" s="1013"/>
      <c r="Y65" s="1170"/>
      <c r="Z65" s="1016"/>
      <c r="AA65" s="1019"/>
      <c r="AB65" s="1016"/>
      <c r="AC65" s="1016"/>
      <c r="AD65" s="1016"/>
    </row>
    <row customHeight="1" ht="18">
      <c r="A66" s="1015"/>
      <c r="B66" s="1069">
        <v>49</v>
      </c>
      <c r="C66" s="1013"/>
      <c r="D66" s="1137"/>
      <c r="E66" s="1013"/>
      <c r="F66" s="1013"/>
      <c r="G66" s="1013"/>
      <c r="H66" s="1061"/>
      <c r="I66" s="1175">
        <f>INDEX(TEMPLATE_NUMBER_POINT_FHD,B66,MATCH(TEMPLATE_SPHERE,TEMPLATE_SPHERE_LIST_FOR_NOTE,0))</f>
        <v>0</v>
      </c>
      <c r="J66" s="1175">
        <f>INDEX(TEMPLATE_DATA_POINT_FHD,B66,MATCH(TEMPLATE_SPHERE,TEMPLATE_SPHERE_LIST_FOR_NOTE,0))</f>
        <v>0</v>
      </c>
      <c r="K66" s="1175">
        <f>INDEX(TEMPLATE_NOTE_POINT_FHD,B66,MATCH(TEMPLATE_SPHERE,TEMPLATE_SPHERE_LIST_FOR_NOTE,0))</f>
        <v>0</v>
      </c>
      <c r="L66" s="1014" t="str">
        <f>IF(I66=0,"",I66)</f>
        <v/>
      </c>
      <c r="M66" s="1014" t="str">
        <f>IF(J66=0,"",J66)</f>
        <v/>
      </c>
      <c r="N66" s="1014" t="str">
        <f>IF(K66=0,"",K66)</f>
        <v/>
      </c>
      <c r="O66" s="1127"/>
      <c r="P66" s="1127" t="s">
        <v>2100</v>
      </c>
      <c r="Q66" s="1127"/>
      <c r="R66" s="1127"/>
      <c r="S66" s="1127"/>
      <c r="T66" s="1013"/>
      <c r="U66" s="1013" t="s">
        <v>2185</v>
      </c>
      <c r="V66" s="1013"/>
      <c r="W66" s="1013"/>
      <c r="X66" s="1013"/>
      <c r="Y66" s="1170"/>
      <c r="Z66" s="1016"/>
      <c r="AA66" s="1019"/>
      <c r="AB66" s="1016"/>
      <c r="AC66" s="1016"/>
      <c r="AD66" s="1016"/>
    </row>
    <row customHeight="1" ht="27">
      <c r="A67" s="1015"/>
      <c r="B67" s="1069">
        <v>50</v>
      </c>
      <c r="C67" s="1013"/>
      <c r="D67" s="1137"/>
      <c r="E67" s="1013"/>
      <c r="F67" s="1013"/>
      <c r="G67" s="1013"/>
      <c r="H67" s="1061"/>
      <c r="I67" s="1175">
        <f>INDEX(TEMPLATE_NUMBER_POINT_FHD,B67,MATCH(TEMPLATE_SPHERE,TEMPLATE_SPHERE_LIST_FOR_NOTE,0))</f>
        <v>0</v>
      </c>
      <c r="J67" s="1175">
        <f>INDEX(TEMPLATE_DATA_POINT_FHD,B67,MATCH(TEMPLATE_SPHERE,TEMPLATE_SPHERE_LIST_FOR_NOTE,0))</f>
        <v>0</v>
      </c>
      <c r="K67" s="1175">
        <f>INDEX(TEMPLATE_NOTE_POINT_FHD,B67,MATCH(TEMPLATE_SPHERE,TEMPLATE_SPHERE_LIST_FOR_NOTE,0))</f>
        <v>0</v>
      </c>
      <c r="L67" s="1014" t="str">
        <f>IF(I67=0,"",I67)</f>
        <v/>
      </c>
      <c r="M67" s="1014" t="str">
        <f>IF(J67=0,"",J67)</f>
        <v/>
      </c>
      <c r="N67" s="1014" t="str">
        <f>IF(K67=0,"",K67)</f>
        <v/>
      </c>
      <c r="O67" s="1127"/>
      <c r="P67" s="1127" t="s">
        <v>2186</v>
      </c>
      <c r="Q67" s="1127"/>
      <c r="R67" s="1127"/>
      <c r="S67" s="1127"/>
      <c r="T67" s="1013"/>
      <c r="U67" s="1013" t="s">
        <v>2187</v>
      </c>
      <c r="V67" s="1013"/>
      <c r="W67" s="1013"/>
      <c r="X67" s="1013"/>
      <c r="Y67" s="1170"/>
      <c r="Z67" s="1016"/>
      <c r="AA67" s="1019"/>
      <c r="AB67" s="1016"/>
      <c r="AC67" s="1016"/>
      <c r="AD67" s="1016"/>
    </row>
    <row customHeight="1" ht="27">
      <c r="A68" s="1015"/>
      <c r="B68" s="1069">
        <v>51</v>
      </c>
      <c r="C68" s="1013"/>
      <c r="D68" s="1137"/>
      <c r="E68" s="1013"/>
      <c r="F68" s="1013"/>
      <c r="G68" s="1013"/>
      <c r="H68" s="1061"/>
      <c r="I68" s="1175">
        <f>INDEX(TEMPLATE_NUMBER_POINT_FHD,B68,MATCH(TEMPLATE_SPHERE,TEMPLATE_SPHERE_LIST_FOR_NOTE,0))</f>
        <v>0</v>
      </c>
      <c r="J68" s="1175">
        <f>INDEX(TEMPLATE_DATA_POINT_FHD,B68,MATCH(TEMPLATE_SPHERE,TEMPLATE_SPHERE_LIST_FOR_NOTE,0))</f>
        <v>0</v>
      </c>
      <c r="K68" s="1175">
        <f>INDEX(TEMPLATE_NOTE_POINT_FHD,B68,MATCH(TEMPLATE_SPHERE,TEMPLATE_SPHERE_LIST_FOR_NOTE,0))</f>
        <v>0</v>
      </c>
      <c r="L68" s="1014" t="str">
        <f>IF(I68=0,"",I68)</f>
        <v/>
      </c>
      <c r="M68" s="1014" t="str">
        <f>IF(J68=0,"",J68)</f>
        <v/>
      </c>
      <c r="N68" s="1014" t="str">
        <f>IF(K68=0,"",K68)</f>
        <v/>
      </c>
      <c r="O68" s="1127"/>
      <c r="P68" s="1127" t="s">
        <v>2188</v>
      </c>
      <c r="Q68" s="1127"/>
      <c r="R68" s="1127"/>
      <c r="S68" s="1127"/>
      <c r="T68" s="1013"/>
      <c r="U68" s="1013" t="s">
        <v>2189</v>
      </c>
      <c r="V68" s="1013"/>
      <c r="W68" s="1013"/>
      <c r="X68" s="1013"/>
      <c r="Y68" s="1170"/>
      <c r="Z68" s="1016"/>
      <c r="AA68" s="1019"/>
      <c r="AB68" s="1016"/>
      <c r="AC68" s="1016"/>
      <c r="AD68" s="1016"/>
    </row>
    <row customHeight="1" ht="9">
      <c r="A69" s="1015"/>
      <c r="B69" s="1069">
        <v>52</v>
      </c>
      <c r="C69" s="1013"/>
      <c r="D69" s="1137" t="s">
        <v>2190</v>
      </c>
      <c r="E69" s="1013"/>
      <c r="F69" s="1013"/>
      <c r="G69" s="1013"/>
      <c r="H69" s="1061"/>
      <c r="I69" s="1175">
        <f>INDEX(TEMPLATE_NUMBER_POINT_FHD,B69,MATCH(TEMPLATE_SPHERE,TEMPLATE_SPHERE_LIST_FOR_NOTE,0))</f>
        <v>0</v>
      </c>
      <c r="J69" s="1175">
        <f>INDEX(TEMPLATE_DATA_POINT_FHD,B69,MATCH(TEMPLATE_SPHERE,TEMPLATE_SPHERE_LIST_FOR_NOTE,0))</f>
        <v>0</v>
      </c>
      <c r="K69" s="1175">
        <f>INDEX(TEMPLATE_NOTE_POINT_FHD,B69,MATCH(TEMPLATE_SPHERE,TEMPLATE_SPHERE_LIST_FOR_NOTE,0))</f>
        <v>0</v>
      </c>
      <c r="L69" s="1014" t="str">
        <f>IF(I69=0,"",I69)</f>
        <v/>
      </c>
      <c r="M69" s="1014" t="str">
        <f>IF(J69=0,"",J69)</f>
        <v/>
      </c>
      <c r="N69" s="1014" t="str">
        <f>IF(K69=0,"",K69)</f>
        <v/>
      </c>
      <c r="O69" s="1127"/>
      <c r="P69" s="1127" t="s">
        <v>153</v>
      </c>
      <c r="Q69" s="1127"/>
      <c r="R69" s="1127"/>
      <c r="S69" s="1127"/>
      <c r="T69" s="1013"/>
      <c r="U69" s="1013" t="s">
        <v>2191</v>
      </c>
      <c r="V69" s="1013"/>
      <c r="W69" s="1013"/>
      <c r="X69" s="1013"/>
      <c r="Y69" s="1170"/>
      <c r="Z69" s="1016"/>
      <c r="AA69" s="1019"/>
      <c r="AB69" s="1016"/>
      <c r="AC69" s="1016"/>
      <c r="AD69" s="1016"/>
    </row>
    <row customHeight="1" ht="27">
      <c r="A70" s="1015"/>
      <c r="B70" s="1069">
        <v>53</v>
      </c>
      <c r="C70" s="1013"/>
      <c r="D70" s="1137"/>
      <c r="E70" s="1013" t="s">
        <v>2175</v>
      </c>
      <c r="F70" s="1013"/>
      <c r="G70" s="1013"/>
      <c r="H70" s="1061"/>
      <c r="I70" s="1175">
        <f>INDEX(TEMPLATE_NUMBER_POINT_FHD,B70,MATCH(TEMPLATE_SPHERE,TEMPLATE_SPHERE_LIST_FOR_NOTE,0))</f>
        <v>0</v>
      </c>
      <c r="J70" s="1175">
        <f>INDEX(TEMPLATE_DATA_POINT_FHD,B70,MATCH(TEMPLATE_SPHERE,TEMPLATE_SPHERE_LIST_FOR_NOTE,0))</f>
        <v>0</v>
      </c>
      <c r="K70" s="1175">
        <f>INDEX(TEMPLATE_NOTE_POINT_FHD,B70,MATCH(TEMPLATE_SPHERE,TEMPLATE_SPHERE_LIST_FOR_NOTE,0))</f>
        <v>0</v>
      </c>
      <c r="L70" s="1014" t="str">
        <f>IF(I70=0,"",I70)</f>
        <v/>
      </c>
      <c r="M70" s="1014" t="str">
        <f>IF(J70=0,"",J70)</f>
        <v/>
      </c>
      <c r="N70" s="1014" t="str">
        <f>IF(K70=0,"",K70)</f>
        <v/>
      </c>
      <c r="O70" s="1127"/>
      <c r="P70" s="1127"/>
      <c r="Q70" s="1127" t="s">
        <v>96</v>
      </c>
      <c r="R70" s="1127"/>
      <c r="S70" s="1127"/>
      <c r="T70" s="1013"/>
      <c r="U70" s="1013"/>
      <c r="V70" s="1013" t="s">
        <v>2192</v>
      </c>
      <c r="W70" s="1013"/>
      <c r="X70" s="1013"/>
      <c r="Y70" s="1170"/>
      <c r="Z70" s="1016"/>
      <c r="AA70" s="1019"/>
      <c r="AB70" s="1016"/>
      <c r="AC70" s="1016"/>
      <c r="AD70" s="1016"/>
    </row>
    <row customHeight="1" ht="36">
      <c r="A71" s="1015"/>
      <c r="B71" s="1069">
        <v>54</v>
      </c>
      <c r="C71" s="1013"/>
      <c r="D71" s="1137"/>
      <c r="E71" s="1013" t="s">
        <v>2177</v>
      </c>
      <c r="F71" s="1013"/>
      <c r="G71" s="1013"/>
      <c r="H71" s="1061"/>
      <c r="I71" s="1175">
        <f>INDEX(TEMPLATE_NUMBER_POINT_FHD,B71,MATCH(TEMPLATE_SPHERE,TEMPLATE_SPHERE_LIST_FOR_NOTE,0))</f>
        <v>0</v>
      </c>
      <c r="J71" s="1175">
        <f>INDEX(TEMPLATE_DATA_POINT_FHD,B71,MATCH(TEMPLATE_SPHERE,TEMPLATE_SPHERE_LIST_FOR_NOTE,0))</f>
        <v>0</v>
      </c>
      <c r="K71" s="1175">
        <f>INDEX(TEMPLATE_NOTE_POINT_FHD,B71,MATCH(TEMPLATE_SPHERE,TEMPLATE_SPHERE_LIST_FOR_NOTE,0))</f>
        <v>0</v>
      </c>
      <c r="L71" s="1014" t="str">
        <f>IF(I71=0,"",I71)</f>
        <v/>
      </c>
      <c r="M71" s="1014" t="str">
        <f>IF(J71=0,"",J71)</f>
        <v/>
      </c>
      <c r="N71" s="1014" t="str">
        <f>IF(K71=0,"",K71)</f>
        <v/>
      </c>
      <c r="O71" s="1127"/>
      <c r="P71" s="1127"/>
      <c r="Q71" s="1127" t="s">
        <v>115</v>
      </c>
      <c r="R71" s="1127"/>
      <c r="S71" s="1127"/>
      <c r="T71" s="1013"/>
      <c r="U71" s="1013"/>
      <c r="V71" s="1013" t="s">
        <v>2193</v>
      </c>
      <c r="W71" s="1013"/>
      <c r="X71" s="1013"/>
      <c r="Y71" s="1170"/>
      <c r="Z71" s="1016"/>
      <c r="AA71" s="1019"/>
      <c r="AB71" s="1016"/>
      <c r="AC71" s="1016"/>
      <c r="AD71" s="1016"/>
    </row>
    <row customHeight="1" ht="27">
      <c r="A72" s="1015"/>
      <c r="B72" s="1069">
        <v>55</v>
      </c>
      <c r="C72" s="1013"/>
      <c r="D72" s="1137"/>
      <c r="E72" s="1013" t="s">
        <v>2179</v>
      </c>
      <c r="F72" s="1013"/>
      <c r="G72" s="1013"/>
      <c r="H72" s="1061"/>
      <c r="I72" s="1175">
        <f>INDEX(TEMPLATE_NUMBER_POINT_FHD,B72,MATCH(TEMPLATE_SPHERE,TEMPLATE_SPHERE_LIST_FOR_NOTE,0))</f>
        <v>0</v>
      </c>
      <c r="J72" s="1175">
        <f>INDEX(TEMPLATE_DATA_POINT_FHD,B72,MATCH(TEMPLATE_SPHERE,TEMPLATE_SPHERE_LIST_FOR_NOTE,0))</f>
        <v>0</v>
      </c>
      <c r="K72" s="1175">
        <f>INDEX(TEMPLATE_NOTE_POINT_FHD,B72,MATCH(TEMPLATE_SPHERE,TEMPLATE_SPHERE_LIST_FOR_NOTE,0))</f>
        <v>0</v>
      </c>
      <c r="L72" s="1014" t="str">
        <f>IF(I72=0,"",I72)</f>
        <v/>
      </c>
      <c r="M72" s="1014" t="str">
        <f>IF(J72=0,"",J72)</f>
        <v/>
      </c>
      <c r="N72" s="1014" t="str">
        <f>IF(K72=0,"",K72)</f>
        <v/>
      </c>
      <c r="O72" s="1127"/>
      <c r="P72" s="1127"/>
      <c r="Q72" s="1127" t="s">
        <v>151</v>
      </c>
      <c r="R72" s="1127"/>
      <c r="S72" s="1127"/>
      <c r="T72" s="1013"/>
      <c r="U72" s="1013"/>
      <c r="V72" s="1013" t="s">
        <v>2194</v>
      </c>
      <c r="W72" s="1013"/>
      <c r="X72" s="1013"/>
      <c r="Y72" s="1170"/>
      <c r="Z72" s="1016"/>
      <c r="AA72" s="1019"/>
      <c r="AB72" s="1016"/>
      <c r="AC72" s="1016"/>
      <c r="AD72" s="1016"/>
    </row>
    <row customHeight="1" ht="36">
      <c r="A73" s="1015"/>
      <c r="B73" s="1069">
        <v>56</v>
      </c>
      <c r="C73" s="1013"/>
      <c r="D73" s="1137"/>
      <c r="E73" s="1013" t="s">
        <v>2181</v>
      </c>
      <c r="F73" s="1013"/>
      <c r="G73" s="1013"/>
      <c r="H73" s="1061"/>
      <c r="I73" s="1175">
        <f>INDEX(TEMPLATE_NUMBER_POINT_FHD,B73,MATCH(TEMPLATE_SPHERE,TEMPLATE_SPHERE_LIST_FOR_NOTE,0))</f>
        <v>0</v>
      </c>
      <c r="J73" s="1175">
        <f>INDEX(TEMPLATE_DATA_POINT_FHD,B73,MATCH(TEMPLATE_SPHERE,TEMPLATE_SPHERE_LIST_FOR_NOTE,0))</f>
        <v>0</v>
      </c>
      <c r="K73" s="1175">
        <f>INDEX(TEMPLATE_NOTE_POINT_FHD,B73,MATCH(TEMPLATE_SPHERE,TEMPLATE_SPHERE_LIST_FOR_NOTE,0))</f>
        <v>0</v>
      </c>
      <c r="L73" s="1014" t="str">
        <f>IF(I73=0,"",I73)</f>
        <v/>
      </c>
      <c r="M73" s="1014" t="str">
        <f>IF(J73=0,"",J73)</f>
        <v/>
      </c>
      <c r="N73" s="1014" t="str">
        <f>IF(K73=0,"",K73)</f>
        <v/>
      </c>
      <c r="O73" s="1127"/>
      <c r="P73" s="1127"/>
      <c r="Q73" s="1127" t="s">
        <v>152</v>
      </c>
      <c r="R73" s="1127"/>
      <c r="S73" s="1127"/>
      <c r="T73" s="1013"/>
      <c r="U73" s="1013"/>
      <c r="V73" s="1013" t="s">
        <v>2195</v>
      </c>
      <c r="W73" s="1013"/>
      <c r="X73" s="1013"/>
      <c r="Y73" s="1170"/>
      <c r="Z73" s="1016"/>
      <c r="AA73" s="1019"/>
      <c r="AB73" s="1016"/>
      <c r="AC73" s="1016"/>
      <c r="AD73" s="1016"/>
    </row>
    <row customHeight="1" ht="18">
      <c r="A74" s="1015"/>
      <c r="B74" s="1069">
        <v>57</v>
      </c>
      <c r="C74" s="1013"/>
      <c r="D74" s="1137"/>
      <c r="E74" s="1013" t="s">
        <v>2190</v>
      </c>
      <c r="F74" s="1013"/>
      <c r="G74" s="1013"/>
      <c r="H74" s="1061"/>
      <c r="I74" s="1175">
        <f>INDEX(TEMPLATE_NUMBER_POINT_FHD,B74,MATCH(TEMPLATE_SPHERE,TEMPLATE_SPHERE_LIST_FOR_NOTE,0))</f>
        <v>0</v>
      </c>
      <c r="J74" s="1175">
        <f>INDEX(TEMPLATE_DATA_POINT_FHD,B74,MATCH(TEMPLATE_SPHERE,TEMPLATE_SPHERE_LIST_FOR_NOTE,0))</f>
        <v>0</v>
      </c>
      <c r="K74" s="1175">
        <f>INDEX(TEMPLATE_NOTE_POINT_FHD,B74,MATCH(TEMPLATE_SPHERE,TEMPLATE_SPHERE_LIST_FOR_NOTE,0))</f>
        <v>0</v>
      </c>
      <c r="L74" s="1014" t="str">
        <f>IF(I74=0,"",I74)</f>
        <v/>
      </c>
      <c r="M74" s="1014" t="str">
        <f>IF(J74=0,"",J74)</f>
        <v/>
      </c>
      <c r="N74" s="1014" t="str">
        <f>IF(K74=0,"",K74)</f>
        <v/>
      </c>
      <c r="O74" s="1127"/>
      <c r="P74" s="1127"/>
      <c r="Q74" s="1127" t="s">
        <v>153</v>
      </c>
      <c r="R74" s="1127"/>
      <c r="S74" s="1127"/>
      <c r="T74" s="1013"/>
      <c r="U74" s="1013"/>
      <c r="V74" s="1013" t="s">
        <v>2196</v>
      </c>
      <c r="W74" s="1013"/>
      <c r="X74" s="1013"/>
      <c r="Y74" s="1170"/>
      <c r="Z74" s="1016"/>
      <c r="AA74" s="1019"/>
      <c r="AB74" s="1016"/>
      <c r="AC74" s="1016"/>
      <c r="AD74" s="1016"/>
    </row>
    <row customHeight="1" ht="18">
      <c r="A75" s="1015"/>
      <c r="B75" s="1069">
        <v>58</v>
      </c>
      <c r="C75" s="1013"/>
      <c r="D75" s="1137"/>
      <c r="E75" s="1013"/>
      <c r="F75" s="1013" t="s">
        <v>2175</v>
      </c>
      <c r="G75" s="1013"/>
      <c r="H75" s="1061"/>
      <c r="I75" s="1175">
        <f>INDEX(TEMPLATE_NUMBER_POINT_FHD,B75,MATCH(TEMPLATE_SPHERE,TEMPLATE_SPHERE_LIST_FOR_NOTE,0))</f>
        <v>0</v>
      </c>
      <c r="J75" s="1175">
        <f>INDEX(TEMPLATE_DATA_POINT_FHD,B75,MATCH(TEMPLATE_SPHERE,TEMPLATE_SPHERE_LIST_FOR_NOTE,0))</f>
        <v>0</v>
      </c>
      <c r="K75" s="1175">
        <f>INDEX(TEMPLATE_NOTE_POINT_FHD,B75,MATCH(TEMPLATE_SPHERE,TEMPLATE_SPHERE_LIST_FOR_NOTE,0))</f>
        <v>0</v>
      </c>
      <c r="L75" s="1014" t="str">
        <f>IF(I75=0,"",I75)</f>
        <v/>
      </c>
      <c r="M75" s="1014" t="str">
        <f>IF(J75=0,"",J75)</f>
        <v/>
      </c>
      <c r="N75" s="1014" t="str">
        <f>IF(K75=0,"",K75)</f>
        <v/>
      </c>
      <c r="O75" s="1127"/>
      <c r="P75" s="1127"/>
      <c r="Q75" s="1127"/>
      <c r="R75" s="1127" t="s">
        <v>96</v>
      </c>
      <c r="S75" s="1127"/>
      <c r="T75" s="1013"/>
      <c r="U75" s="1013"/>
      <c r="V75" s="1013"/>
      <c r="W75" s="1013" t="s">
        <v>2197</v>
      </c>
      <c r="X75" s="1013"/>
      <c r="Y75" s="1170"/>
      <c r="Z75" s="1016"/>
      <c r="AA75" s="1019"/>
      <c r="AB75" s="1016"/>
      <c r="AC75" s="1016"/>
      <c r="AD75" s="1016"/>
    </row>
    <row customHeight="1" ht="36">
      <c r="A76" s="1015"/>
      <c r="B76" s="1069">
        <v>59</v>
      </c>
      <c r="C76" s="1013"/>
      <c r="D76" s="1137"/>
      <c r="E76" s="1013"/>
      <c r="F76" s="1013" t="s">
        <v>2177</v>
      </c>
      <c r="G76" s="1013"/>
      <c r="H76" s="1061"/>
      <c r="I76" s="1175">
        <f>INDEX(TEMPLATE_NUMBER_POINT_FHD,B76,MATCH(TEMPLATE_SPHERE,TEMPLATE_SPHERE_LIST_FOR_NOTE,0))</f>
        <v>0</v>
      </c>
      <c r="J76" s="1175">
        <f>INDEX(TEMPLATE_DATA_POINT_FHD,B76,MATCH(TEMPLATE_SPHERE,TEMPLATE_SPHERE_LIST_FOR_NOTE,0))</f>
        <v>0</v>
      </c>
      <c r="K76" s="1175">
        <f>INDEX(TEMPLATE_NOTE_POINT_FHD,B76,MATCH(TEMPLATE_SPHERE,TEMPLATE_SPHERE_LIST_FOR_NOTE,0))</f>
        <v>0</v>
      </c>
      <c r="L76" s="1014" t="str">
        <f>IF(I76=0,"",I76)</f>
        <v/>
      </c>
      <c r="M76" s="1014" t="str">
        <f>IF(J76=0,"",J76)</f>
        <v/>
      </c>
      <c r="N76" s="1014" t="str">
        <f>IF(K76=0,"",K76)</f>
        <v/>
      </c>
      <c r="O76" s="1127"/>
      <c r="P76" s="1127"/>
      <c r="Q76" s="1127"/>
      <c r="R76" s="1127" t="s">
        <v>115</v>
      </c>
      <c r="S76" s="1127"/>
      <c r="T76" s="1013"/>
      <c r="U76" s="1013"/>
      <c r="V76" s="1013"/>
      <c r="W76" s="1013" t="s">
        <v>2198</v>
      </c>
      <c r="X76" s="1013"/>
      <c r="Y76" s="1170"/>
      <c r="Z76" s="1016"/>
      <c r="AA76" s="1019"/>
      <c r="AB76" s="1016"/>
      <c r="AC76" s="1016"/>
      <c r="AD76" s="1016"/>
    </row>
    <row customHeight="1" ht="18">
      <c r="A77" s="1015"/>
      <c r="B77" s="1069">
        <v>60</v>
      </c>
      <c r="C77" s="1013"/>
      <c r="D77" s="1137"/>
      <c r="E77" s="1013"/>
      <c r="F77" s="1013" t="s">
        <v>2179</v>
      </c>
      <c r="G77" s="1013"/>
      <c r="H77" s="1061"/>
      <c r="I77" s="1175">
        <f>INDEX(TEMPLATE_NUMBER_POINT_FHD,B77,MATCH(TEMPLATE_SPHERE,TEMPLATE_SPHERE_LIST_FOR_NOTE,0))</f>
        <v>0</v>
      </c>
      <c r="J77" s="1175">
        <f>INDEX(TEMPLATE_DATA_POINT_FHD,B77,MATCH(TEMPLATE_SPHERE,TEMPLATE_SPHERE_LIST_FOR_NOTE,0))</f>
        <v>0</v>
      </c>
      <c r="K77" s="1175">
        <f>INDEX(TEMPLATE_NOTE_POINT_FHD,B77,MATCH(TEMPLATE_SPHERE,TEMPLATE_SPHERE_LIST_FOR_NOTE,0))</f>
        <v>0</v>
      </c>
      <c r="L77" s="1014" t="str">
        <f>IF(I77=0,"",I77)</f>
        <v/>
      </c>
      <c r="M77" s="1014" t="str">
        <f>IF(J77=0,"",J77)</f>
        <v/>
      </c>
      <c r="N77" s="1014" t="str">
        <f>IF(K77=0,"",K77)</f>
        <v/>
      </c>
      <c r="O77" s="1127"/>
      <c r="P77" s="1127"/>
      <c r="Q77" s="1127"/>
      <c r="R77" s="1127" t="s">
        <v>151</v>
      </c>
      <c r="S77" s="1127"/>
      <c r="T77" s="1013"/>
      <c r="U77" s="1013"/>
      <c r="V77" s="1013"/>
      <c r="W77" s="1013" t="s">
        <v>2199</v>
      </c>
      <c r="X77" s="1013"/>
      <c r="Y77" s="1170"/>
      <c r="Z77" s="1016"/>
      <c r="AA77" s="1019"/>
      <c r="AB77" s="1016"/>
      <c r="AC77" s="1016"/>
      <c r="AD77" s="1016"/>
    </row>
    <row customHeight="1" ht="72">
      <c r="A78" s="1015"/>
      <c r="B78" s="1069">
        <v>61</v>
      </c>
      <c r="C78" s="1013" t="s">
        <v>2175</v>
      </c>
      <c r="D78" s="1137"/>
      <c r="E78" s="1013"/>
      <c r="F78" s="1013"/>
      <c r="G78" s="1013"/>
      <c r="H78" s="1061"/>
      <c r="I78" s="1175" t="str">
        <f>INDEX(TEMPLATE_NUMBER_POINT_FHD,B78,MATCH(TEMPLATE_SPHERE,TEMPLATE_SPHERE_LIST_FOR_NOTE,0))</f>
        <v>7</v>
      </c>
      <c r="J78" s="117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17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1014" t="str">
        <f>IF(I78=0,"",I78)</f>
        <v>7</v>
      </c>
      <c r="M78" s="101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101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127" t="s">
        <v>96</v>
      </c>
      <c r="P78" s="1127"/>
      <c r="Q78" s="1127"/>
      <c r="R78" s="1127"/>
      <c r="S78" s="1127"/>
      <c r="T78" s="1013" t="s">
        <v>649</v>
      </c>
      <c r="U78" s="1013"/>
      <c r="V78" s="1013"/>
      <c r="W78" s="1013"/>
      <c r="X78" s="1013"/>
      <c r="Y78" s="1170"/>
      <c r="Z78" s="1016" t="s">
        <v>2200</v>
      </c>
      <c r="AA78" s="1019"/>
      <c r="AB78" s="1016"/>
      <c r="AC78" s="1016"/>
      <c r="AD78" s="1016"/>
    </row>
    <row customHeight="1" ht="36">
      <c r="A79" s="1015"/>
      <c r="B79" s="1069">
        <v>62</v>
      </c>
      <c r="C79" s="1013" t="s">
        <v>2177</v>
      </c>
      <c r="D79" s="1137"/>
      <c r="E79" s="1013"/>
      <c r="F79" s="1013"/>
      <c r="G79" s="1013"/>
      <c r="H79" s="1061"/>
      <c r="I79" s="1175" t="str">
        <f>INDEX(TEMPLATE_NUMBER_POINT_FHD,B79,MATCH(TEMPLATE_SPHERE,TEMPLATE_SPHERE_LIST_FOR_NOTE,0))</f>
        <v>8</v>
      </c>
      <c r="J79" s="117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17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1014" t="str">
        <f>IF(I79=0,"",I79)</f>
        <v>8</v>
      </c>
      <c r="M79" s="1014" t="str">
        <f>IF(J79=0,"",J79)</f>
        <v>Тепловая нагрузка по договорам, заключенным в рамках осуществления регулируемых видов деятельности</v>
      </c>
      <c r="N79" s="101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127" t="s">
        <v>115</v>
      </c>
      <c r="P79" s="1127"/>
      <c r="Q79" s="1127"/>
      <c r="R79" s="1127"/>
      <c r="S79" s="1127"/>
      <c r="T79" s="1013" t="s">
        <v>2201</v>
      </c>
      <c r="U79" s="1013"/>
      <c r="V79" s="1013"/>
      <c r="W79" s="1013"/>
      <c r="X79" s="1013"/>
      <c r="Y79" s="1170"/>
      <c r="Z79" s="1016" t="s">
        <v>2202</v>
      </c>
      <c r="AA79" s="1019"/>
      <c r="AB79" s="1016"/>
      <c r="AC79" s="1016"/>
      <c r="AD79" s="1016"/>
    </row>
    <row customHeight="1" ht="45">
      <c r="A80" s="1015"/>
      <c r="B80" s="1069">
        <v>63</v>
      </c>
      <c r="C80" s="1013" t="s">
        <v>2179</v>
      </c>
      <c r="D80" s="1137"/>
      <c r="E80" s="1013"/>
      <c r="F80" s="1013"/>
      <c r="G80" s="1013"/>
      <c r="H80" s="1061"/>
      <c r="I80" s="1175" t="str">
        <f>INDEX(TEMPLATE_NUMBER_POINT_FHD,B80,MATCH(TEMPLATE_SPHERE,TEMPLATE_SPHERE_LIST_FOR_NOTE,0))</f>
        <v>9</v>
      </c>
      <c r="J80" s="117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17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1014" t="str">
        <f>IF(I80=0,"",I80)</f>
        <v>9</v>
      </c>
      <c r="M80" s="1014" t="str">
        <f>IF(J80=0,"",J80)</f>
        <v>Объем вырабатываемой регулируемой организацией тепловой энергии в рамках осуществления регулируемых видов деятельности</v>
      </c>
      <c r="N80" s="101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127" t="s">
        <v>151</v>
      </c>
      <c r="P80" s="1127"/>
      <c r="Q80" s="1127"/>
      <c r="R80" s="1127"/>
      <c r="S80" s="1127"/>
      <c r="T80" s="1013" t="s">
        <v>2203</v>
      </c>
      <c r="U80" s="1013"/>
      <c r="V80" s="1013"/>
      <c r="W80" s="1013"/>
      <c r="X80" s="1013"/>
      <c r="Y80" s="1170"/>
      <c r="Z80" s="1016" t="s">
        <v>2204</v>
      </c>
      <c r="AA80" s="1019"/>
      <c r="AB80" s="1016"/>
      <c r="AC80" s="1016"/>
      <c r="AD80" s="1016"/>
    </row>
    <row customHeight="1" ht="36">
      <c r="A81" s="1015"/>
      <c r="B81" s="1069">
        <v>64</v>
      </c>
      <c r="C81" s="1013" t="s">
        <v>2181</v>
      </c>
      <c r="D81" s="1137"/>
      <c r="E81" s="1013"/>
      <c r="F81" s="1013"/>
      <c r="G81" s="1013"/>
      <c r="H81" s="1061"/>
      <c r="I81" s="1175" t="str">
        <f>INDEX(TEMPLATE_NUMBER_POINT_FHD,B81,MATCH(TEMPLATE_SPHERE,TEMPLATE_SPHERE_LIST_FOR_NOTE,0))</f>
        <v>9.1</v>
      </c>
      <c r="J81" s="117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175" t="str">
        <f>INDEX(TEMPLATE_NOTE_POINT_FHD,B81,MATCH(TEMPLATE_SPHERE,TEMPLATE_SPHERE_LIST_FOR_NOTE,0))</f>
        <v>Информация указывается только едиными теплоснабжающими организациями.</v>
      </c>
      <c r="L81" s="1014" t="str">
        <f>IF(I81=0,"",I81)</f>
        <v>9.1</v>
      </c>
      <c r="M81" s="1014" t="str">
        <f>IF(J81=0,"",J81)</f>
        <v>Объем приобретаемой регулируемой организацией тепловой энергии в рамках осуществления регулируемых видов деятельности</v>
      </c>
      <c r="N81" s="1014" t="str">
        <f>IF(K81=0,"",K81)</f>
        <v>Информация указывается только едиными теплоснабжающими организациями.</v>
      </c>
      <c r="O81" s="1127" t="s">
        <v>2087</v>
      </c>
      <c r="P81" s="1127"/>
      <c r="Q81" s="1127"/>
      <c r="R81" s="1127"/>
      <c r="S81" s="1127"/>
      <c r="T81" s="1013" t="s">
        <v>2205</v>
      </c>
      <c r="U81" s="1013"/>
      <c r="V81" s="1013"/>
      <c r="W81" s="1013"/>
      <c r="X81" s="1013"/>
      <c r="Y81" s="1170"/>
      <c r="Z81" s="1016" t="s">
        <v>2206</v>
      </c>
      <c r="AA81" s="1019"/>
      <c r="AB81" s="1016"/>
      <c r="AC81" s="1016"/>
      <c r="AD81" s="1016"/>
    </row>
    <row customHeight="1" ht="90">
      <c r="A82" s="1015"/>
      <c r="B82" s="1069">
        <v>65</v>
      </c>
      <c r="C82" s="1013" t="s">
        <v>2190</v>
      </c>
      <c r="D82" s="1137"/>
      <c r="E82" s="1013"/>
      <c r="F82" s="1013"/>
      <c r="G82" s="1013"/>
      <c r="H82" s="1061"/>
      <c r="I82" s="1175" t="str">
        <f>INDEX(TEMPLATE_NUMBER_POINT_FHD,B82,MATCH(TEMPLATE_SPHERE,TEMPLATE_SPHERE_LIST_FOR_NOTE,0))</f>
        <v>10</v>
      </c>
      <c r="J82" s="117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17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1014" t="str">
        <f>IF(I82=0,"",I82)</f>
        <v>10</v>
      </c>
      <c r="M82" s="101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101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127" t="s">
        <v>152</v>
      </c>
      <c r="P82" s="1127"/>
      <c r="Q82" s="1127"/>
      <c r="R82" s="1127"/>
      <c r="S82" s="1127"/>
      <c r="T82" s="1013" t="s">
        <v>2207</v>
      </c>
      <c r="U82" s="1013"/>
      <c r="V82" s="1013"/>
      <c r="W82" s="1013"/>
      <c r="X82" s="1013"/>
      <c r="Y82" s="1170"/>
      <c r="Z82" s="1016" t="s">
        <v>2208</v>
      </c>
      <c r="AA82" s="1019"/>
      <c r="AB82" s="1016"/>
      <c r="AC82" s="1016"/>
      <c r="AD82" s="1016"/>
    </row>
    <row customHeight="1" ht="9">
      <c r="A83" s="1015"/>
      <c r="B83" s="1069">
        <v>66</v>
      </c>
      <c r="C83" s="1013"/>
      <c r="D83" s="1137"/>
      <c r="E83" s="1013"/>
      <c r="F83" s="1013"/>
      <c r="G83" s="1013"/>
      <c r="H83" s="1061"/>
      <c r="I83" s="1175" t="str">
        <f>INDEX(TEMPLATE_NUMBER_POINT_FHD,B83,MATCH(TEMPLATE_SPHERE,TEMPLATE_SPHERE_LIST_FOR_NOTE,0))</f>
        <v>10.1</v>
      </c>
      <c r="J83" s="1175" t="str">
        <f>INDEX(TEMPLATE_DATA_POINT_FHD,B83,MATCH(TEMPLATE_SPHERE,TEMPLATE_SPHERE_LIST_FOR_NOTE,0))</f>
        <v>По приборам учёта </v>
      </c>
      <c r="K83" s="1175">
        <f>INDEX(TEMPLATE_NOTE_POINT_FHD,B83,MATCH(TEMPLATE_SPHERE,TEMPLATE_SPHERE_LIST_FOR_NOTE,0))</f>
        <v>0</v>
      </c>
      <c r="L83" s="1014" t="str">
        <f>IF(I83=0,"",I83)</f>
        <v>10.1</v>
      </c>
      <c r="M83" s="1014" t="str">
        <f>IF(J83=0,"",J83)</f>
        <v>По приборам учёта </v>
      </c>
      <c r="N83" s="1014" t="str">
        <f>IF(K83=0,"",K83)</f>
        <v/>
      </c>
      <c r="O83" s="1127" t="s">
        <v>2096</v>
      </c>
      <c r="P83" s="1127"/>
      <c r="Q83" s="1127"/>
      <c r="R83" s="1127"/>
      <c r="S83" s="1127"/>
      <c r="T83" s="1013" t="s">
        <v>2209</v>
      </c>
      <c r="U83" s="1013"/>
      <c r="V83" s="1013"/>
      <c r="W83" s="1013"/>
      <c r="X83" s="1013"/>
      <c r="Y83" s="1170"/>
      <c r="Z83" s="1016"/>
      <c r="AA83" s="1019"/>
      <c r="AB83" s="1016"/>
      <c r="AC83" s="1016"/>
      <c r="AD83" s="1016"/>
    </row>
    <row customHeight="1" ht="54">
      <c r="A84" s="1015"/>
      <c r="B84" s="1069">
        <v>67</v>
      </c>
      <c r="C84" s="1013"/>
      <c r="D84" s="1137"/>
      <c r="E84" s="1013"/>
      <c r="F84" s="1013"/>
      <c r="G84" s="1013"/>
      <c r="H84" s="1061"/>
      <c r="I84" s="1175" t="str">
        <f>INDEX(TEMPLATE_NUMBER_POINT_FHD,B84,MATCH(TEMPLATE_SPHERE,TEMPLATE_SPHERE_LIST_FOR_NOTE,0))</f>
        <v>10.1.1</v>
      </c>
      <c r="J84" s="117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175">
        <f>INDEX(TEMPLATE_NOTE_POINT_FHD,B84,MATCH(TEMPLATE_SPHERE,TEMPLATE_SPHERE_LIST_FOR_NOTE,0))</f>
        <v>0</v>
      </c>
      <c r="L84" s="1014" t="str">
        <f>IF(I84=0,"",I84)</f>
        <v>10.1.1</v>
      </c>
      <c r="M84" s="101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1014" t="str">
        <f>IF(K84=0,"",K84)</f>
        <v/>
      </c>
      <c r="O84" s="1127" t="s">
        <v>2210</v>
      </c>
      <c r="P84" s="1127"/>
      <c r="Q84" s="1127"/>
      <c r="R84" s="1127"/>
      <c r="S84" s="1127"/>
      <c r="T84" s="1013" t="s">
        <v>2211</v>
      </c>
      <c r="U84" s="1013"/>
      <c r="V84" s="1013"/>
      <c r="W84" s="1013"/>
      <c r="X84" s="1013"/>
      <c r="Y84" s="1170"/>
      <c r="Z84" s="1016"/>
      <c r="AA84" s="1019"/>
      <c r="AB84" s="1016"/>
      <c r="AC84" s="1016"/>
      <c r="AD84" s="1016"/>
    </row>
    <row customHeight="1" ht="9">
      <c r="A85" s="1015"/>
      <c r="B85" s="1069">
        <v>68</v>
      </c>
      <c r="C85" s="1013"/>
      <c r="D85" s="1137"/>
      <c r="E85" s="1013"/>
      <c r="F85" s="1013"/>
      <c r="G85" s="1013"/>
      <c r="H85" s="1061"/>
      <c r="I85" s="1175" t="str">
        <f>INDEX(TEMPLATE_NUMBER_POINT_FHD,B85,MATCH(TEMPLATE_SPHERE,TEMPLATE_SPHERE_LIST_FOR_NOTE,0))</f>
        <v>10.2</v>
      </c>
      <c r="J85" s="1175" t="str">
        <f>INDEX(TEMPLATE_DATA_POINT_FHD,B85,MATCH(TEMPLATE_SPHERE,TEMPLATE_SPHERE_LIST_FOR_NOTE,0))</f>
        <v>Расчётным путём</v>
      </c>
      <c r="K85" s="1175">
        <f>INDEX(TEMPLATE_NOTE_POINT_FHD,B85,MATCH(TEMPLATE_SPHERE,TEMPLATE_SPHERE_LIST_FOR_NOTE,0))</f>
        <v>0</v>
      </c>
      <c r="L85" s="1014" t="str">
        <f>IF(I85=0,"",I85)</f>
        <v>10.2</v>
      </c>
      <c r="M85" s="1014" t="str">
        <f>IF(J85=0,"",J85)</f>
        <v>Расчётным путём</v>
      </c>
      <c r="N85" s="1014" t="str">
        <f>IF(K85=0,"",K85)</f>
        <v/>
      </c>
      <c r="O85" s="1127" t="s">
        <v>2100</v>
      </c>
      <c r="P85" s="1127"/>
      <c r="Q85" s="1127"/>
      <c r="R85" s="1127"/>
      <c r="S85" s="1127"/>
      <c r="T85" s="1013" t="s">
        <v>2212</v>
      </c>
      <c r="U85" s="1013"/>
      <c r="V85" s="1013"/>
      <c r="W85" s="1013"/>
      <c r="X85" s="1013"/>
      <c r="Y85" s="1170"/>
      <c r="Z85" s="1016"/>
      <c r="AA85" s="1019"/>
      <c r="AB85" s="1016"/>
      <c r="AC85" s="1016"/>
      <c r="AD85" s="1016"/>
    </row>
    <row customHeight="1" ht="27">
      <c r="A86" s="1015"/>
      <c r="B86" s="1069">
        <v>69</v>
      </c>
      <c r="C86" s="1013"/>
      <c r="D86" s="1137"/>
      <c r="E86" s="1013"/>
      <c r="F86" s="1013"/>
      <c r="G86" s="1013"/>
      <c r="H86" s="1061"/>
      <c r="I86" s="1175" t="str">
        <f>INDEX(TEMPLATE_NUMBER_POINT_FHD,B86,MATCH(TEMPLATE_SPHERE,TEMPLATE_SPHERE_LIST_FOR_NOTE,0))</f>
        <v>10.3</v>
      </c>
      <c r="J86" s="1175" t="str">
        <f>INDEX(TEMPLATE_DATA_POINT_FHD,B86,MATCH(TEMPLATE_SPHERE,TEMPLATE_SPHERE_LIST_FOR_NOTE,0))</f>
        <v>По нормативам потребления коммунальных услуг и нормативам потребления коммунальных ресурсов</v>
      </c>
      <c r="K86" s="1175">
        <f>INDEX(TEMPLATE_NOTE_POINT_FHD,B86,MATCH(TEMPLATE_SPHERE,TEMPLATE_SPHERE_LIST_FOR_NOTE,0))</f>
        <v>0</v>
      </c>
      <c r="L86" s="1014" t="str">
        <f>IF(I86=0,"",I86)</f>
        <v>10.3</v>
      </c>
      <c r="M86" s="1014" t="str">
        <f>IF(J86=0,"",J86)</f>
        <v>По нормативам потребления коммунальных услуг и нормативам потребления коммунальных ресурсов</v>
      </c>
      <c r="N86" s="1014" t="str">
        <f>IF(K86=0,"",K86)</f>
        <v/>
      </c>
      <c r="O86" s="1127" t="s">
        <v>2213</v>
      </c>
      <c r="P86" s="1127"/>
      <c r="Q86" s="1127"/>
      <c r="R86" s="1127"/>
      <c r="S86" s="1127"/>
      <c r="T86" s="1013" t="s">
        <v>2214</v>
      </c>
      <c r="U86" s="1013"/>
      <c r="V86" s="1013"/>
      <c r="W86" s="1013"/>
      <c r="X86" s="1013"/>
      <c r="Y86" s="1170"/>
      <c r="Z86" s="1016"/>
      <c r="AA86" s="1019"/>
      <c r="AB86" s="1016"/>
      <c r="AC86" s="1016"/>
      <c r="AD86" s="1016"/>
    </row>
    <row customHeight="1" ht="36">
      <c r="A87" s="1015"/>
      <c r="B87" s="1069">
        <v>70</v>
      </c>
      <c r="C87" s="1013" t="s">
        <v>2215</v>
      </c>
      <c r="D87" s="1137"/>
      <c r="E87" s="1013"/>
      <c r="F87" s="1013"/>
      <c r="G87" s="1013"/>
      <c r="H87" s="1061"/>
      <c r="I87" s="1175" t="str">
        <f>INDEX(TEMPLATE_NUMBER_POINT_FHD,B87,MATCH(TEMPLATE_SPHERE,TEMPLATE_SPHERE_LIST_FOR_NOTE,0))</f>
        <v>11</v>
      </c>
      <c r="J87" s="117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175">
        <f>INDEX(TEMPLATE_NOTE_POINT_FHD,B87,MATCH(TEMPLATE_SPHERE,TEMPLATE_SPHERE_LIST_FOR_NOTE,0))</f>
        <v>0</v>
      </c>
      <c r="L87" s="1014" t="str">
        <f>IF(I87=0,"",I87)</f>
        <v>11</v>
      </c>
      <c r="M87" s="1014" t="str">
        <f>IF(J87=0,"",J87)</f>
        <v>Нормативы технологических потерь при передаче тепловой энергии, теплоносителя по тепловым сетям, утвержденные уполномоченным органом</v>
      </c>
      <c r="N87" s="1014" t="str">
        <f>IF(K87=0,"",K87)</f>
        <v/>
      </c>
      <c r="O87" s="1127" t="s">
        <v>153</v>
      </c>
      <c r="P87" s="1127"/>
      <c r="Q87" s="1127"/>
      <c r="R87" s="1127"/>
      <c r="S87" s="1127"/>
      <c r="T87" s="1013" t="s">
        <v>2216</v>
      </c>
      <c r="U87" s="1013"/>
      <c r="V87" s="1013"/>
      <c r="W87" s="1013"/>
      <c r="X87" s="1013"/>
      <c r="Y87" s="1170"/>
      <c r="Z87" s="1016"/>
      <c r="AA87" s="1019"/>
      <c r="AB87" s="1016"/>
      <c r="AC87" s="1016"/>
      <c r="AD87" s="1016"/>
    </row>
    <row customHeight="1" ht="18">
      <c r="A88" s="1015"/>
      <c r="B88" s="1069">
        <v>71</v>
      </c>
      <c r="C88" s="1013" t="s">
        <v>2217</v>
      </c>
      <c r="D88" s="1137"/>
      <c r="E88" s="1013"/>
      <c r="F88" s="1013"/>
      <c r="G88" s="1013"/>
      <c r="H88" s="1061"/>
      <c r="I88" s="1175" t="str">
        <f>INDEX(TEMPLATE_NUMBER_POINT_FHD,B88,MATCH(TEMPLATE_SPHERE,TEMPLATE_SPHERE_LIST_FOR_NOTE,0))</f>
        <v>12</v>
      </c>
      <c r="J88" s="1175" t="str">
        <f>INDEX(TEMPLATE_DATA_POINT_FHD,B88,MATCH(TEMPLATE_SPHERE,TEMPLATE_SPHERE_LIST_FOR_NOTE,0))</f>
        <v>Фактический объем потерь при передаче тепловой энергии</v>
      </c>
      <c r="K88" s="1175">
        <f>INDEX(TEMPLATE_NOTE_POINT_FHD,B88,MATCH(TEMPLATE_SPHERE,TEMPLATE_SPHERE_LIST_FOR_NOTE,0))</f>
        <v>0</v>
      </c>
      <c r="L88" s="1014" t="str">
        <f>IF(I88=0,"",I88)</f>
        <v>12</v>
      </c>
      <c r="M88" s="1014" t="str">
        <f>IF(J88=0,"",J88)</f>
        <v>Фактический объем потерь при передаче тепловой энергии</v>
      </c>
      <c r="N88" s="1014" t="str">
        <f>IF(K88=0,"",K88)</f>
        <v/>
      </c>
      <c r="O88" s="1127" t="s">
        <v>154</v>
      </c>
      <c r="P88" s="1127"/>
      <c r="Q88" s="1127"/>
      <c r="R88" s="1127"/>
      <c r="S88" s="1127"/>
      <c r="T88" s="1013" t="s">
        <v>681</v>
      </c>
      <c r="U88" s="1013"/>
      <c r="V88" s="1013"/>
      <c r="W88" s="1013"/>
      <c r="X88" s="1013"/>
      <c r="Y88" s="1170"/>
      <c r="Z88" s="1016"/>
      <c r="AA88" s="1019"/>
      <c r="AB88" s="1016"/>
      <c r="AC88" s="1016"/>
      <c r="AD88" s="1016"/>
    </row>
    <row customHeight="1" ht="18">
      <c r="A89" s="1015"/>
      <c r="B89" s="1069">
        <v>72</v>
      </c>
      <c r="C89" s="1013" t="s">
        <v>2218</v>
      </c>
      <c r="D89" s="1137" t="s">
        <v>2215</v>
      </c>
      <c r="E89" s="1013" t="s">
        <v>2215</v>
      </c>
      <c r="F89" s="1013" t="s">
        <v>2181</v>
      </c>
      <c r="G89" s="1013"/>
      <c r="H89" s="1061"/>
      <c r="I89" s="1175" t="str">
        <f>INDEX(TEMPLATE_NUMBER_POINT_FHD,B89,MATCH(TEMPLATE_SPHERE,TEMPLATE_SPHERE_LIST_FOR_NOTE,0))</f>
        <v>13</v>
      </c>
      <c r="J89" s="1175" t="str">
        <f>INDEX(TEMPLATE_DATA_POINT_FHD,B89,MATCH(TEMPLATE_SPHERE,TEMPLATE_SPHERE_LIST_FOR_NOTE,0))</f>
        <v>Среднесписочная численность основного производственного персонала</v>
      </c>
      <c r="K89" s="1175">
        <f>INDEX(TEMPLATE_NOTE_POINT_FHD,B89,MATCH(TEMPLATE_SPHERE,TEMPLATE_SPHERE_LIST_FOR_NOTE,0))</f>
        <v>0</v>
      </c>
      <c r="L89" s="1014" t="str">
        <f>IF(I89=0,"",I89)</f>
        <v>13</v>
      </c>
      <c r="M89" s="1014" t="str">
        <f>IF(J89=0,"",J89)</f>
        <v>Среднесписочная численность основного производственного персонала</v>
      </c>
      <c r="N89" s="1014" t="str">
        <f>IF(K89=0,"",K89)</f>
        <v/>
      </c>
      <c r="O89" s="1127" t="s">
        <v>155</v>
      </c>
      <c r="P89" s="1127" t="s">
        <v>154</v>
      </c>
      <c r="Q89" s="1127" t="s">
        <v>154</v>
      </c>
      <c r="R89" s="1127" t="s">
        <v>152</v>
      </c>
      <c r="S89" s="1127"/>
      <c r="T89" s="1013" t="s">
        <v>689</v>
      </c>
      <c r="U89" s="1013" t="s">
        <v>689</v>
      </c>
      <c r="V89" s="1013" t="s">
        <v>689</v>
      </c>
      <c r="W89" s="1013" t="s">
        <v>689</v>
      </c>
      <c r="X89" s="1013"/>
      <c r="Y89" s="1170"/>
      <c r="Z89" s="1016"/>
      <c r="AA89" s="1019"/>
      <c r="AB89" s="1016"/>
      <c r="AC89" s="1016"/>
      <c r="AD89" s="1016"/>
    </row>
    <row customHeight="1" ht="27">
      <c r="A90" s="1015"/>
      <c r="B90" s="1069">
        <v>73</v>
      </c>
      <c r="C90" s="1013" t="s">
        <v>2219</v>
      </c>
      <c r="D90" s="1137"/>
      <c r="E90" s="1013"/>
      <c r="F90" s="1013"/>
      <c r="G90" s="1013"/>
      <c r="H90" s="1061"/>
      <c r="I90" s="1175" t="str">
        <f>INDEX(TEMPLATE_NUMBER_POINT_FHD,B90,MATCH(TEMPLATE_SPHERE,TEMPLATE_SPHERE_LIST_FOR_NOTE,0))</f>
        <v>14</v>
      </c>
      <c r="J90" s="1175" t="str">
        <f>INDEX(TEMPLATE_DATA_POINT_FHD,B90,MATCH(TEMPLATE_SPHERE,TEMPLATE_SPHERE_LIST_FOR_NOTE,0))</f>
        <v>Среднесписочная численность административно-управленческого персонала</v>
      </c>
      <c r="K90" s="1175">
        <f>INDEX(TEMPLATE_NOTE_POINT_FHD,B90,MATCH(TEMPLATE_SPHERE,TEMPLATE_SPHERE_LIST_FOR_NOTE,0))</f>
        <v>0</v>
      </c>
      <c r="L90" s="1014" t="str">
        <f>IF(I90=0,"",I90)</f>
        <v>14</v>
      </c>
      <c r="M90" s="1014" t="str">
        <f>IF(J90=0,"",J90)</f>
        <v>Среднесписочная численность административно-управленческого персонала</v>
      </c>
      <c r="N90" s="1014" t="str">
        <f>IF(K90=0,"",K90)</f>
        <v/>
      </c>
      <c r="O90" s="1127" t="s">
        <v>156</v>
      </c>
      <c r="P90" s="1127"/>
      <c r="Q90" s="1127"/>
      <c r="R90" s="1127"/>
      <c r="S90" s="1127"/>
      <c r="T90" s="1013" t="s">
        <v>691</v>
      </c>
      <c r="U90" s="1013"/>
      <c r="V90" s="1013"/>
      <c r="W90" s="1013"/>
      <c r="X90" s="1013"/>
      <c r="Y90" s="1170"/>
      <c r="Z90" s="1016"/>
      <c r="AA90" s="1019"/>
      <c r="AB90" s="1016"/>
      <c r="AC90" s="1016"/>
      <c r="AD90" s="1016"/>
    </row>
    <row customHeight="1" ht="18">
      <c r="A91" s="1015"/>
      <c r="B91" s="1069">
        <v>74</v>
      </c>
      <c r="C91" s="1013"/>
      <c r="D91" s="1137" t="s">
        <v>2217</v>
      </c>
      <c r="E91" s="1013" t="s">
        <v>2217</v>
      </c>
      <c r="F91" s="1013"/>
      <c r="G91" s="1013"/>
      <c r="H91" s="1061"/>
      <c r="I91" s="1175">
        <f>INDEX(TEMPLATE_NUMBER_POINT_FHD,B91,MATCH(TEMPLATE_SPHERE,TEMPLATE_SPHERE_LIST_FOR_NOTE,0))</f>
        <v>0</v>
      </c>
      <c r="J91" s="1175">
        <f>INDEX(TEMPLATE_DATA_POINT_FHD,B91,MATCH(TEMPLATE_SPHERE,TEMPLATE_SPHERE_LIST_FOR_NOTE,0))</f>
        <v>0</v>
      </c>
      <c r="K91" s="1175">
        <f>INDEX(TEMPLATE_NOTE_POINT_FHD,B91,MATCH(TEMPLATE_SPHERE,TEMPLATE_SPHERE_LIST_FOR_NOTE,0))</f>
        <v>0</v>
      </c>
      <c r="L91" s="1014" t="str">
        <f>IF(I91=0,"",I91)</f>
        <v/>
      </c>
      <c r="M91" s="1014" t="str">
        <f>IF(J91=0,"",J91)</f>
        <v/>
      </c>
      <c r="N91" s="1014" t="str">
        <f>IF(K91=0,"",K91)</f>
        <v/>
      </c>
      <c r="O91" s="1127"/>
      <c r="P91" s="1127" t="s">
        <v>155</v>
      </c>
      <c r="Q91" s="1127" t="s">
        <v>155</v>
      </c>
      <c r="R91" s="1127"/>
      <c r="S91" s="1127"/>
      <c r="T91" s="1013"/>
      <c r="U91" s="1013" t="s">
        <v>2220</v>
      </c>
      <c r="V91" s="1013" t="s">
        <v>2220</v>
      </c>
      <c r="W91" s="1013"/>
      <c r="X91" s="1013"/>
      <c r="Y91" s="1170"/>
      <c r="Z91" s="1016"/>
      <c r="AA91" s="1019"/>
      <c r="AB91" s="1016"/>
      <c r="AC91" s="1016"/>
      <c r="AD91" s="1016"/>
    </row>
    <row customHeight="1" ht="27">
      <c r="A92" s="1015"/>
      <c r="B92" s="1069">
        <v>75</v>
      </c>
      <c r="C92" s="1013"/>
      <c r="D92" s="1137" t="s">
        <v>2218</v>
      </c>
      <c r="E92" s="1013"/>
      <c r="F92" s="1013"/>
      <c r="G92" s="1013"/>
      <c r="H92" s="1061"/>
      <c r="I92" s="1175">
        <f>INDEX(TEMPLATE_NUMBER_POINT_FHD,B92,MATCH(TEMPLATE_SPHERE,TEMPLATE_SPHERE_LIST_FOR_NOTE,0))</f>
        <v>0</v>
      </c>
      <c r="J92" s="1175">
        <f>INDEX(TEMPLATE_DATA_POINT_FHD,B92,MATCH(TEMPLATE_SPHERE,TEMPLATE_SPHERE_LIST_FOR_NOTE,0))</f>
        <v>0</v>
      </c>
      <c r="K92" s="1175">
        <f>INDEX(TEMPLATE_NOTE_POINT_FHD,B92,MATCH(TEMPLATE_SPHERE,TEMPLATE_SPHERE_LIST_FOR_NOTE,0))</f>
        <v>0</v>
      </c>
      <c r="L92" s="1014" t="str">
        <f>IF(I92=0,"",I92)</f>
        <v/>
      </c>
      <c r="M92" s="1014" t="str">
        <f>IF(J92=0,"",J92)</f>
        <v/>
      </c>
      <c r="N92" s="1014" t="str">
        <f>IF(K92=0,"",K92)</f>
        <v/>
      </c>
      <c r="O92" s="1127"/>
      <c r="P92" s="1127" t="s">
        <v>156</v>
      </c>
      <c r="Q92" s="1127"/>
      <c r="R92" s="1127"/>
      <c r="S92" s="1127"/>
      <c r="T92" s="1013"/>
      <c r="U92" s="1013" t="s">
        <v>2221</v>
      </c>
      <c r="V92" s="1013"/>
      <c r="W92" s="1013"/>
      <c r="X92" s="1013"/>
      <c r="Y92" s="1170"/>
      <c r="Z92" s="1016"/>
      <c r="AA92" s="1019" t="s">
        <v>2222</v>
      </c>
      <c r="AB92" s="1016"/>
      <c r="AC92" s="1016"/>
      <c r="AD92" s="1016"/>
    </row>
    <row customHeight="1" ht="27">
      <c r="A93" s="1015"/>
      <c r="B93" s="1069">
        <v>76</v>
      </c>
      <c r="C93" s="1013"/>
      <c r="D93" s="1137"/>
      <c r="E93" s="1013"/>
      <c r="F93" s="1013"/>
      <c r="G93" s="1013"/>
      <c r="H93" s="1061"/>
      <c r="I93" s="1175">
        <f>INDEX(TEMPLATE_NUMBER_POINT_FHD,B93,MATCH(TEMPLATE_SPHERE,TEMPLATE_SPHERE_LIST_FOR_NOTE,0))</f>
        <v>0</v>
      </c>
      <c r="J93" s="1175">
        <f>INDEX(TEMPLATE_DATA_POINT_FHD,B93,MATCH(TEMPLATE_SPHERE,TEMPLATE_SPHERE_LIST_FOR_NOTE,0))</f>
        <v>0</v>
      </c>
      <c r="K93" s="1175">
        <f>INDEX(TEMPLATE_NOTE_POINT_FHD,B93,MATCH(TEMPLATE_SPHERE,TEMPLATE_SPHERE_LIST_FOR_NOTE,0))</f>
        <v>0</v>
      </c>
      <c r="L93" s="1014" t="str">
        <f>IF(I93=0,"",I93)</f>
        <v/>
      </c>
      <c r="M93" s="1014" t="str">
        <f>IF(J93=0,"",J93)</f>
        <v/>
      </c>
      <c r="N93" s="1014" t="str">
        <f>IF(K93=0,"",K93)</f>
        <v/>
      </c>
      <c r="O93" s="1127"/>
      <c r="P93" s="1127" t="s">
        <v>2128</v>
      </c>
      <c r="Q93" s="1127"/>
      <c r="R93" s="1127"/>
      <c r="S93" s="1127"/>
      <c r="T93" s="1013"/>
      <c r="U93" s="1013" t="s">
        <v>2223</v>
      </c>
      <c r="V93" s="1013"/>
      <c r="W93" s="1013"/>
      <c r="X93" s="1013"/>
      <c r="Y93" s="1170"/>
      <c r="Z93" s="1016"/>
      <c r="AA93" s="1019" t="s">
        <v>2224</v>
      </c>
      <c r="AB93" s="1016"/>
      <c r="AC93" s="1016"/>
      <c r="AD93" s="1016"/>
    </row>
    <row customHeight="1" ht="45">
      <c r="A94" s="1015"/>
      <c r="B94" s="1069">
        <v>77</v>
      </c>
      <c r="C94" s="1013"/>
      <c r="D94" s="1137" t="s">
        <v>2219</v>
      </c>
      <c r="E94" s="1013"/>
      <c r="F94" s="1013"/>
      <c r="G94" s="1013"/>
      <c r="H94" s="1061"/>
      <c r="I94" s="1175">
        <f>INDEX(TEMPLATE_NUMBER_POINT_FHD,B94,MATCH(TEMPLATE_SPHERE,TEMPLATE_SPHERE_LIST_FOR_NOTE,0))</f>
        <v>0</v>
      </c>
      <c r="J94" s="1175">
        <f>INDEX(TEMPLATE_DATA_POINT_FHD,B94,MATCH(TEMPLATE_SPHERE,TEMPLATE_SPHERE_LIST_FOR_NOTE,0))</f>
        <v>0</v>
      </c>
      <c r="K94" s="1175">
        <f>INDEX(TEMPLATE_NOTE_POINT_FHD,B94,MATCH(TEMPLATE_SPHERE,TEMPLATE_SPHERE_LIST_FOR_NOTE,0))</f>
        <v>0</v>
      </c>
      <c r="L94" s="1014" t="str">
        <f>IF(I94=0,"",I94)</f>
        <v/>
      </c>
      <c r="M94" s="1014" t="str">
        <f>IF(J94=0,"",J94)</f>
        <v/>
      </c>
      <c r="N94" s="1014" t="str">
        <f>IF(K94=0,"",K94)</f>
        <v/>
      </c>
      <c r="O94" s="1127"/>
      <c r="P94" s="1127" t="s">
        <v>1481</v>
      </c>
      <c r="Q94" s="1127"/>
      <c r="R94" s="1127"/>
      <c r="S94" s="1127"/>
      <c r="T94" s="1013"/>
      <c r="U94" s="1013" t="s">
        <v>2225</v>
      </c>
      <c r="V94" s="1013"/>
      <c r="W94" s="1013"/>
      <c r="X94" s="1013"/>
      <c r="Y94" s="1170"/>
      <c r="Z94" s="1016"/>
      <c r="AA94" s="1019" t="s">
        <v>2226</v>
      </c>
      <c r="AB94" s="1016"/>
      <c r="AC94" s="1016"/>
      <c r="AD94" s="1016"/>
    </row>
    <row customHeight="1" ht="99">
      <c r="A95" s="1015"/>
      <c r="B95" s="1069">
        <v>78</v>
      </c>
      <c r="C95" s="1013" t="s">
        <v>2227</v>
      </c>
      <c r="D95" s="1137"/>
      <c r="E95" s="1013"/>
      <c r="F95" s="1013"/>
      <c r="G95" s="1013"/>
      <c r="H95" s="1061"/>
      <c r="I95" s="1175" t="str">
        <f>INDEX(TEMPLATE_NUMBER_POINT_FHD,B95,MATCH(TEMPLATE_SPHERE,TEMPLATE_SPHERE_LIST_FOR_NOTE,0))</f>
        <v>15</v>
      </c>
      <c r="J95" s="117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175">
        <f>INDEX(TEMPLATE_NOTE_POINT_FHD,B95,MATCH(TEMPLATE_SPHERE,TEMPLATE_SPHERE_LIST_FOR_NOTE,0))</f>
        <v>0</v>
      </c>
      <c r="L95" s="1014" t="str">
        <f>IF(I95=0,"",I95)</f>
        <v>15</v>
      </c>
      <c r="M95" s="101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1014" t="str">
        <f>IF(K95=0,"",K95)</f>
        <v/>
      </c>
      <c r="O95" s="1127" t="s">
        <v>1481</v>
      </c>
      <c r="P95" s="1127"/>
      <c r="Q95" s="1127"/>
      <c r="R95" s="1127"/>
      <c r="S95" s="1127"/>
      <c r="T95" s="1013" t="s">
        <v>2228</v>
      </c>
      <c r="U95" s="1013"/>
      <c r="V95" s="1013"/>
      <c r="W95" s="1013"/>
      <c r="X95" s="1013"/>
      <c r="Y95" s="1170"/>
      <c r="Z95" s="1016"/>
      <c r="AA95" s="1019"/>
      <c r="AB95" s="1016"/>
      <c r="AC95" s="1016"/>
      <c r="AD95" s="1016"/>
    </row>
    <row customHeight="1" ht="99">
      <c r="A96" s="1015"/>
      <c r="B96" s="1069">
        <v>79</v>
      </c>
      <c r="C96" s="1013" t="s">
        <v>1173</v>
      </c>
      <c r="D96" s="1137"/>
      <c r="E96" s="1013"/>
      <c r="F96" s="1013"/>
      <c r="G96" s="1013"/>
      <c r="H96" s="1061"/>
      <c r="I96" s="1175" t="str">
        <f>INDEX(TEMPLATE_NUMBER_POINT_FHD,B96,MATCH(TEMPLATE_SPHERE,TEMPLATE_SPHERE_LIST_FOR_NOTE,0))</f>
        <v>16</v>
      </c>
      <c r="J96" s="117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17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1014" t="str">
        <f>IF(I96=0,"",I96)</f>
        <v>16</v>
      </c>
      <c r="M96" s="101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101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127" t="s">
        <v>1487</v>
      </c>
      <c r="P96" s="1127"/>
      <c r="Q96" s="1127"/>
      <c r="R96" s="1127"/>
      <c r="S96" s="1127"/>
      <c r="T96" s="1013" t="s">
        <v>2229</v>
      </c>
      <c r="U96" s="1013"/>
      <c r="V96" s="1013"/>
      <c r="W96" s="1013"/>
      <c r="X96" s="1013"/>
      <c r="Y96" s="1170"/>
      <c r="Z96" s="1016" t="s">
        <v>2230</v>
      </c>
      <c r="AA96" s="1019"/>
      <c r="AB96" s="1016"/>
      <c r="AC96" s="1016"/>
      <c r="AD96" s="1016"/>
    </row>
    <row customHeight="1" ht="63">
      <c r="A97" s="1015"/>
      <c r="B97" s="1069">
        <v>80</v>
      </c>
      <c r="C97" s="1013" t="s">
        <v>2231</v>
      </c>
      <c r="D97" s="1137"/>
      <c r="E97" s="1013"/>
      <c r="F97" s="1013"/>
      <c r="G97" s="1013"/>
      <c r="H97" s="1061"/>
      <c r="I97" s="1175" t="str">
        <f>INDEX(TEMPLATE_NUMBER_POINT_FHD,B97,MATCH(TEMPLATE_SPHERE,TEMPLATE_SPHERE_LIST_FOR_NOTE,0))</f>
        <v>17</v>
      </c>
      <c r="J97" s="117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17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1014" t="str">
        <f>IF(I97=0,"",I97)</f>
        <v>17</v>
      </c>
      <c r="M97" s="101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1014" t="str">
        <f>IF(K97=0,"",K97)</f>
        <v>Регулируемыми организациями указывается информация с по договорам, заключенным в рамках осуществления регулируемой деятельности.</v>
      </c>
      <c r="O97" s="1127" t="s">
        <v>1499</v>
      </c>
      <c r="P97" s="1127"/>
      <c r="Q97" s="1127"/>
      <c r="R97" s="1127"/>
      <c r="S97" s="1127"/>
      <c r="T97" s="1013" t="s">
        <v>2232</v>
      </c>
      <c r="U97" s="1013"/>
      <c r="V97" s="1013"/>
      <c r="W97" s="1013"/>
      <c r="X97" s="1013"/>
      <c r="Y97" s="1170"/>
      <c r="Z97" s="1016" t="s">
        <v>2233</v>
      </c>
      <c r="AA97" s="1019"/>
      <c r="AB97" s="1016"/>
      <c r="AC97" s="1016"/>
      <c r="AD97" s="1016"/>
    </row>
    <row customHeight="1" ht="63">
      <c r="A98" s="1015"/>
      <c r="B98" s="1069">
        <v>81</v>
      </c>
      <c r="C98" s="1013" t="s">
        <v>2234</v>
      </c>
      <c r="D98" s="1137"/>
      <c r="E98" s="1013"/>
      <c r="F98" s="1013"/>
      <c r="G98" s="1013"/>
      <c r="H98" s="1061"/>
      <c r="I98" s="1175" t="str">
        <f>INDEX(TEMPLATE_NUMBER_POINT_FHD,B98,MATCH(TEMPLATE_SPHERE,TEMPLATE_SPHERE_LIST_FOR_NOTE,0))</f>
        <v>18</v>
      </c>
      <c r="J98" s="117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17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1014" t="str">
        <f>IF(I98=0,"",I98)</f>
        <v>18</v>
      </c>
      <c r="M98" s="101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1014" t="str">
        <f>IF(K98=0,"",K98)</f>
        <v>Регулируемыми организациями указывается информация с по договорам, заключенным в рамках осуществления регулируемой деятельности.</v>
      </c>
      <c r="O98" s="1127" t="s">
        <v>1513</v>
      </c>
      <c r="P98" s="1127"/>
      <c r="Q98" s="1127"/>
      <c r="R98" s="1127"/>
      <c r="S98" s="1127"/>
      <c r="T98" s="1013" t="s">
        <v>2235</v>
      </c>
      <c r="U98" s="1013"/>
      <c r="V98" s="1013"/>
      <c r="W98" s="1013"/>
      <c r="X98" s="1013"/>
      <c r="Y98" s="1170"/>
      <c r="Z98" s="1016" t="s">
        <v>2233</v>
      </c>
      <c r="AA98" s="1019"/>
      <c r="AB98" s="1016"/>
      <c r="AC98" s="1016"/>
      <c r="AD98" s="1016"/>
    </row>
    <row customHeight="1" ht="90">
      <c r="A99" s="1015"/>
      <c r="B99" s="1069">
        <v>82</v>
      </c>
      <c r="C99" s="1013" t="s">
        <v>2236</v>
      </c>
      <c r="D99" s="1137"/>
      <c r="E99" s="1013"/>
      <c r="F99" s="1013"/>
      <c r="G99" s="1013"/>
      <c r="H99" s="1061"/>
      <c r="I99" s="1175" t="str">
        <f>INDEX(TEMPLATE_NUMBER_POINT_FHD,B99,MATCH(TEMPLATE_SPHERE,TEMPLATE_SPHERE_LIST_FOR_NOTE,0))</f>
        <v>19</v>
      </c>
      <c r="J99" s="117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175" t="str">
        <f>INDEX(TEMPLATE_NOTE_POINT_FHD,B99,MATCH(TEMPLATE_SPHERE,TEMPLATE_SPHERE_LIST_FOR_NOTE,0))</f>
        <v>Указывается ссылка на документ, предварительно загруженный в хранилище файлов ФГИС ЕИАС.</v>
      </c>
      <c r="L99" s="1014" t="str">
        <f>IF(I99=0,"",I99)</f>
        <v>19</v>
      </c>
      <c r="M99" s="101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1014" t="str">
        <f>IF(K99=0,"",K99)</f>
        <v>Указывается ссылка на документ, предварительно загруженный в хранилище файлов ФГИС ЕИАС.</v>
      </c>
      <c r="O99" s="1127" t="s">
        <v>1525</v>
      </c>
      <c r="P99" s="1127"/>
      <c r="Q99" s="1127"/>
      <c r="R99" s="1127"/>
      <c r="S99" s="1127"/>
      <c r="T99" s="1013" t="s">
        <v>2237</v>
      </c>
      <c r="U99" s="1013"/>
      <c r="V99" s="1013"/>
      <c r="W99" s="1013"/>
      <c r="X99" s="1013"/>
      <c r="Y99" s="1170"/>
      <c r="Z99" s="1016" t="s">
        <v>646</v>
      </c>
      <c r="AA99" s="1019"/>
      <c r="AB99" s="1016"/>
      <c r="AC99" s="1016"/>
      <c r="AD99" s="1016"/>
    </row>
    <row customHeight="1" ht="27">
      <c r="A100" s="1015"/>
      <c r="B100" s="1069">
        <v>83</v>
      </c>
      <c r="C100" s="1013"/>
      <c r="D100" s="1137"/>
      <c r="E100" s="1013"/>
      <c r="F100" s="1013"/>
      <c r="G100" s="1013"/>
      <c r="H100" s="1061"/>
      <c r="I100" s="1175" t="str">
        <f>INDEX(TEMPLATE_NUMBER_POINT_FHD,B100,MATCH(TEMPLATE_SPHERE,TEMPLATE_SPHERE_LIST_FOR_NOTE,0))</f>
        <v>19.1</v>
      </c>
      <c r="J100" s="1175" t="str">
        <f>INDEX(TEMPLATE_DATA_POINT_FHD,B100,MATCH(TEMPLATE_SPHERE,TEMPLATE_SPHERE_LIST_FOR_NOTE,0))</f>
        <v>Информация о показателях физического износа объектов теплоснабжения</v>
      </c>
      <c r="K100" s="1175" t="str">
        <f>INDEX(TEMPLATE_NOTE_POINT_FHD,B100,MATCH(TEMPLATE_SPHERE,TEMPLATE_SPHERE_LIST_FOR_NOTE,0))</f>
        <v>Указывается ссылка на документ, предварительно загруженный в хранилище файлов ФГИС ЕИАС.</v>
      </c>
      <c r="L100" s="1014" t="str">
        <f>IF(I100=0,"",I100)</f>
        <v>19.1</v>
      </c>
      <c r="M100" s="1014" t="str">
        <f>IF(J100=0,"",J100)</f>
        <v>Информация о показателях физического износа объектов теплоснабжения</v>
      </c>
      <c r="N100" s="1014" t="str">
        <f>IF(K100=0,"",K100)</f>
        <v>Указывается ссылка на документ, предварительно загруженный в хранилище файлов ФГИС ЕИАС.</v>
      </c>
      <c r="O100" s="1127" t="s">
        <v>2238</v>
      </c>
      <c r="P100" s="1127"/>
      <c r="Q100" s="1127"/>
      <c r="R100" s="1127"/>
      <c r="S100" s="1127"/>
      <c r="T100" s="1013" t="s">
        <v>2239</v>
      </c>
      <c r="U100" s="1013"/>
      <c r="V100" s="1013"/>
      <c r="W100" s="1013"/>
      <c r="X100" s="1013"/>
      <c r="Y100" s="1170"/>
      <c r="Z100" s="1016" t="s">
        <v>646</v>
      </c>
      <c r="AA100" s="1019"/>
      <c r="AB100" s="1016"/>
      <c r="AC100" s="1016"/>
      <c r="AD100" s="1016"/>
    </row>
    <row customHeight="1" ht="27">
      <c r="A101" s="1015"/>
      <c r="B101" s="1069">
        <v>84</v>
      </c>
      <c r="C101" s="1013"/>
      <c r="D101" s="1137"/>
      <c r="E101" s="1013"/>
      <c r="F101" s="1013"/>
      <c r="G101" s="1013"/>
      <c r="H101" s="1061"/>
      <c r="I101" s="1175" t="str">
        <f>INDEX(TEMPLATE_NUMBER_POINT_FHD,B101,MATCH(TEMPLATE_SPHERE,TEMPLATE_SPHERE_LIST_FOR_NOTE,0))</f>
        <v>19.2</v>
      </c>
      <c r="J101" s="1175" t="str">
        <f>INDEX(TEMPLATE_DATA_POINT_FHD,B101,MATCH(TEMPLATE_SPHERE,TEMPLATE_SPHERE_LIST_FOR_NOTE,0))</f>
        <v>Информация о показателях энергетической эффективности объектов теплоснабжения</v>
      </c>
      <c r="K101" s="1175" t="str">
        <f>INDEX(TEMPLATE_NOTE_POINT_FHD,B101,MATCH(TEMPLATE_SPHERE,TEMPLATE_SPHERE_LIST_FOR_NOTE,0))</f>
        <v>Указывается ссылка на документ, предварительно загруженный в хранилище файлов ФГИС ЕИАС.</v>
      </c>
      <c r="L101" s="1014" t="str">
        <f>IF(I101=0,"",I101)</f>
        <v>19.2</v>
      </c>
      <c r="M101" s="1014" t="str">
        <f>IF(J101=0,"",J101)</f>
        <v>Информация о показателях энергетической эффективности объектов теплоснабжения</v>
      </c>
      <c r="N101" s="1014" t="str">
        <f>IF(K101=0,"",K101)</f>
        <v>Указывается ссылка на документ, предварительно загруженный в хранилище файлов ФГИС ЕИАС.</v>
      </c>
      <c r="O101" s="1127" t="s">
        <v>2240</v>
      </c>
      <c r="P101" s="1127"/>
      <c r="Q101" s="1127"/>
      <c r="R101" s="1127"/>
      <c r="S101" s="1127"/>
      <c r="T101" s="1013" t="s">
        <v>2241</v>
      </c>
      <c r="U101" s="1013"/>
      <c r="V101" s="1013"/>
      <c r="W101" s="1013"/>
      <c r="X101" s="1013"/>
      <c r="Y101" s="1170"/>
      <c r="Z101" s="1016" t="s">
        <v>646</v>
      </c>
      <c r="AA101" s="1019"/>
      <c r="AB101" s="1016"/>
      <c r="AC101" s="1016"/>
      <c r="AD101" s="1016"/>
    </row>
    <row customHeight="1" ht="9">
      <c r="A102" s="1015"/>
      <c r="B102" s="1015"/>
      <c r="C102" s="1013"/>
      <c r="D102" s="1013"/>
      <c r="E102" s="1013"/>
      <c r="F102" s="1013"/>
      <c r="G102" s="1013"/>
      <c r="H102" s="1061"/>
      <c r="I102" s="1061"/>
      <c r="J102" s="1061"/>
      <c r="K102" s="1061"/>
      <c r="L102" s="1061"/>
      <c r="M102" s="1013"/>
      <c r="N102" s="1060"/>
      <c r="O102" s="1127"/>
      <c r="P102" s="1127"/>
      <c r="Q102" s="1127"/>
      <c r="R102" s="1127"/>
      <c r="S102" s="1013"/>
      <c r="T102" s="1013"/>
      <c r="U102" s="1013"/>
      <c r="V102" s="1013"/>
      <c r="W102" s="1013"/>
      <c r="X102" s="1013"/>
      <c r="Y102" s="1170"/>
      <c r="Z102" s="1016"/>
      <c r="AA102" s="1019"/>
      <c r="AB102" s="1016"/>
      <c r="AC102" s="1016"/>
      <c r="AD102" s="1016"/>
    </row>
    <row customHeight="1" ht="9">
      <c r="A103" s="1015"/>
      <c r="B103" s="1015"/>
      <c r="C103" s="1013"/>
      <c r="D103" s="1013"/>
      <c r="E103" s="1013"/>
      <c r="F103" s="1013"/>
      <c r="G103" s="1013"/>
      <c r="H103" s="1061"/>
      <c r="I103" s="1061"/>
      <c r="J103" s="1061"/>
      <c r="K103" s="1061"/>
      <c r="L103" s="1061"/>
      <c r="M103" s="1013"/>
      <c r="N103" s="1060"/>
      <c r="O103" s="1127"/>
      <c r="P103" s="1127"/>
      <c r="Q103" s="1127"/>
      <c r="R103" s="1127"/>
      <c r="S103" s="1013"/>
      <c r="T103" s="1013"/>
      <c r="U103" s="1013"/>
      <c r="V103" s="1013"/>
      <c r="W103" s="1013"/>
      <c r="X103" s="1013"/>
      <c r="Y103" s="1170"/>
      <c r="Z103" s="1016"/>
      <c r="AA103" s="1019"/>
      <c r="AB103" s="1016"/>
      <c r="AC103" s="1016"/>
      <c r="AD103" s="1016"/>
    </row>
    <row customHeight="1" ht="9">
      <c r="A104" s="1015"/>
      <c r="B104" s="1015"/>
      <c r="C104" s="1013"/>
      <c r="D104" s="1013"/>
      <c r="E104" s="1013"/>
      <c r="F104" s="1013"/>
      <c r="G104" s="1013"/>
      <c r="H104" s="1061"/>
      <c r="I104" s="1061"/>
      <c r="J104" s="1061"/>
      <c r="K104" s="1061"/>
      <c r="L104" s="1061"/>
      <c r="M104" s="1013"/>
      <c r="N104" s="1060"/>
      <c r="O104" s="1127"/>
      <c r="P104" s="1127"/>
      <c r="Q104" s="1127"/>
      <c r="R104" s="1127"/>
      <c r="S104" s="1013"/>
      <c r="T104" s="1013"/>
      <c r="U104" s="1013"/>
      <c r="V104" s="1013"/>
      <c r="W104" s="1013"/>
      <c r="X104" s="1013"/>
      <c r="Y104" s="1170"/>
      <c r="Z104" s="1016"/>
      <c r="AA104" s="1019"/>
      <c r="AB104" s="1016"/>
      <c r="AC104" s="1016"/>
      <c r="AD104" s="1016"/>
    </row>
    <row customHeight="1" ht="9">
      <c r="A105" s="1015"/>
      <c r="B105" s="1015"/>
      <c r="C105" s="1013"/>
      <c r="D105" s="1013"/>
      <c r="E105" s="1013"/>
      <c r="F105" s="1013"/>
      <c r="G105" s="1013"/>
      <c r="H105" s="1061"/>
      <c r="I105" s="1061"/>
      <c r="J105" s="1061"/>
      <c r="K105" s="1061"/>
      <c r="L105" s="1061"/>
      <c r="M105" s="1013"/>
      <c r="N105" s="1060"/>
      <c r="O105" s="1127"/>
      <c r="P105" s="1127"/>
      <c r="Q105" s="1127"/>
      <c r="R105" s="1127"/>
      <c r="S105" s="1013"/>
      <c r="T105" s="1013"/>
      <c r="U105" s="1013"/>
      <c r="V105" s="1013"/>
      <c r="W105" s="1013"/>
      <c r="X105" s="1013"/>
      <c r="Y105" s="1170"/>
      <c r="Z105" s="1016"/>
      <c r="AA105" s="1019"/>
      <c r="AB105" s="1016"/>
      <c r="AC105" s="1016"/>
      <c r="AD105" s="1016"/>
    </row>
    <row customHeight="1" ht="9">
      <c r="A106" s="1015"/>
      <c r="B106" s="1015"/>
      <c r="C106" s="1013"/>
      <c r="D106" s="1013"/>
      <c r="E106" s="1013"/>
      <c r="F106" s="1013"/>
      <c r="G106" s="1013"/>
      <c r="H106" s="1061"/>
      <c r="I106" s="1061"/>
      <c r="J106" s="1061"/>
      <c r="K106" s="1061"/>
      <c r="L106" s="1061"/>
      <c r="M106" s="1013"/>
      <c r="N106" s="1060"/>
      <c r="O106" s="1127"/>
      <c r="P106" s="1127"/>
      <c r="Q106" s="1127"/>
      <c r="R106" s="1127"/>
      <c r="S106" s="1013"/>
      <c r="T106" s="1013"/>
      <c r="U106" s="1013"/>
      <c r="V106" s="1013"/>
      <c r="W106" s="1013"/>
      <c r="X106" s="1013"/>
      <c r="Y106" s="1170"/>
      <c r="Z106" s="1016"/>
      <c r="AA106" s="1019"/>
      <c r="AB106" s="1016"/>
      <c r="AC106" s="1016"/>
      <c r="AD106" s="1016"/>
    </row>
    <row customHeight="1" ht="9">
      <c r="A107" s="1015"/>
      <c r="B107" s="1015"/>
      <c r="C107" s="1013"/>
      <c r="D107" s="1013"/>
      <c r="E107" s="1013"/>
      <c r="F107" s="1013"/>
      <c r="G107" s="1013"/>
      <c r="H107" s="1061"/>
      <c r="I107" s="1061"/>
      <c r="J107" s="1061"/>
      <c r="K107" s="1061"/>
      <c r="L107" s="1061"/>
      <c r="M107" s="1013"/>
      <c r="N107" s="1060"/>
      <c r="O107" s="1127"/>
      <c r="P107" s="1127"/>
      <c r="Q107" s="1127"/>
      <c r="R107" s="1127"/>
      <c r="S107" s="1013"/>
      <c r="T107" s="1013"/>
      <c r="U107" s="1013"/>
      <c r="V107" s="1013"/>
      <c r="W107" s="1013"/>
      <c r="X107" s="1013"/>
      <c r="Y107" s="1170"/>
      <c r="Z107" s="1016"/>
      <c r="AA107" s="1019"/>
      <c r="AB107" s="1016"/>
      <c r="AC107" s="1016"/>
      <c r="AD107" s="1016"/>
    </row>
    <row customHeight="1" ht="9">
      <c r="A108" s="1015"/>
      <c r="B108" s="1015"/>
      <c r="C108" s="1013"/>
      <c r="D108" s="1013"/>
      <c r="E108" s="1013"/>
      <c r="F108" s="1013"/>
      <c r="G108" s="1013"/>
      <c r="H108" s="1061"/>
      <c r="I108" s="1061"/>
      <c r="J108" s="1061"/>
      <c r="K108" s="1061"/>
      <c r="L108" s="1061"/>
      <c r="M108" s="1013"/>
      <c r="N108" s="1060"/>
      <c r="O108" s="1127"/>
      <c r="P108" s="1127"/>
      <c r="Q108" s="1127"/>
      <c r="R108" s="1127"/>
      <c r="S108" s="1013"/>
      <c r="T108" s="1013"/>
      <c r="U108" s="1013"/>
      <c r="V108" s="1013"/>
      <c r="W108" s="1013"/>
      <c r="X108" s="1013"/>
      <c r="Y108" s="1170"/>
      <c r="Z108" s="1016"/>
      <c r="AA108" s="1019"/>
      <c r="AB108" s="1016"/>
      <c r="AC108" s="1016"/>
      <c r="AD108" s="1016"/>
    </row>
    <row customHeight="1" ht="9">
      <c r="A109" s="1015"/>
      <c r="B109" s="1015"/>
      <c r="C109" s="1013"/>
      <c r="D109" s="1013"/>
      <c r="E109" s="1013"/>
      <c r="F109" s="1013"/>
      <c r="G109" s="1013"/>
      <c r="H109" s="1061"/>
      <c r="I109" s="1061"/>
      <c r="J109" s="1061"/>
      <c r="K109" s="1061"/>
      <c r="L109" s="1061"/>
      <c r="M109" s="1013"/>
      <c r="N109" s="1060"/>
      <c r="O109" s="1127"/>
      <c r="P109" s="1127"/>
      <c r="Q109" s="1127"/>
      <c r="R109" s="1127"/>
      <c r="S109" s="1013"/>
      <c r="T109" s="1013"/>
      <c r="U109" s="1013"/>
      <c r="V109" s="1013"/>
      <c r="W109" s="1013"/>
      <c r="X109" s="1013"/>
      <c r="Y109" s="1170"/>
      <c r="Z109" s="1016"/>
      <c r="AA109" s="1019"/>
      <c r="AB109" s="1016"/>
      <c r="AC109" s="1016"/>
      <c r="AD109" s="1016"/>
    </row>
    <row customHeight="1" ht="9">
      <c r="A110" s="1015"/>
      <c r="B110" s="1015"/>
      <c r="C110" s="1013"/>
      <c r="D110" s="1013"/>
      <c r="E110" s="1013"/>
      <c r="F110" s="1013"/>
      <c r="G110" s="1013"/>
      <c r="H110" s="1061"/>
      <c r="I110" s="1061"/>
      <c r="J110" s="1061"/>
      <c r="K110" s="1061"/>
      <c r="L110" s="1061"/>
      <c r="M110" s="1013"/>
      <c r="N110" s="1060"/>
      <c r="O110" s="1127"/>
      <c r="P110" s="1127"/>
      <c r="Q110" s="1127"/>
      <c r="R110" s="1127"/>
      <c r="S110" s="1013"/>
      <c r="T110" s="1013"/>
      <c r="U110" s="1013"/>
      <c r="V110" s="1013"/>
      <c r="W110" s="1013"/>
      <c r="X110" s="1013"/>
      <c r="Y110" s="1170"/>
      <c r="Z110" s="1016"/>
      <c r="AA110" s="1019"/>
      <c r="AB110" s="1016"/>
      <c r="AC110" s="1016"/>
      <c r="AD110" s="1016"/>
    </row>
    <row customHeight="1" ht="9">
      <c r="A111" s="1015"/>
      <c r="B111" s="1015"/>
      <c r="C111" s="1013"/>
      <c r="D111" s="1013"/>
      <c r="E111" s="1013"/>
      <c r="F111" s="1013"/>
      <c r="G111" s="1013"/>
      <c r="H111" s="1061"/>
      <c r="I111" s="1061"/>
      <c r="J111" s="1061"/>
      <c r="K111" s="1061"/>
      <c r="L111" s="1061"/>
      <c r="M111" s="1013"/>
      <c r="N111" s="1060"/>
      <c r="O111" s="1127"/>
      <c r="P111" s="1127"/>
      <c r="Q111" s="1127"/>
      <c r="R111" s="1127"/>
      <c r="S111" s="1013"/>
      <c r="T111" s="1013"/>
      <c r="U111" s="1013"/>
      <c r="V111" s="1013"/>
      <c r="W111" s="1013"/>
      <c r="X111" s="1013"/>
      <c r="Y111" s="1170"/>
      <c r="Z111" s="1016"/>
      <c r="AA111" s="1019"/>
      <c r="AB111" s="1016"/>
      <c r="AC111" s="1016"/>
      <c r="AD111" s="1016"/>
    </row>
    <row customHeight="1" ht="9">
      <c r="A112" s="1015"/>
      <c r="B112" s="1015"/>
      <c r="C112" s="1013"/>
      <c r="D112" s="1013"/>
      <c r="E112" s="1013"/>
      <c r="F112" s="1013"/>
      <c r="G112" s="1013"/>
      <c r="H112" s="1061"/>
      <c r="I112" s="1061"/>
      <c r="J112" s="1061"/>
      <c r="K112" s="1061"/>
      <c r="L112" s="1061"/>
      <c r="M112" s="1013"/>
      <c r="N112" s="1060"/>
      <c r="O112" s="1127"/>
      <c r="P112" s="1127"/>
      <c r="Q112" s="1127"/>
      <c r="R112" s="1127"/>
      <c r="S112" s="1013"/>
      <c r="T112" s="1013"/>
      <c r="U112" s="1013"/>
      <c r="V112" s="1013"/>
      <c r="W112" s="1013"/>
      <c r="X112" s="1013"/>
      <c r="Y112" s="1170"/>
      <c r="Z112" s="1016"/>
      <c r="AA112" s="1019"/>
      <c r="AB112" s="1016"/>
      <c r="AC112" s="1016"/>
      <c r="AD112" s="1016"/>
    </row>
    <row customHeight="1" ht="9">
      <c r="A113" s="1015"/>
      <c r="B113" s="1015"/>
      <c r="C113" s="1013"/>
      <c r="D113" s="1013"/>
      <c r="E113" s="1013"/>
      <c r="F113" s="1013"/>
      <c r="G113" s="1013"/>
      <c r="H113" s="1061"/>
      <c r="I113" s="1061"/>
      <c r="J113" s="1061"/>
      <c r="K113" s="1061"/>
      <c r="L113" s="1061"/>
      <c r="M113" s="1013"/>
      <c r="N113" s="1060"/>
      <c r="O113" s="1127"/>
      <c r="P113" s="1127"/>
      <c r="Q113" s="1127"/>
      <c r="R113" s="1127"/>
      <c r="S113" s="1013"/>
      <c r="T113" s="1013"/>
      <c r="U113" s="1013"/>
      <c r="V113" s="1013"/>
      <c r="W113" s="1013"/>
      <c r="X113" s="1013"/>
      <c r="Y113" s="1170"/>
      <c r="Z113" s="1016"/>
      <c r="AA113" s="1019"/>
      <c r="AB113" s="1016"/>
      <c r="AC113" s="1016"/>
      <c r="AD113" s="1016"/>
    </row>
    <row customHeight="1" ht="9">
      <c r="A114" s="1015"/>
      <c r="B114" s="1015"/>
      <c r="C114" s="1013"/>
      <c r="D114" s="1013"/>
      <c r="E114" s="1013"/>
      <c r="F114" s="1013"/>
      <c r="G114" s="1013"/>
      <c r="H114" s="1061"/>
      <c r="I114" s="1061"/>
      <c r="J114" s="1061"/>
      <c r="K114" s="1061"/>
      <c r="L114" s="1061"/>
      <c r="M114" s="1013"/>
      <c r="N114" s="1060"/>
      <c r="O114" s="1127"/>
      <c r="P114" s="1127"/>
      <c r="Q114" s="1127"/>
      <c r="R114" s="1127"/>
      <c r="S114" s="1013"/>
      <c r="T114" s="1013"/>
      <c r="U114" s="1013"/>
      <c r="V114" s="1013"/>
      <c r="W114" s="1013"/>
      <c r="X114" s="1013"/>
      <c r="Y114" s="1170"/>
      <c r="Z114" s="1016"/>
      <c r="AA114" s="1019"/>
      <c r="AB114" s="1016"/>
      <c r="AC114" s="1016"/>
      <c r="AD114" s="1016"/>
    </row>
    <row customHeight="1" ht="9">
      <c r="A115" s="1015"/>
      <c r="B115" s="1015"/>
      <c r="C115" s="1013"/>
      <c r="D115" s="1013"/>
      <c r="E115" s="1013"/>
      <c r="F115" s="1013"/>
      <c r="G115" s="1013"/>
      <c r="H115" s="1061"/>
      <c r="I115" s="1061"/>
      <c r="J115" s="1061"/>
      <c r="K115" s="1061"/>
      <c r="L115" s="1061"/>
      <c r="M115" s="1013"/>
      <c r="N115" s="1060"/>
      <c r="O115" s="1127"/>
      <c r="P115" s="1127"/>
      <c r="Q115" s="1127"/>
      <c r="R115" s="1127"/>
      <c r="S115" s="1013"/>
      <c r="T115" s="1013"/>
      <c r="U115" s="1013"/>
      <c r="V115" s="1013"/>
      <c r="W115" s="1013"/>
      <c r="X115" s="1013"/>
      <c r="Y115" s="1170"/>
      <c r="Z115" s="1016"/>
      <c r="AA115" s="1019"/>
      <c r="AB115" s="1016"/>
      <c r="AC115" s="1016"/>
      <c r="AD115" s="1016"/>
    </row>
    <row customHeight="1" ht="9">
      <c r="A116" s="1015"/>
      <c r="B116" s="1015"/>
      <c r="C116" s="1013"/>
      <c r="D116" s="1013"/>
      <c r="E116" s="1013"/>
      <c r="F116" s="1013"/>
      <c r="G116" s="1013"/>
      <c r="H116" s="1061"/>
      <c r="I116" s="1061"/>
      <c r="J116" s="1061"/>
      <c r="K116" s="1061"/>
      <c r="L116" s="1061"/>
      <c r="M116" s="1013"/>
      <c r="N116" s="1060"/>
      <c r="O116" s="1127"/>
      <c r="P116" s="1127"/>
      <c r="Q116" s="1127"/>
      <c r="R116" s="1127"/>
      <c r="S116" s="1013"/>
      <c r="T116" s="1013"/>
      <c r="U116" s="1013"/>
      <c r="V116" s="1013"/>
      <c r="W116" s="1013"/>
      <c r="X116" s="1013"/>
      <c r="Y116" s="1170"/>
      <c r="Z116" s="1016"/>
      <c r="AA116" s="1019"/>
      <c r="AB116" s="1016"/>
      <c r="AC116" s="1016"/>
      <c r="AD116" s="1016"/>
    </row>
    <row customHeight="1" ht="9">
      <c r="A117" s="1015"/>
      <c r="B117" s="1015"/>
      <c r="C117" s="1013"/>
      <c r="D117" s="1013"/>
      <c r="E117" s="1013"/>
      <c r="F117" s="1013"/>
      <c r="G117" s="1013"/>
      <c r="H117" s="1061"/>
      <c r="I117" s="1061"/>
      <c r="J117" s="1061"/>
      <c r="K117" s="1061"/>
      <c r="L117" s="1061"/>
      <c r="M117" s="1013"/>
      <c r="N117" s="1060"/>
      <c r="O117" s="1127"/>
      <c r="P117" s="1127"/>
      <c r="Q117" s="1127"/>
      <c r="R117" s="1127"/>
      <c r="S117" s="1013"/>
      <c r="T117" s="1013"/>
      <c r="U117" s="1013"/>
      <c r="V117" s="1013"/>
      <c r="W117" s="1013"/>
      <c r="X117" s="1013"/>
      <c r="Y117" s="1170"/>
      <c r="Z117" s="1016"/>
      <c r="AA117" s="1019"/>
      <c r="AB117" s="1016"/>
      <c r="AC117" s="1016"/>
      <c r="AD117" s="1016"/>
    </row>
    <row customHeight="1" ht="9">
      <c r="A118" s="1015"/>
      <c r="B118" s="1015"/>
      <c r="C118" s="1013"/>
      <c r="D118" s="1013"/>
      <c r="E118" s="1013"/>
      <c r="F118" s="1013"/>
      <c r="G118" s="1013"/>
      <c r="H118" s="1061"/>
      <c r="I118" s="1061"/>
      <c r="J118" s="1061"/>
      <c r="K118" s="1061"/>
      <c r="L118" s="1061"/>
      <c r="M118" s="1013"/>
      <c r="N118" s="1060"/>
      <c r="O118" s="1127"/>
      <c r="P118" s="1127"/>
      <c r="Q118" s="1127"/>
      <c r="R118" s="1127"/>
      <c r="S118" s="1013"/>
      <c r="T118" s="1013"/>
      <c r="U118" s="1013"/>
      <c r="V118" s="1013"/>
      <c r="W118" s="1013"/>
      <c r="X118" s="1013"/>
      <c r="Y118" s="1170"/>
      <c r="Z118" s="1016"/>
      <c r="AA118" s="1019"/>
      <c r="AB118" s="1016"/>
      <c r="AC118" s="1016"/>
      <c r="AD118" s="1016"/>
    </row>
    <row customHeight="1" ht="9">
      <c r="A119" s="1015"/>
      <c r="B119" s="1015"/>
      <c r="C119" s="1013"/>
      <c r="D119" s="1013"/>
      <c r="E119" s="1013"/>
      <c r="F119" s="1013"/>
      <c r="G119" s="1013"/>
      <c r="H119" s="1061"/>
      <c r="I119" s="1061"/>
      <c r="J119" s="1061"/>
      <c r="K119" s="1061"/>
      <c r="L119" s="1061"/>
      <c r="M119" s="1013"/>
      <c r="N119" s="1060"/>
      <c r="O119" s="1127"/>
      <c r="P119" s="1127"/>
      <c r="Q119" s="1127"/>
      <c r="R119" s="1127"/>
      <c r="S119" s="1013"/>
      <c r="T119" s="1013"/>
      <c r="U119" s="1013"/>
      <c r="V119" s="1013"/>
      <c r="W119" s="1013"/>
      <c r="X119" s="1013"/>
      <c r="Y119" s="1170"/>
      <c r="Z119" s="1016"/>
      <c r="AA119" s="1019"/>
      <c r="AB119" s="1016"/>
      <c r="AC119" s="1016"/>
      <c r="AD119" s="1016"/>
    </row>
    <row customHeight="1" ht="9">
      <c r="A120" s="1015"/>
      <c r="B120" s="1015"/>
      <c r="C120" s="1013"/>
      <c r="D120" s="1013"/>
      <c r="E120" s="1013"/>
      <c r="F120" s="1013"/>
      <c r="G120" s="1013"/>
      <c r="H120" s="1061"/>
      <c r="I120" s="1061"/>
      <c r="J120" s="1061"/>
      <c r="K120" s="1061"/>
      <c r="L120" s="1061"/>
      <c r="M120" s="1013"/>
      <c r="N120" s="1060"/>
      <c r="O120" s="1127"/>
      <c r="P120" s="1127"/>
      <c r="Q120" s="1127"/>
      <c r="R120" s="1127"/>
      <c r="S120" s="1013"/>
      <c r="T120" s="1013"/>
      <c r="U120" s="1013"/>
      <c r="V120" s="1013"/>
      <c r="W120" s="1013"/>
      <c r="X120" s="1013"/>
      <c r="Y120" s="1170"/>
      <c r="Z120" s="1016"/>
      <c r="AA120" s="1019"/>
      <c r="AB120" s="1016"/>
      <c r="AC120" s="1016"/>
      <c r="AD120" s="1016"/>
    </row>
    <row customHeight="1" ht="9">
      <c r="A121" s="1015"/>
      <c r="B121" s="1015"/>
      <c r="C121" s="1013"/>
      <c r="D121" s="1013"/>
      <c r="E121" s="1013"/>
      <c r="F121" s="1013"/>
      <c r="G121" s="1013"/>
      <c r="H121" s="1061"/>
      <c r="I121" s="1061"/>
      <c r="J121" s="1061"/>
      <c r="K121" s="1061"/>
      <c r="L121" s="1061"/>
      <c r="M121" s="1013"/>
      <c r="N121" s="1060"/>
      <c r="O121" s="1127"/>
      <c r="P121" s="1127"/>
      <c r="Q121" s="1127"/>
      <c r="R121" s="1127"/>
      <c r="S121" s="1013"/>
      <c r="T121" s="1013"/>
      <c r="U121" s="1013"/>
      <c r="V121" s="1013"/>
      <c r="W121" s="1013"/>
      <c r="X121" s="1013"/>
      <c r="Y121" s="1170"/>
      <c r="Z121" s="1016"/>
      <c r="AA121" s="1019"/>
      <c r="AB121" s="1016"/>
      <c r="AC121" s="1016"/>
      <c r="AD121" s="1016"/>
    </row>
    <row customHeight="1" ht="9">
      <c r="A122" s="1015"/>
      <c r="B122" s="1015"/>
      <c r="C122" s="1013"/>
      <c r="D122" s="1013"/>
      <c r="E122" s="1013"/>
      <c r="F122" s="1013"/>
      <c r="G122" s="1013"/>
      <c r="H122" s="1061"/>
      <c r="I122" s="1061"/>
      <c r="J122" s="1061"/>
      <c r="K122" s="1061"/>
      <c r="L122" s="1061"/>
      <c r="M122" s="1013"/>
      <c r="N122" s="1060"/>
      <c r="O122" s="1127"/>
      <c r="P122" s="1127"/>
      <c r="Q122" s="1127"/>
      <c r="R122" s="1127"/>
      <c r="S122" s="1013"/>
      <c r="T122" s="1013"/>
      <c r="U122" s="1013"/>
      <c r="V122" s="1013"/>
      <c r="W122" s="1013"/>
      <c r="X122" s="1013"/>
      <c r="Y122" s="1170"/>
      <c r="Z122" s="1016"/>
      <c r="AA122" s="1019"/>
      <c r="AB122" s="1016"/>
      <c r="AC122" s="1016"/>
      <c r="AD122" s="1016"/>
    </row>
    <row customHeight="1" ht="9">
      <c r="A123" s="1015"/>
      <c r="B123" s="1015"/>
      <c r="C123" s="1013"/>
      <c r="D123" s="1013"/>
      <c r="E123" s="1013"/>
      <c r="F123" s="1013"/>
      <c r="G123" s="1013"/>
      <c r="H123" s="1061"/>
      <c r="I123" s="1061"/>
      <c r="J123" s="1061"/>
      <c r="K123" s="1061"/>
      <c r="L123" s="1061"/>
      <c r="M123" s="1013"/>
      <c r="N123" s="1060"/>
      <c r="O123" s="1127"/>
      <c r="P123" s="1127"/>
      <c r="Q123" s="1127"/>
      <c r="R123" s="1127"/>
      <c r="S123" s="1013"/>
      <c r="T123" s="1013"/>
      <c r="U123" s="1013"/>
      <c r="V123" s="1013"/>
      <c r="W123" s="1013"/>
      <c r="X123" s="1013"/>
      <c r="Y123" s="1170"/>
      <c r="Z123" s="1016"/>
      <c r="AA123" s="1019"/>
      <c r="AB123" s="1016"/>
      <c r="AC123" s="1016"/>
      <c r="AD123" s="1016"/>
    </row>
    <row customHeight="1" ht="9">
      <c r="A124" s="1015"/>
      <c r="B124" s="1015"/>
      <c r="C124" s="1013"/>
      <c r="D124" s="1013"/>
      <c r="E124" s="1013"/>
      <c r="F124" s="1013"/>
      <c r="G124" s="1013"/>
      <c r="H124" s="1061"/>
      <c r="I124" s="1061"/>
      <c r="J124" s="1061"/>
      <c r="K124" s="1061"/>
      <c r="L124" s="1061"/>
      <c r="M124" s="1013"/>
      <c r="N124" s="1060"/>
      <c r="O124" s="1127"/>
      <c r="P124" s="1127"/>
      <c r="Q124" s="1127"/>
      <c r="R124" s="1127"/>
      <c r="S124" s="1013"/>
      <c r="T124" s="1013"/>
      <c r="U124" s="1013"/>
      <c r="V124" s="1013"/>
      <c r="W124" s="1013"/>
      <c r="X124" s="1013"/>
      <c r="Y124" s="1170"/>
      <c r="Z124" s="1016"/>
      <c r="AA124" s="1019"/>
      <c r="AB124" s="1016"/>
      <c r="AC124" s="1016"/>
      <c r="AD124" s="1016"/>
    </row>
    <row customHeight="1" ht="9">
      <c r="A125" s="1015"/>
      <c r="B125" s="1015"/>
      <c r="C125" s="1013"/>
      <c r="D125" s="1013"/>
      <c r="E125" s="1013"/>
      <c r="F125" s="1013"/>
      <c r="G125" s="1013"/>
      <c r="H125" s="1061"/>
      <c r="I125" s="1061"/>
      <c r="J125" s="1061"/>
      <c r="K125" s="1061"/>
      <c r="L125" s="1061"/>
      <c r="M125" s="1013"/>
      <c r="N125" s="1060"/>
      <c r="O125" s="1127"/>
      <c r="P125" s="1127"/>
      <c r="Q125" s="1127"/>
      <c r="R125" s="1127"/>
      <c r="S125" s="1013"/>
      <c r="T125" s="1013"/>
      <c r="U125" s="1013"/>
      <c r="V125" s="1013"/>
      <c r="W125" s="1013"/>
      <c r="X125" s="1013"/>
      <c r="Y125" s="1170"/>
      <c r="Z125" s="1016"/>
      <c r="AA125" s="1019"/>
      <c r="AB125" s="1016"/>
      <c r="AC125" s="1016"/>
      <c r="AD125" s="1016"/>
    </row>
    <row customHeight="1" ht="9">
      <c r="A126" s="1015"/>
      <c r="B126" s="1015"/>
      <c r="C126" s="1013"/>
      <c r="D126" s="1013"/>
      <c r="E126" s="1013"/>
      <c r="F126" s="1013"/>
      <c r="G126" s="1013"/>
      <c r="H126" s="1061"/>
      <c r="I126" s="1061"/>
      <c r="J126" s="1061"/>
      <c r="K126" s="1061"/>
      <c r="L126" s="1061"/>
      <c r="M126" s="1013"/>
      <c r="N126" s="1060"/>
      <c r="O126" s="1127"/>
      <c r="P126" s="1127"/>
      <c r="Q126" s="1127"/>
      <c r="R126" s="1127"/>
      <c r="S126" s="1013"/>
      <c r="T126" s="1013"/>
      <c r="U126" s="1013"/>
      <c r="V126" s="1013"/>
      <c r="W126" s="1013"/>
      <c r="X126" s="1013"/>
      <c r="Y126" s="1170"/>
      <c r="Z126" s="1016"/>
      <c r="AA126" s="1019"/>
      <c r="AB126" s="1016"/>
      <c r="AC126" s="1016"/>
      <c r="AD126" s="1016"/>
    </row>
    <row customHeight="1" ht="9">
      <c r="A127" s="1015"/>
      <c r="B127" s="1015"/>
      <c r="C127" s="1013"/>
      <c r="D127" s="1013"/>
      <c r="E127" s="1013"/>
      <c r="F127" s="1013"/>
      <c r="G127" s="1013"/>
      <c r="H127" s="1061"/>
      <c r="I127" s="1061"/>
      <c r="J127" s="1061"/>
      <c r="K127" s="1061"/>
      <c r="L127" s="1061"/>
      <c r="M127" s="1013"/>
      <c r="N127" s="1060"/>
      <c r="O127" s="1127"/>
      <c r="P127" s="1127"/>
      <c r="Q127" s="1127"/>
      <c r="R127" s="1127"/>
      <c r="S127" s="1013"/>
      <c r="T127" s="1013"/>
      <c r="U127" s="1013"/>
      <c r="V127" s="1013"/>
      <c r="W127" s="1013"/>
      <c r="X127" s="1013"/>
      <c r="Y127" s="1170"/>
      <c r="Z127" s="1016"/>
      <c r="AA127" s="1019"/>
      <c r="AB127" s="1016"/>
      <c r="AC127" s="1016"/>
      <c r="AD127" s="1016"/>
    </row>
    <row customHeight="1" ht="9">
      <c r="A128" s="1015"/>
      <c r="B128" s="1015"/>
      <c r="C128" s="1013"/>
      <c r="D128" s="1013"/>
      <c r="E128" s="1013"/>
      <c r="F128" s="1013"/>
      <c r="G128" s="1013"/>
      <c r="H128" s="1061"/>
      <c r="I128" s="1061"/>
      <c r="J128" s="1061"/>
      <c r="K128" s="1061"/>
      <c r="L128" s="1061"/>
      <c r="M128" s="1013"/>
      <c r="N128" s="1060"/>
      <c r="O128" s="1127"/>
      <c r="P128" s="1127"/>
      <c r="Q128" s="1127"/>
      <c r="R128" s="1127"/>
      <c r="S128" s="1013"/>
      <c r="T128" s="1013"/>
      <c r="U128" s="1013"/>
      <c r="V128" s="1013"/>
      <c r="W128" s="1013"/>
      <c r="X128" s="1013"/>
      <c r="Y128" s="1170"/>
      <c r="Z128" s="1016"/>
      <c r="AA128" s="1019"/>
      <c r="AB128" s="1016"/>
      <c r="AC128" s="1016"/>
      <c r="AD128" s="1016"/>
    </row>
    <row customHeight="1" ht="9">
      <c r="A129" s="1015"/>
      <c r="B129" s="1015"/>
      <c r="C129" s="1013"/>
      <c r="D129" s="1013"/>
      <c r="E129" s="1013"/>
      <c r="F129" s="1013"/>
      <c r="G129" s="1013"/>
      <c r="H129" s="1061"/>
      <c r="I129" s="1061"/>
      <c r="J129" s="1061"/>
      <c r="K129" s="1061"/>
      <c r="L129" s="1061"/>
      <c r="M129" s="1013"/>
      <c r="N129" s="1060"/>
      <c r="O129" s="1127"/>
      <c r="P129" s="1127"/>
      <c r="Q129" s="1127"/>
      <c r="R129" s="1127"/>
      <c r="S129" s="1013"/>
      <c r="T129" s="1013"/>
      <c r="U129" s="1013"/>
      <c r="V129" s="1013"/>
      <c r="W129" s="1013"/>
      <c r="X129" s="1013"/>
      <c r="Y129" s="1170"/>
      <c r="Z129" s="1016"/>
      <c r="AA129" s="1019"/>
      <c r="AB129" s="1016"/>
      <c r="AC129" s="1016"/>
      <c r="AD129" s="1016"/>
    </row>
    <row customHeight="1" ht="9">
      <c r="A130" s="1015"/>
      <c r="B130" s="1015"/>
      <c r="C130" s="1013"/>
      <c r="D130" s="1013"/>
      <c r="E130" s="1013"/>
      <c r="F130" s="1013"/>
      <c r="G130" s="1013"/>
      <c r="H130" s="1061"/>
      <c r="I130" s="1061"/>
      <c r="J130" s="1061"/>
      <c r="K130" s="1061"/>
      <c r="L130" s="1061"/>
      <c r="M130" s="1013"/>
      <c r="N130" s="1060"/>
      <c r="O130" s="1129"/>
      <c r="P130" s="1129"/>
      <c r="Q130" s="1129"/>
      <c r="R130" s="1129"/>
      <c r="S130" s="1013"/>
      <c r="T130" s="1013"/>
      <c r="U130" s="1013"/>
      <c r="V130" s="1013"/>
      <c r="W130" s="1013"/>
      <c r="X130" s="1013"/>
      <c r="Y130" s="1170"/>
      <c r="Z130" s="1016"/>
      <c r="AA130" s="1019"/>
      <c r="AB130" s="1016"/>
      <c r="AC130" s="1016"/>
      <c r="AD130" s="1016"/>
    </row>
    <row customHeight="1" ht="9">
      <c r="A131" s="1015"/>
      <c r="B131" s="1015"/>
      <c r="C131" s="1013"/>
      <c r="D131" s="1013"/>
      <c r="E131" s="1013"/>
      <c r="F131" s="1013"/>
      <c r="G131" s="1013"/>
      <c r="H131" s="1061"/>
      <c r="I131" s="1061"/>
      <c r="J131" s="1061"/>
      <c r="K131" s="1061"/>
      <c r="L131" s="1061"/>
      <c r="M131" s="1013"/>
      <c r="N131" s="1060"/>
      <c r="O131" s="1130"/>
      <c r="P131" s="1130"/>
      <c r="Q131" s="1130"/>
      <c r="R131" s="1130"/>
      <c r="S131" s="1013"/>
      <c r="T131" s="1013"/>
      <c r="U131" s="1013"/>
      <c r="V131" s="1013"/>
      <c r="W131" s="1013"/>
      <c r="X131" s="1013"/>
      <c r="Y131" s="1170"/>
      <c r="Z131" s="1016"/>
      <c r="AA131" s="1019"/>
      <c r="AB131" s="1016"/>
      <c r="AC131" s="1016"/>
      <c r="AD131" s="1016"/>
    </row>
    <row customHeight="1" ht="9">
      <c r="A132" s="1015"/>
      <c r="B132" s="1015"/>
      <c r="C132" s="1013"/>
      <c r="D132" s="1013"/>
      <c r="E132" s="1013"/>
      <c r="F132" s="1013"/>
      <c r="G132" s="1013"/>
      <c r="H132" s="1061"/>
      <c r="I132" s="1061"/>
      <c r="J132" s="1061"/>
      <c r="K132" s="1061"/>
      <c r="L132" s="1061"/>
      <c r="M132" s="1013"/>
      <c r="N132" s="1060"/>
      <c r="O132" s="1129"/>
      <c r="P132" s="1129"/>
      <c r="Q132" s="1129"/>
      <c r="R132" s="1129"/>
      <c r="S132" s="1013"/>
      <c r="T132" s="1013"/>
      <c r="U132" s="1013"/>
      <c r="V132" s="1013"/>
      <c r="W132" s="1013"/>
      <c r="X132" s="1013"/>
      <c r="Y132" s="1170"/>
      <c r="Z132" s="1016"/>
      <c r="AA132" s="1019"/>
      <c r="AB132" s="1016"/>
      <c r="AC132" s="1016"/>
      <c r="AD132" s="1016"/>
    </row>
    <row customHeight="1" ht="9">
      <c r="A133" s="1015"/>
      <c r="B133" s="1015"/>
      <c r="C133" s="1013"/>
      <c r="D133" s="1013"/>
      <c r="E133" s="1013"/>
      <c r="F133" s="1013"/>
      <c r="G133" s="1013"/>
      <c r="H133" s="1061"/>
      <c r="I133" s="1061"/>
      <c r="J133" s="1061"/>
      <c r="K133" s="1061"/>
      <c r="L133" s="1061"/>
      <c r="M133" s="1013"/>
      <c r="N133" s="1060"/>
      <c r="O133" s="1130"/>
      <c r="P133" s="1130"/>
      <c r="Q133" s="1130"/>
      <c r="R133" s="1130"/>
      <c r="S133" s="1013"/>
      <c r="T133" s="1013"/>
      <c r="U133" s="1013"/>
      <c r="V133" s="1013"/>
      <c r="W133" s="1013"/>
      <c r="X133" s="1013"/>
      <c r="Y133" s="1170"/>
      <c r="Z133" s="1016"/>
      <c r="AA133" s="1019"/>
      <c r="AB133" s="1016"/>
      <c r="AC133" s="1016"/>
      <c r="AD133" s="1016"/>
    </row>
    <row customHeight="1" ht="9">
      <c r="A134" s="1015"/>
      <c r="B134" s="1015"/>
      <c r="C134" s="1013"/>
      <c r="D134" s="1013"/>
      <c r="E134" s="1013"/>
      <c r="F134" s="1013"/>
      <c r="G134" s="1013"/>
      <c r="H134" s="1061"/>
      <c r="I134" s="1061"/>
      <c r="J134" s="1061"/>
      <c r="K134" s="1061"/>
      <c r="L134" s="1061"/>
      <c r="M134" s="1013"/>
      <c r="N134" s="1060"/>
      <c r="O134" s="1127"/>
      <c r="P134" s="1127"/>
      <c r="Q134" s="1127"/>
      <c r="R134" s="1127"/>
      <c r="S134" s="1013"/>
      <c r="T134" s="1013"/>
      <c r="U134" s="1013"/>
      <c r="V134" s="1013"/>
      <c r="W134" s="1013"/>
      <c r="X134" s="1013"/>
      <c r="Y134" s="1170"/>
      <c r="Z134" s="1016"/>
      <c r="AA134" s="1019"/>
      <c r="AB134" s="1016"/>
      <c r="AC134" s="1016"/>
      <c r="AD134" s="1016"/>
    </row>
    <row customHeight="1" ht="9">
      <c r="A135" s="1015"/>
      <c r="B135" s="1015"/>
      <c r="C135" s="1013"/>
      <c r="D135" s="1013"/>
      <c r="E135" s="1013"/>
      <c r="F135" s="1013"/>
      <c r="G135" s="1013"/>
      <c r="H135" s="1061"/>
      <c r="I135" s="1061"/>
      <c r="J135" s="1061"/>
      <c r="K135" s="1061"/>
      <c r="L135" s="1061"/>
      <c r="M135" s="1013"/>
      <c r="N135" s="1060"/>
      <c r="O135" s="1127"/>
      <c r="P135" s="1127"/>
      <c r="Q135" s="1127"/>
      <c r="R135" s="1127"/>
      <c r="S135" s="1013"/>
      <c r="T135" s="1013"/>
      <c r="U135" s="1013"/>
      <c r="V135" s="1013"/>
      <c r="W135" s="1013"/>
      <c r="X135" s="1013"/>
      <c r="Y135" s="1170"/>
      <c r="Z135" s="1016"/>
      <c r="AA135" s="1019"/>
      <c r="AB135" s="1016"/>
      <c r="AC135" s="1016"/>
      <c r="AD135" s="1016"/>
    </row>
    <row customHeight="1" ht="9">
      <c r="A136" s="1015"/>
      <c r="B136" s="1015"/>
      <c r="C136" s="1013"/>
      <c r="D136" s="1013"/>
      <c r="E136" s="1013"/>
      <c r="F136" s="1013"/>
      <c r="G136" s="1013"/>
      <c r="H136" s="1061"/>
      <c r="I136" s="1061"/>
      <c r="J136" s="1061"/>
      <c r="K136" s="1061"/>
      <c r="L136" s="1061"/>
      <c r="M136" s="1013"/>
      <c r="N136" s="1060"/>
      <c r="O136" s="1127"/>
      <c r="P136" s="1127"/>
      <c r="Q136" s="1127"/>
      <c r="R136" s="1127"/>
      <c r="S136" s="1013"/>
      <c r="T136" s="1013"/>
      <c r="U136" s="1013"/>
      <c r="V136" s="1013"/>
      <c r="W136" s="1013"/>
      <c r="X136" s="1013"/>
      <c r="Y136" s="1170"/>
      <c r="Z136" s="1016"/>
      <c r="AA136" s="1019"/>
      <c r="AB136" s="1016"/>
      <c r="AC136" s="1016"/>
      <c r="AD136" s="1016"/>
    </row>
    <row customHeight="1" ht="9">
      <c r="A137" s="1015"/>
      <c r="B137" s="1015"/>
      <c r="C137" s="1013"/>
      <c r="D137" s="1013"/>
      <c r="E137" s="1013"/>
      <c r="F137" s="1013"/>
      <c r="G137" s="1013"/>
      <c r="H137" s="1061"/>
      <c r="I137" s="1061"/>
      <c r="J137" s="1061"/>
      <c r="K137" s="1061"/>
      <c r="L137" s="1061"/>
      <c r="M137" s="1013"/>
      <c r="N137" s="1060"/>
      <c r="O137" s="1131"/>
      <c r="P137" s="1131"/>
      <c r="Q137" s="1131"/>
      <c r="R137" s="1131"/>
      <c r="S137" s="1013"/>
      <c r="T137" s="1013"/>
      <c r="U137" s="1013"/>
      <c r="V137" s="1013"/>
      <c r="W137" s="1013"/>
      <c r="X137" s="1013"/>
      <c r="Y137" s="1170"/>
      <c r="Z137" s="1016"/>
      <c r="AA137" s="1019"/>
      <c r="AB137" s="1016"/>
      <c r="AC137" s="1016"/>
      <c r="AD137" s="1016"/>
    </row>
    <row customHeight="1" ht="9">
      <c r="A138" s="1015"/>
      <c r="B138" s="1015"/>
      <c r="C138" s="1013"/>
      <c r="D138" s="1013"/>
      <c r="E138" s="1013"/>
      <c r="F138" s="1013"/>
      <c r="G138" s="1013"/>
      <c r="H138" s="1061"/>
      <c r="I138" s="1061"/>
      <c r="J138" s="1061"/>
      <c r="K138" s="1061"/>
      <c r="L138" s="1061"/>
      <c r="M138" s="1013"/>
      <c r="N138" s="1060"/>
      <c r="O138" s="1128"/>
      <c r="P138" s="1128"/>
      <c r="Q138" s="1128"/>
      <c r="R138" s="1128"/>
      <c r="S138" s="1013"/>
      <c r="T138" s="1013"/>
      <c r="U138" s="1013"/>
      <c r="V138" s="1013"/>
      <c r="W138" s="1013"/>
      <c r="X138" s="1013"/>
      <c r="Y138" s="1170"/>
      <c r="Z138" s="1016"/>
      <c r="AA138" s="1019"/>
      <c r="AB138" s="1016"/>
      <c r="AC138" s="1016"/>
      <c r="AD138" s="1016"/>
    </row>
    <row customHeight="1" ht="9">
      <c r="A139" s="1015"/>
      <c r="B139" s="1015"/>
      <c r="C139" s="1013"/>
      <c r="D139" s="1013"/>
      <c r="E139" s="1013"/>
      <c r="F139" s="1013"/>
      <c r="G139" s="1013"/>
      <c r="H139" s="1061"/>
      <c r="I139" s="1061"/>
      <c r="J139" s="1061"/>
      <c r="K139" s="1061"/>
      <c r="L139" s="1061"/>
      <c r="M139" s="1013"/>
      <c r="N139" s="1060"/>
      <c r="O139" s="1013"/>
      <c r="P139" s="1013"/>
      <c r="Q139" s="1013"/>
      <c r="R139" s="1013"/>
      <c r="S139" s="1013"/>
      <c r="T139" s="1013"/>
      <c r="U139" s="1013"/>
      <c r="V139" s="1013"/>
      <c r="W139" s="1013"/>
      <c r="X139" s="1013"/>
      <c r="Y139" s="1170"/>
      <c r="Z139" s="1016"/>
      <c r="AA139" s="1019"/>
      <c r="AB139" s="1016"/>
      <c r="AC139" s="1016"/>
      <c r="AD139" s="1016"/>
    </row>
    <row customHeight="1" ht="9">
      <c r="A140" s="1015"/>
      <c r="B140" s="1015"/>
      <c r="C140" s="1013"/>
      <c r="D140" s="1013"/>
      <c r="E140" s="1013"/>
      <c r="F140" s="1013"/>
      <c r="G140" s="1013"/>
      <c r="H140" s="1061"/>
      <c r="I140" s="1061"/>
      <c r="J140" s="1061"/>
      <c r="K140" s="1061"/>
      <c r="L140" s="1061"/>
      <c r="M140" s="1013"/>
      <c r="N140" s="1060"/>
      <c r="O140" s="1013"/>
      <c r="P140" s="1013"/>
      <c r="Q140" s="1013"/>
      <c r="R140" s="1013"/>
      <c r="S140" s="1013"/>
      <c r="T140" s="1013"/>
      <c r="U140" s="1013"/>
      <c r="V140" s="1013"/>
      <c r="W140" s="1013"/>
      <c r="X140" s="1013"/>
      <c r="Y140" s="1170"/>
      <c r="Z140" s="1016"/>
      <c r="AA140" s="1019"/>
      <c r="AB140" s="1016"/>
      <c r="AC140" s="1016"/>
      <c r="AD140" s="1016"/>
    </row>
    <row customHeight="1" ht="9">
      <c r="A141" s="1015"/>
      <c r="B141" s="1015"/>
      <c r="C141" s="1013"/>
      <c r="D141" s="1013"/>
      <c r="E141" s="1013"/>
      <c r="F141" s="1013"/>
      <c r="G141" s="1013"/>
      <c r="H141" s="1061"/>
      <c r="I141" s="1061"/>
      <c r="J141" s="1061"/>
      <c r="K141" s="1061"/>
      <c r="L141" s="1061"/>
      <c r="M141" s="1013"/>
      <c r="N141" s="1060"/>
      <c r="O141" s="1013"/>
      <c r="P141" s="1013"/>
      <c r="Q141" s="1013"/>
      <c r="R141" s="1013"/>
      <c r="S141" s="1013"/>
      <c r="T141" s="1013"/>
      <c r="U141" s="1013"/>
      <c r="V141" s="1013"/>
      <c r="W141" s="1013"/>
      <c r="X141" s="1013"/>
      <c r="Y141" s="1170"/>
      <c r="Z141" s="1016"/>
      <c r="AA141" s="1019"/>
      <c r="AB141" s="1016"/>
      <c r="AC141" s="1016"/>
      <c r="AD141" s="1016"/>
    </row>
    <row customHeight="1" ht="9">
      <c r="A142" s="1015"/>
      <c r="B142" s="1015"/>
      <c r="C142" s="1013"/>
      <c r="D142" s="1013"/>
      <c r="E142" s="1013"/>
      <c r="F142" s="1013"/>
      <c r="G142" s="1013"/>
      <c r="H142" s="1061"/>
      <c r="I142" s="1061"/>
      <c r="J142" s="1061"/>
      <c r="K142" s="1061"/>
      <c r="L142" s="1061"/>
      <c r="M142" s="1013"/>
      <c r="N142" s="1060"/>
      <c r="O142" s="1013"/>
      <c r="P142" s="1013"/>
      <c r="Q142" s="1013"/>
      <c r="R142" s="1013"/>
      <c r="S142" s="1013"/>
      <c r="T142" s="1013"/>
      <c r="U142" s="1013"/>
      <c r="V142" s="1013"/>
      <c r="W142" s="1013"/>
      <c r="X142" s="1013"/>
      <c r="Y142" s="1170"/>
      <c r="Z142" s="1016"/>
      <c r="AA142" s="1019"/>
      <c r="AB142" s="1016"/>
      <c r="AC142" s="1016"/>
      <c r="AD142" s="1016"/>
    </row>
    <row customHeight="1" ht="9">
      <c r="A143" s="1015"/>
      <c r="B143" s="1015"/>
      <c r="C143" s="1013"/>
      <c r="D143" s="1013"/>
      <c r="E143" s="1013"/>
      <c r="F143" s="1013"/>
      <c r="G143" s="1013"/>
      <c r="H143" s="1061"/>
      <c r="I143" s="1061"/>
      <c r="J143" s="1061"/>
      <c r="K143" s="1061"/>
      <c r="L143" s="1061"/>
      <c r="M143" s="1013"/>
      <c r="N143" s="1060"/>
      <c r="O143" s="1013"/>
      <c r="P143" s="1013"/>
      <c r="Q143" s="1013"/>
      <c r="R143" s="1013"/>
      <c r="S143" s="1013"/>
      <c r="T143" s="1013"/>
      <c r="U143" s="1013"/>
      <c r="V143" s="1013"/>
      <c r="W143" s="1013"/>
      <c r="X143" s="1013"/>
      <c r="Y143" s="1170"/>
      <c r="Z143" s="1016"/>
      <c r="AA143" s="1019"/>
      <c r="AB143" s="1016"/>
      <c r="AC143" s="1016"/>
      <c r="AD143" s="1016"/>
    </row>
    <row customHeight="1" ht="9">
      <c r="A144" s="1015"/>
      <c r="B144" s="1015"/>
      <c r="C144" s="1013"/>
      <c r="D144" s="1013"/>
      <c r="E144" s="1013"/>
      <c r="F144" s="1013"/>
      <c r="G144" s="1013"/>
      <c r="H144" s="1061"/>
      <c r="I144" s="1061"/>
      <c r="J144" s="1061"/>
      <c r="K144" s="1061"/>
      <c r="L144" s="1061"/>
      <c r="M144" s="1013"/>
      <c r="N144" s="1060"/>
      <c r="O144" s="1013"/>
      <c r="P144" s="1013"/>
      <c r="Q144" s="1013"/>
      <c r="R144" s="1013"/>
      <c r="S144" s="1013"/>
      <c r="T144" s="1013"/>
      <c r="U144" s="1013"/>
      <c r="V144" s="1013"/>
      <c r="W144" s="1013"/>
      <c r="X144" s="1013"/>
      <c r="Y144" s="1170"/>
      <c r="Z144" s="1016"/>
      <c r="AA144" s="1019"/>
      <c r="AB144" s="1016"/>
      <c r="AC144" s="1016"/>
      <c r="AD144" s="1016"/>
    </row>
    <row customHeight="1" ht="9">
      <c r="A145" s="1015"/>
      <c r="B145" s="1015"/>
      <c r="C145" s="1013"/>
      <c r="D145" s="1013"/>
      <c r="E145" s="1013"/>
      <c r="F145" s="1013"/>
      <c r="G145" s="1013"/>
      <c r="H145" s="1061"/>
      <c r="I145" s="1061"/>
      <c r="J145" s="1061"/>
      <c r="K145" s="1061"/>
      <c r="L145" s="1061"/>
      <c r="M145" s="1013"/>
      <c r="N145" s="1060"/>
      <c r="O145" s="1013"/>
      <c r="P145" s="1013"/>
      <c r="Q145" s="1013"/>
      <c r="R145" s="1013"/>
      <c r="S145" s="1013"/>
      <c r="T145" s="1013"/>
      <c r="U145" s="1013"/>
      <c r="V145" s="1013"/>
      <c r="W145" s="1013"/>
      <c r="X145" s="1013"/>
      <c r="Y145" s="1170"/>
      <c r="Z145" s="1016"/>
      <c r="AA145" s="1019"/>
      <c r="AB145" s="1016"/>
      <c r="AC145" s="1016"/>
      <c r="AD145" s="1016"/>
    </row>
    <row customHeight="1" ht="9">
      <c r="A146" s="1015"/>
      <c r="B146" s="1015"/>
      <c r="C146" s="1013"/>
      <c r="D146" s="1013"/>
      <c r="E146" s="1013"/>
      <c r="F146" s="1013"/>
      <c r="G146" s="1013"/>
      <c r="H146" s="1061"/>
      <c r="I146" s="1061"/>
      <c r="J146" s="1061"/>
      <c r="K146" s="1061"/>
      <c r="L146" s="1061"/>
      <c r="M146" s="1013"/>
      <c r="N146" s="1060"/>
      <c r="O146" s="1013"/>
      <c r="P146" s="1013"/>
      <c r="Q146" s="1013"/>
      <c r="R146" s="1013"/>
      <c r="S146" s="1013"/>
      <c r="T146" s="1013"/>
      <c r="U146" s="1013"/>
      <c r="V146" s="1013"/>
      <c r="W146" s="1013"/>
      <c r="X146" s="1013"/>
      <c r="Y146" s="1170"/>
      <c r="Z146" s="1016"/>
      <c r="AA146" s="1019"/>
      <c r="AB146" s="1016"/>
      <c r="AC146" s="1016"/>
      <c r="AD146" s="1016"/>
    </row>
    <row customHeight="1" ht="9">
      <c r="A147" s="1015"/>
      <c r="B147" s="1015"/>
      <c r="C147" s="1015"/>
      <c r="D147" s="1015"/>
      <c r="E147" s="1015"/>
      <c r="F147" s="1015"/>
      <c r="G147" s="1015"/>
      <c r="H147" s="1015"/>
      <c r="I147" s="1015"/>
      <c r="J147" s="1015"/>
      <c r="K147" s="1015"/>
      <c r="L147" s="1015"/>
      <c r="M147" s="1015"/>
      <c r="N147" s="1015"/>
      <c r="O147" s="1015"/>
      <c r="P147" s="1015"/>
      <c r="Q147" s="1015"/>
      <c r="R147" s="1015"/>
      <c r="S147" s="1015"/>
      <c r="T147" s="1015"/>
      <c r="U147" s="1015"/>
      <c r="V147" s="1015"/>
      <c r="W147" s="1015"/>
      <c r="X147" s="1015"/>
      <c r="Y147" s="1015"/>
      <c r="Z147" s="1015"/>
      <c r="AA147" s="1015"/>
      <c r="AB147" s="1015"/>
      <c r="AC147" s="1015"/>
      <c r="AD147" s="1015"/>
    </row>
    <row customHeight="1" ht="90">
      <c r="A148" s="1015" t="s">
        <v>1678</v>
      </c>
      <c r="B148" s="1015"/>
      <c r="C148" s="1013" t="s">
        <v>2242</v>
      </c>
      <c r="D148" s="1013" t="s">
        <v>1581</v>
      </c>
      <c r="E148" s="1013" t="s">
        <v>1680</v>
      </c>
      <c r="F148" s="1013" t="s">
        <v>2243</v>
      </c>
      <c r="G148" s="1013"/>
      <c r="H148" s="1013"/>
      <c r="I148" s="1133"/>
      <c r="J148" s="1133"/>
      <c r="K148" s="1133"/>
      <c r="L148" s="1133"/>
      <c r="M148" s="106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1018"/>
      <c r="O148" s="1013"/>
      <c r="P148" s="1014"/>
      <c r="Q148" s="1014"/>
      <c r="R148" s="1014"/>
      <c r="S148" s="1013"/>
      <c r="T148" s="1013" t="s">
        <v>2244</v>
      </c>
      <c r="U148" s="101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1014"/>
      <c r="W148" s="1014"/>
      <c r="X148" s="1013" t="s">
        <v>2245</v>
      </c>
      <c r="Y148" s="1170"/>
      <c r="Z148" s="1016"/>
      <c r="AA148" s="1019"/>
      <c r="AB148" s="1016"/>
      <c r="AC148" s="1016"/>
      <c r="AD148" s="1016"/>
    </row>
    <row customHeight="1" ht="9">
      <c r="A149" s="1015"/>
      <c r="B149" s="1015"/>
      <c r="C149" s="1015"/>
      <c r="D149" s="1015"/>
      <c r="E149" s="1015"/>
      <c r="F149" s="1015"/>
      <c r="G149" s="1015"/>
      <c r="H149" s="1015"/>
      <c r="I149" s="1015"/>
      <c r="J149" s="1015"/>
      <c r="K149" s="1015"/>
      <c r="L149" s="1015"/>
      <c r="M149" s="1015"/>
      <c r="N149" s="1015"/>
      <c r="O149" s="1015"/>
      <c r="P149" s="1015"/>
      <c r="Q149" s="1015"/>
      <c r="R149" s="1015"/>
      <c r="S149" s="1015"/>
      <c r="T149" s="1015"/>
      <c r="U149" s="1015"/>
      <c r="V149" s="1015"/>
      <c r="W149" s="1015"/>
      <c r="X149" s="1015"/>
      <c r="Y149" s="1015"/>
      <c r="Z149" s="1015"/>
      <c r="AA149" s="1015"/>
      <c r="AB149" s="1015"/>
      <c r="AC149" s="1015"/>
      <c r="AD149" s="1015"/>
    </row>
    <row customHeight="1" ht="9">
      <c r="A150" s="1015" t="s">
        <v>1682</v>
      </c>
      <c r="B150" s="1015"/>
      <c r="C150" s="1013"/>
      <c r="D150" s="1013"/>
      <c r="E150" s="1013"/>
      <c r="F150" s="1013"/>
      <c r="G150" s="1013"/>
      <c r="H150" s="1013"/>
      <c r="I150" s="1013"/>
      <c r="J150" s="1013"/>
      <c r="K150" s="1013"/>
      <c r="L150" s="1013"/>
      <c r="M150" s="1013"/>
      <c r="N150" s="1013"/>
      <c r="O150" s="1013"/>
      <c r="P150" s="1013"/>
      <c r="Q150" s="1013"/>
      <c r="R150" s="1013"/>
      <c r="S150" s="1013"/>
      <c r="T150" s="1013"/>
      <c r="U150" s="1013"/>
      <c r="V150" s="1013"/>
      <c r="W150" s="1013"/>
      <c r="X150" s="1013"/>
      <c r="Y150" s="1170"/>
      <c r="Z150" s="1016"/>
      <c r="AA150" s="1019"/>
      <c r="AB150" s="1016"/>
      <c r="AC150" s="1016"/>
      <c r="AD150" s="1016"/>
    </row>
    <row customHeight="1" ht="9">
      <c r="A151" s="1015"/>
      <c r="B151" s="1015"/>
      <c r="C151" s="1015"/>
      <c r="D151" s="1015"/>
      <c r="E151" s="1015"/>
      <c r="F151" s="1015"/>
      <c r="G151" s="1015"/>
      <c r="H151" s="1015"/>
      <c r="I151" s="1015"/>
      <c r="J151" s="1015"/>
      <c r="K151" s="1015"/>
      <c r="L151" s="1015"/>
      <c r="M151" s="1015"/>
      <c r="N151" s="1015"/>
      <c r="O151" s="1015"/>
      <c r="P151" s="1015"/>
      <c r="Q151" s="1015"/>
      <c r="R151" s="1015"/>
      <c r="S151" s="1015"/>
      <c r="T151" s="1015"/>
      <c r="U151" s="1015"/>
      <c r="V151" s="1015"/>
      <c r="W151" s="1015"/>
      <c r="X151" s="1015"/>
      <c r="Y151" s="1015"/>
      <c r="Z151" s="1015"/>
      <c r="AA151" s="1015"/>
      <c r="AB151" s="1015"/>
      <c r="AC151" s="1015"/>
      <c r="AD151" s="1015"/>
    </row>
    <row customHeight="1" ht="9">
      <c r="A152" s="1015" t="s">
        <v>1685</v>
      </c>
      <c r="B152" s="1015"/>
      <c r="C152" s="1013"/>
      <c r="D152" s="1013"/>
      <c r="E152" s="1013"/>
      <c r="F152" s="1013"/>
      <c r="G152" s="1013"/>
      <c r="H152" s="1013"/>
      <c r="I152" s="1013"/>
      <c r="J152" s="1013"/>
      <c r="K152" s="1013"/>
      <c r="L152" s="1013"/>
      <c r="M152" s="1013"/>
      <c r="N152" s="1013"/>
      <c r="O152" s="1013"/>
      <c r="P152" s="1013"/>
      <c r="Q152" s="1013"/>
      <c r="R152" s="1013"/>
      <c r="S152" s="1013"/>
      <c r="T152" s="1013"/>
      <c r="U152" s="1013"/>
      <c r="V152" s="1013"/>
      <c r="W152" s="1013"/>
      <c r="X152" s="1013"/>
      <c r="Y152" s="1170"/>
      <c r="Z152" s="1016"/>
      <c r="AA152" s="1019"/>
      <c r="AB152" s="1016"/>
      <c r="AC152" s="1016"/>
      <c r="AD152" s="1016"/>
    </row>
    <row customHeight="1" ht="9">
      <c r="A153" s="1015"/>
      <c r="B153" s="1015"/>
      <c r="C153" s="1015"/>
      <c r="D153" s="1015"/>
      <c r="E153" s="1015"/>
      <c r="F153" s="1015"/>
      <c r="G153" s="1015"/>
      <c r="H153" s="1015"/>
      <c r="I153" s="1015"/>
      <c r="J153" s="1015"/>
      <c r="K153" s="1015"/>
      <c r="L153" s="1015"/>
      <c r="M153" s="1015"/>
      <c r="N153" s="1015"/>
      <c r="O153" s="1015"/>
      <c r="P153" s="1015"/>
      <c r="Q153" s="1015"/>
      <c r="R153" s="1015"/>
      <c r="S153" s="1015"/>
      <c r="T153" s="1015"/>
      <c r="U153" s="1015"/>
      <c r="V153" s="1015"/>
      <c r="W153" s="1015"/>
      <c r="X153" s="1015"/>
      <c r="Y153" s="1015"/>
      <c r="Z153" s="1015"/>
      <c r="AA153" s="1015"/>
      <c r="AB153" s="1015"/>
      <c r="AC153" s="1015"/>
      <c r="AD153" s="1015"/>
    </row>
    <row customHeight="1" ht="9">
      <c r="A154" s="1015" t="s">
        <v>1690</v>
      </c>
      <c r="B154" s="1015"/>
      <c r="C154" s="1013"/>
      <c r="D154" s="1013"/>
      <c r="E154" s="1013"/>
      <c r="F154" s="1013"/>
      <c r="G154" s="1013"/>
      <c r="H154" s="1013"/>
      <c r="I154" s="1013"/>
      <c r="J154" s="1013"/>
      <c r="K154" s="1013"/>
      <c r="L154" s="1013"/>
      <c r="M154" s="1013"/>
      <c r="N154" s="1013"/>
      <c r="O154" s="1013"/>
      <c r="P154" s="1013"/>
      <c r="Q154" s="1013"/>
      <c r="R154" s="1013"/>
      <c r="S154" s="1013"/>
      <c r="T154" s="1013"/>
      <c r="U154" s="1013"/>
      <c r="V154" s="1013"/>
      <c r="W154" s="1013"/>
      <c r="X154" s="1013"/>
      <c r="Y154" s="1170"/>
      <c r="Z154" s="1016"/>
      <c r="AA154" s="1019"/>
      <c r="AB154" s="1016"/>
      <c r="AC154" s="1016"/>
      <c r="AD154" s="101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105D89-DA0E-717A-0838-F51D7FC7C0F3}"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1992" width="10.57421875" hidden="1"/>
    <col min="2" max="2" style="11992" width="11.00390625" hidden="1" customWidth="1"/>
    <col min="3" max="3" style="11992" width="10.57421875" hidden="1"/>
    <col min="4" max="4" style="11992" width="11.8515625" hidden="1" customWidth="1"/>
    <col min="5" max="5" style="11992" width="12.28125" hidden="1" customWidth="1"/>
    <col min="6" max="8" style="13389" width="12.28125" hidden="1" customWidth="1"/>
    <col min="9" max="9" style="13390" width="3.00390625" customWidth="1"/>
    <col min="10" max="11" style="13391" width="3.00390625" customWidth="1"/>
    <col min="12" max="12" style="13392" width="12.00390625" customWidth="1"/>
    <col min="13" max="13" style="11913" width="31.00390625" customWidth="1"/>
    <col min="14" max="14" style="11913" width="1.00390625" customWidth="1"/>
    <col min="15" max="18" style="11913" width="24.00390625" customWidth="1"/>
    <col min="19" max="19" style="11913" width="11.00390625" customWidth="1"/>
    <col min="20" max="20" style="11913" width="3.7109375" customWidth="1"/>
    <col min="21" max="21" style="11913" width="11.00390625" customWidth="1"/>
    <col min="22" max="22" style="11913" width="8.57421875" customWidth="1"/>
    <col min="23" max="23" style="11913" width="4.00390625" customWidth="1"/>
    <col min="24" max="24" style="11913" width="115.00390625" customWidth="1"/>
    <col min="25" max="29" style="11993" width="10.00390625" customWidth="1"/>
    <col min="30" max="30" style="11913" width="10.57421875" hidden="1"/>
  </cols>
  <sheetData>
    <row customHeight="1" ht="22.5" hidden="1">
      <c r="R1" s="497"/>
      <c r="S1" s="497"/>
      <c r="AD1" s="1325" t="s">
        <v>14</v>
      </c>
    </row>
    <row customHeight="1" ht="14.25" hidden="1">
      <c r="V2" s="497"/>
      <c r="AD2" s="1325">
        <v>0</v>
      </c>
    </row>
    <row customHeight="1" ht="14.25" hidden="1">
      <c r="AD3" s="1325">
        <v>0</v>
      </c>
    </row>
    <row customHeight="1" ht="14.699999999999998">
      <c r="J4" s="546"/>
      <c r="K4" s="546"/>
      <c r="L4" s="1445"/>
      <c r="M4" s="533"/>
      <c r="N4" s="533"/>
      <c r="O4" s="679"/>
      <c r="P4" s="679"/>
      <c r="Q4" s="679"/>
      <c r="R4" s="679"/>
      <c r="S4" s="679"/>
      <c r="T4" s="679"/>
      <c r="U4" s="679"/>
      <c r="V4" s="679"/>
      <c r="AD4" s="1325">
        <v>14</v>
      </c>
    </row>
    <row customHeight="1" ht="67.2">
      <c r="J5" s="546"/>
      <c r="K5" s="546"/>
      <c r="L5" s="2773" t="s">
        <v>2246</v>
      </c>
      <c r="M5" s="2773"/>
      <c r="N5" s="2773"/>
      <c r="O5" s="2773"/>
      <c r="P5" s="2773"/>
      <c r="Q5" s="2773"/>
      <c r="R5" s="2773"/>
      <c r="S5" s="2773"/>
      <c r="T5" s="2773"/>
      <c r="U5" s="2773"/>
      <c r="V5" s="1413"/>
      <c r="AD5" s="1325">
        <v>64</v>
      </c>
    </row>
    <row customHeight="1" ht="14.699999999999998">
      <c r="J6" s="546"/>
      <c r="K6" s="546"/>
      <c r="L6" s="2774" t="str">
        <f>IF(org=0,"Не определено",org)</f>
        <v>Филиал "Шатурская ГРЭС" ПАО "Юнипро"</v>
      </c>
      <c r="M6" s="2774"/>
      <c r="N6" s="2774"/>
      <c r="O6" s="2774"/>
      <c r="P6" s="2774"/>
      <c r="Q6" s="2774"/>
      <c r="R6" s="2774"/>
      <c r="S6" s="2774"/>
      <c r="T6" s="2774"/>
      <c r="U6" s="2774"/>
      <c r="V6" s="1413"/>
      <c r="AD6" s="1325">
        <v>14</v>
      </c>
    </row>
    <row customHeight="1" ht="14.699999999999998">
      <c r="J7" s="546"/>
      <c r="K7" s="546"/>
      <c r="L7" s="1445"/>
      <c r="M7" s="533"/>
      <c r="N7" s="533"/>
      <c r="O7" s="492"/>
      <c r="P7" s="492"/>
      <c r="Q7" s="492"/>
      <c r="R7" s="492"/>
      <c r="S7" s="492"/>
      <c r="T7" s="492"/>
      <c r="U7" s="492"/>
      <c r="V7" s="492"/>
      <c r="W7" s="679"/>
      <c r="AD7" s="1325">
        <v>14</v>
      </c>
    </row>
    <row s="12119" customFormat="1" customHeight="1" ht="48.29999999999999">
      <c r="A8" s="1538"/>
      <c r="B8" s="1538"/>
      <c r="C8" s="1538"/>
      <c r="D8" s="1538"/>
      <c r="E8" s="1538"/>
      <c r="F8" s="1538"/>
      <c r="G8" s="1538"/>
      <c r="H8" s="1538"/>
      <c r="L8" s="1446"/>
      <c r="M8" s="465" t="s">
        <v>42</v>
      </c>
      <c r="N8" s="474"/>
      <c r="O8" s="2421" t="str">
        <f>IF(TITLE_NAME_OR_PR_CHANGE="",IF(TITLE_NAME_OR_PR="","",TITLE_NAME_OR_PR),TITLE_NAME_OR_PR_CHANGE)</f>
        <v>Комитет по ценам и тарифам Московской области</v>
      </c>
      <c r="P8" s="2421"/>
      <c r="Q8" s="2421"/>
      <c r="R8" s="2421"/>
      <c r="S8" s="2421"/>
      <c r="T8" s="2421"/>
      <c r="U8" s="2421"/>
      <c r="V8" s="496"/>
      <c r="W8" s="496"/>
      <c r="X8" s="450"/>
      <c r="Y8" s="538"/>
      <c r="Z8" s="538"/>
      <c r="AA8" s="538"/>
      <c r="AB8" s="538"/>
      <c r="AC8" s="538"/>
      <c r="AD8" s="588">
        <v>46</v>
      </c>
    </row>
    <row s="12119" customFormat="1" customHeight="1" ht="24">
      <c r="A9" s="1538"/>
      <c r="B9" s="1538"/>
      <c r="C9" s="1538"/>
      <c r="D9" s="1538"/>
      <c r="E9" s="1538"/>
      <c r="F9" s="1538"/>
      <c r="G9" s="1538"/>
      <c r="H9" s="1538"/>
      <c r="L9" s="1446"/>
      <c r="M9" s="465" t="s">
        <v>432</v>
      </c>
      <c r="N9" s="474"/>
      <c r="O9" s="2421" t="str">
        <f>IF(TITLE_DATE_CHANGE_PERIOD="",IF(TITLE_DATE_PR="","",TITLE_DATE_PR),TITLE_DATE_CHANGE_PERIOD)</f>
        <v>45658.45920138889</v>
      </c>
      <c r="P9" s="2421"/>
      <c r="Q9" s="2421"/>
      <c r="R9" s="2421"/>
      <c r="S9" s="2421"/>
      <c r="T9" s="2421"/>
      <c r="U9" s="2421"/>
      <c r="V9" s="496"/>
      <c r="W9" s="496"/>
      <c r="X9" s="450"/>
      <c r="Y9" s="538"/>
      <c r="Z9" s="538"/>
      <c r="AA9" s="538"/>
      <c r="AB9" s="538"/>
      <c r="AC9" s="538"/>
      <c r="AD9" s="588">
        <v>23</v>
      </c>
    </row>
    <row s="12119" customFormat="1" customHeight="1" ht="24">
      <c r="A10" s="1538"/>
      <c r="B10" s="1538"/>
      <c r="C10" s="1538"/>
      <c r="D10" s="1538"/>
      <c r="E10" s="1538"/>
      <c r="F10" s="1538"/>
      <c r="G10" s="1538"/>
      <c r="H10" s="1538"/>
      <c r="L10" s="1420"/>
      <c r="M10" s="465" t="s">
        <v>433</v>
      </c>
      <c r="N10" s="474"/>
      <c r="O10" s="2421" t="str">
        <f>IF(TITLE_NUMBER_PR_CHANGE="",IF(TITLE_NUMBER_PR="","",TITLE_NUMBER_PR),TITLE_NUMBER_PR_CHANGE)</f>
        <v>329-Р</v>
      </c>
      <c r="P10" s="2421"/>
      <c r="Q10" s="2421"/>
      <c r="R10" s="2421"/>
      <c r="S10" s="2421"/>
      <c r="T10" s="2421"/>
      <c r="U10" s="2421"/>
      <c r="V10" s="496"/>
      <c r="W10" s="496"/>
      <c r="X10" s="450"/>
      <c r="Y10" s="538"/>
      <c r="Z10" s="538"/>
      <c r="AA10" s="538"/>
      <c r="AB10" s="538"/>
      <c r="AC10" s="538"/>
      <c r="AD10" s="588">
        <v>23</v>
      </c>
    </row>
    <row s="12119" customFormat="1" customHeight="1" ht="24">
      <c r="A11" s="1538"/>
      <c r="B11" s="1538"/>
      <c r="C11" s="1538"/>
      <c r="D11" s="1538"/>
      <c r="E11" s="1538"/>
      <c r="F11" s="1538"/>
      <c r="G11" s="1538"/>
      <c r="H11" s="1538"/>
      <c r="L11" s="1420"/>
      <c r="M11" s="465" t="s">
        <v>44</v>
      </c>
      <c r="N11" s="474"/>
      <c r="O11" s="2421" t="str">
        <f>IF(TITLE_IST_PUB_CHANGE="",IF(TITLE_IST_PUB="","",TITLE_IST_PUB),TITLE_IST_PUB_CHANGE)</f>
        <v>Сайт Комитета по ценам и тарифам Московской области  на Интернет-портале Правительства Московской области</v>
      </c>
      <c r="P11" s="2421"/>
      <c r="Q11" s="2421"/>
      <c r="R11" s="2421"/>
      <c r="S11" s="2421"/>
      <c r="T11" s="2421"/>
      <c r="U11" s="2421"/>
      <c r="V11" s="496"/>
      <c r="W11" s="496"/>
      <c r="X11" s="450"/>
      <c r="Y11" s="538"/>
      <c r="Z11" s="538"/>
      <c r="AA11" s="538"/>
      <c r="AB11" s="538"/>
      <c r="AC11" s="538"/>
      <c r="AD11" s="588">
        <v>23</v>
      </c>
    </row>
    <row s="12119" customFormat="1" customHeight="1" ht="11.25" hidden="1">
      <c r="A12" s="1538"/>
      <c r="B12" s="1538"/>
      <c r="C12" s="1538"/>
      <c r="D12" s="1538"/>
      <c r="E12" s="1538"/>
      <c r="F12" s="1538"/>
      <c r="G12" s="1538"/>
      <c r="H12" s="1538"/>
      <c r="L12" s="2775"/>
      <c r="M12" s="2775"/>
      <c r="N12" s="1457"/>
      <c r="O12" s="496"/>
      <c r="P12" s="496"/>
      <c r="Q12" s="496"/>
      <c r="R12" s="496"/>
      <c r="S12" s="496"/>
      <c r="T12" s="496"/>
      <c r="U12" s="496"/>
      <c r="V12" s="448" t="s">
        <v>436</v>
      </c>
      <c r="Y12" s="538"/>
      <c r="Z12" s="538"/>
      <c r="AA12" s="538"/>
      <c r="AB12" s="538"/>
      <c r="AC12" s="538"/>
      <c r="AD12" s="588">
        <v>0</v>
      </c>
    </row>
    <row customHeight="1" ht="14.699999999999998">
      <c r="J13" s="546"/>
      <c r="K13" s="546"/>
      <c r="L13" s="1445"/>
      <c r="M13" s="533"/>
      <c r="N13" s="1414"/>
      <c r="O13" s="2422"/>
      <c r="P13" s="2422"/>
      <c r="Q13" s="2422"/>
      <c r="R13" s="2422"/>
      <c r="S13" s="2422"/>
      <c r="T13" s="2422"/>
      <c r="U13" s="2422"/>
      <c r="V13" s="2422"/>
      <c r="AD13" s="1325">
        <v>14</v>
      </c>
    </row>
    <row customHeight="1" ht="14.699999999999998">
      <c r="J14" s="546"/>
      <c r="K14" s="546"/>
      <c r="L14" s="2297" t="s">
        <v>312</v>
      </c>
      <c r="M14" s="2297"/>
      <c r="N14" s="2297"/>
      <c r="O14" s="2297"/>
      <c r="P14" s="2297"/>
      <c r="Q14" s="2297"/>
      <c r="R14" s="2297"/>
      <c r="S14" s="2297"/>
      <c r="T14" s="2297"/>
      <c r="U14" s="2297"/>
      <c r="V14" s="2297"/>
      <c r="W14" s="2297"/>
      <c r="X14" s="2297" t="s">
        <v>313</v>
      </c>
      <c r="AD14" s="1325">
        <v>14</v>
      </c>
    </row>
    <row customHeight="1" ht="14.699999999999998">
      <c r="J15" s="546"/>
      <c r="K15" s="546"/>
      <c r="L15" s="2443" t="s">
        <v>91</v>
      </c>
      <c r="M15" s="2379" t="s">
        <v>438</v>
      </c>
      <c r="N15" s="471"/>
      <c r="O15" s="2444" t="s">
        <v>2247</v>
      </c>
      <c r="P15" s="2445"/>
      <c r="Q15" s="2445"/>
      <c r="R15" s="2445"/>
      <c r="S15" s="2445"/>
      <c r="T15" s="2445"/>
      <c r="U15" s="2446"/>
      <c r="V15" s="2447" t="s">
        <v>440</v>
      </c>
      <c r="W15" s="2450" t="s">
        <v>1170</v>
      </c>
      <c r="X15" s="2297"/>
      <c r="AD15" s="1325">
        <v>14</v>
      </c>
    </row>
    <row customHeight="1" ht="35.699999999999996">
      <c r="J16" s="546"/>
      <c r="K16" s="546"/>
      <c r="L16" s="2443"/>
      <c r="M16" s="2379"/>
      <c r="N16" s="1201"/>
      <c r="O16" s="2430" t="s">
        <v>443</v>
      </c>
      <c r="P16" s="2430" t="s">
        <v>444</v>
      </c>
      <c r="Q16" s="2432" t="s">
        <v>445</v>
      </c>
      <c r="R16" s="2433"/>
      <c r="S16" s="2432" t="s">
        <v>461</v>
      </c>
      <c r="T16" s="2439"/>
      <c r="U16" s="2433"/>
      <c r="V16" s="2448"/>
      <c r="W16" s="2451"/>
      <c r="X16" s="2297"/>
      <c r="AD16" s="1325">
        <v>34</v>
      </c>
    </row>
    <row customHeight="1" ht="35.699999999999996">
      <c r="A17" s="1540" t="s">
        <v>137</v>
      </c>
      <c r="B17" s="1540" t="s">
        <v>138</v>
      </c>
      <c r="C17" s="1540" t="s">
        <v>139</v>
      </c>
      <c r="D17" s="1540" t="s">
        <v>140</v>
      </c>
      <c r="E17" s="1540"/>
      <c r="J17" s="546"/>
      <c r="K17" s="546"/>
      <c r="L17" s="2443"/>
      <c r="M17" s="2379"/>
      <c r="N17" s="472"/>
      <c r="O17" s="2431"/>
      <c r="P17" s="2431"/>
      <c r="Q17" s="1392" t="s">
        <v>454</v>
      </c>
      <c r="R17" s="1392" t="s">
        <v>455</v>
      </c>
      <c r="S17" s="1462" t="s">
        <v>456</v>
      </c>
      <c r="T17" s="2440" t="s">
        <v>457</v>
      </c>
      <c r="U17" s="2441"/>
      <c r="V17" s="2449"/>
      <c r="W17" s="2452"/>
      <c r="X17" s="2297"/>
      <c r="AD17" s="1325">
        <v>34</v>
      </c>
    </row>
    <row s="12668" customFormat="1" customHeight="1" ht="11.549999999999999">
      <c r="A18" s="1540"/>
      <c r="B18" s="1540"/>
      <c r="C18" s="1540"/>
      <c r="D18" s="1540"/>
      <c r="E18" s="1540"/>
      <c r="F18" s="1532"/>
      <c r="G18" s="1532"/>
      <c r="H18" s="1532"/>
      <c r="I18" s="1416"/>
      <c r="J18" s="1417"/>
      <c r="K18" s="1424">
        <v>1</v>
      </c>
      <c r="L18" s="1447" t="s">
        <v>112</v>
      </c>
      <c r="M18" s="1425" t="s">
        <v>113</v>
      </c>
      <c r="N18" s="1415" t="str">
        <f>OFFSET(N18,0,-1)</f>
        <v>2</v>
      </c>
      <c r="O18" s="1459">
        <f>OFFSET(O18,0,-1)+1</f>
        <v>3</v>
      </c>
      <c r="P18" s="1459"/>
      <c r="Q18" s="1459">
        <f>OFFSET(Q18,0,-1)+1</f>
        <v>1</v>
      </c>
      <c r="R18" s="1459">
        <f>OFFSET(R18,0,-1)+1</f>
        <v>2</v>
      </c>
      <c r="S18" s="1459">
        <f>OFFSET(S18,0,-1)+1</f>
        <v>3</v>
      </c>
      <c r="T18" s="2442">
        <f>OFFSET(T18,0,-1)+1</f>
        <v>4</v>
      </c>
      <c r="U18" s="2442"/>
      <c r="V18" s="1459">
        <f>OFFSET(V18,0,-2)+1</f>
        <v>5</v>
      </c>
      <c r="W18" s="1415">
        <f>OFFSET(W18,0,-1)</f>
        <v>5</v>
      </c>
      <c r="X18" s="1459">
        <f>OFFSET(X18,0,-1)+1</f>
        <v>6</v>
      </c>
      <c r="Y18" s="681"/>
      <c r="Z18" s="681"/>
      <c r="AA18" s="681"/>
      <c r="AB18" s="681"/>
      <c r="AC18" s="681"/>
      <c r="AD18" s="666">
        <v>11</v>
      </c>
    </row>
    <row customHeight="1" ht="21">
      <c r="A19" s="1533" t="s">
        <v>182</v>
      </c>
      <c r="B19" s="1533" t="s">
        <v>183</v>
      </c>
      <c r="C19" s="1533" t="s">
        <v>184</v>
      </c>
      <c r="D19" s="1533" t="s">
        <v>185</v>
      </c>
      <c r="E19" s="1533"/>
      <c r="F19" s="1535"/>
      <c r="G19" s="1535"/>
      <c r="H19" s="1535"/>
      <c r="I19" s="531"/>
      <c r="J19" s="530"/>
      <c r="K19" s="525"/>
      <c r="L19" s="1463">
        <f>INDEX(PT_DIFFERENTIATION_NUM_NTAR,MATCH(A19,PT_DIFFERENTIATION_NTAR_ID,0))</f>
        <v>1</v>
      </c>
      <c r="M19" s="468" t="s">
        <v>126</v>
      </c>
      <c r="N19" s="470"/>
      <c r="O19" s="2776" t="str">
        <f>INDEX(PT_DIFFERENTIATION_NTAR,MATCH(A19,PT_DIFFERENTIATION_NTAR_ID,0))</f>
        <v>Тариф на теплоноситель, поставляемый потребителям</v>
      </c>
      <c r="P19" s="2776"/>
      <c r="Q19" s="2776"/>
      <c r="R19" s="2776"/>
      <c r="S19" s="2776"/>
      <c r="T19" s="2776"/>
      <c r="U19" s="2776"/>
      <c r="V19" s="2776"/>
      <c r="W19" s="2776"/>
      <c r="X19" s="1428" t="s">
        <v>408</v>
      </c>
      <c r="Z19" s="670"/>
      <c r="AA19" s="670" t="str">
        <f>IF(M19="","",M19)</f>
        <v>Наименование тарифа</v>
      </c>
      <c r="AB19" s="670"/>
      <c r="AC19" s="670"/>
      <c r="AD19" s="1325">
        <v>20</v>
      </c>
    </row>
    <row customHeight="1" ht="21">
      <c r="A20" s="1533" t="s">
        <v>182</v>
      </c>
      <c r="B20" s="1533" t="s">
        <v>183</v>
      </c>
      <c r="C20" s="1533" t="s">
        <v>184</v>
      </c>
      <c r="D20" s="1533" t="s">
        <v>185</v>
      </c>
      <c r="E20" s="1533"/>
      <c r="F20" s="1535"/>
      <c r="G20" s="1535"/>
      <c r="H20" s="1535"/>
      <c r="I20" s="1460"/>
      <c r="J20" s="522"/>
      <c r="K20" s="523"/>
      <c r="L20" s="1463" t="str">
        <f>INDEX(PT_DIFFERENTIATION_NUM_TER,MATCH(B19,PT_DIFFERENTIATION_TER_ID,0))</f>
        <v>1.1</v>
      </c>
      <c r="M20" s="478" t="s">
        <v>409</v>
      </c>
      <c r="N20" s="470"/>
      <c r="O20" s="2776" t="str">
        <f>INDEX(PT_DIFFERENTIATION_TER,MATCH(B19,PT_DIFFERENTIATION_TER_ID,0))</f>
        <v>Территория 1</v>
      </c>
      <c r="P20" s="2776"/>
      <c r="Q20" s="2776"/>
      <c r="R20" s="2776"/>
      <c r="S20" s="2776"/>
      <c r="T20" s="2776"/>
      <c r="U20" s="2776"/>
      <c r="V20" s="2776"/>
      <c r="W20" s="2776"/>
      <c r="X20" s="1428" t="s">
        <v>410</v>
      </c>
      <c r="Z20" s="670"/>
      <c r="AA20" s="670" t="str">
        <f>IF(M20="","",M20)</f>
        <v>Территория действия тарифа</v>
      </c>
      <c r="AB20" s="670"/>
      <c r="AC20" s="670"/>
      <c r="AD20" s="1325">
        <v>20</v>
      </c>
    </row>
    <row customHeight="1" ht="24">
      <c r="A21" s="1533" t="s">
        <v>182</v>
      </c>
      <c r="B21" s="1533" t="s">
        <v>183</v>
      </c>
      <c r="C21" s="1533" t="s">
        <v>184</v>
      </c>
      <c r="D21" s="1533" t="s">
        <v>185</v>
      </c>
      <c r="E21" s="1533"/>
      <c r="F21" s="1535"/>
      <c r="G21" s="1535"/>
      <c r="H21" s="1535"/>
      <c r="I21" s="524"/>
      <c r="J21" s="522"/>
      <c r="K21" s="523"/>
      <c r="L21" s="1463" t="str">
        <f>INDEX(PT_DIFFERENTIATION_NUM_CS,MATCH(C19,PT_DIFFERENTIATION_CS_ID,0))</f>
        <v>1.1.1</v>
      </c>
      <c r="M21" s="479" t="s">
        <v>411</v>
      </c>
      <c r="N21" s="470"/>
      <c r="O21" s="2776" t="str">
        <f>INDEX(PT_DIFFERENTIATION_CS,MATCH(C19,PT_DIFFERENTIATION_CS_ID,0))</f>
        <v>без дифференциации</v>
      </c>
      <c r="P21" s="2776"/>
      <c r="Q21" s="2776"/>
      <c r="R21" s="2776"/>
      <c r="S21" s="2776"/>
      <c r="T21" s="2776"/>
      <c r="U21" s="2776"/>
      <c r="V21" s="2776"/>
      <c r="W21" s="2776"/>
      <c r="X21" s="1428" t="s">
        <v>412</v>
      </c>
      <c r="Z21" s="670"/>
      <c r="AA21" s="670" t="str">
        <f>IF(M21="","",M21)</f>
        <v>Наименование системы теплоснабжения </v>
      </c>
      <c r="AB21" s="670"/>
      <c r="AC21" s="670"/>
      <c r="AD21" s="1325">
        <v>23</v>
      </c>
    </row>
    <row customHeight="1" ht="21">
      <c r="A22" s="1533" t="s">
        <v>182</v>
      </c>
      <c r="B22" s="1533" t="s">
        <v>183</v>
      </c>
      <c r="C22" s="1533" t="s">
        <v>184</v>
      </c>
      <c r="D22" s="1533" t="s">
        <v>185</v>
      </c>
      <c r="E22" s="1533"/>
      <c r="F22" s="1535"/>
      <c r="G22" s="1535"/>
      <c r="H22" s="1535"/>
      <c r="I22" s="524"/>
      <c r="J22" s="522"/>
      <c r="K22" s="523"/>
      <c r="L22" s="1463" t="str">
        <f>INDEX(PT_DIFFERENTIATION_NUM_IST_TE,MATCH(D19,PT_DIFFERENTIATION_IST_TE_ID,0))</f>
        <v>1.1.1.1</v>
      </c>
      <c r="M22" s="480" t="s">
        <v>413</v>
      </c>
      <c r="N22" s="470"/>
      <c r="O22" s="2776" t="str">
        <f>INDEX(PT_DIFFERENTIATION_IST_TE,MATCH(D19,PT_DIFFERENTIATION_IST_TE_ID,0))</f>
        <v>без дифференциации</v>
      </c>
      <c r="P22" s="2776"/>
      <c r="Q22" s="2776"/>
      <c r="R22" s="2776"/>
      <c r="S22" s="2776"/>
      <c r="T22" s="2776"/>
      <c r="U22" s="2776"/>
      <c r="V22" s="2776"/>
      <c r="W22" s="2776"/>
      <c r="X22" s="1428" t="s">
        <v>414</v>
      </c>
      <c r="Z22" s="670"/>
      <c r="AA22" s="670" t="str">
        <f>IF(M22="","",M22)</f>
        <v>Источник тепловой энергии  </v>
      </c>
      <c r="AB22" s="670"/>
      <c r="AC22" s="670"/>
      <c r="AD22" s="1325">
        <v>20</v>
      </c>
    </row>
    <row customHeight="1" ht="96.75">
      <c r="A23" s="1533" t="s">
        <v>182</v>
      </c>
      <c r="B23" s="1533" t="s">
        <v>183</v>
      </c>
      <c r="C23" s="1533" t="s">
        <v>184</v>
      </c>
      <c r="D23" s="1533" t="s">
        <v>185</v>
      </c>
      <c r="E23" s="1533"/>
      <c r="F23" s="2777" t="str">
        <f>L22&amp;".1"</f>
        <v>1.1.1.1.1</v>
      </c>
      <c r="I23" s="2427">
        <v>1</v>
      </c>
      <c r="J23" s="1461"/>
      <c r="K23" s="526"/>
      <c r="L23" s="1463" t="str">
        <f>$F$23</f>
        <v>1.1.1.1.1</v>
      </c>
      <c r="M23" s="455" t="s">
        <v>416</v>
      </c>
      <c r="N23" s="470"/>
      <c r="O23" s="2475"/>
      <c r="P23" s="2475"/>
      <c r="Q23" s="2475"/>
      <c r="R23" s="2475"/>
      <c r="S23" s="2475"/>
      <c r="T23" s="2475"/>
      <c r="U23" s="2475"/>
      <c r="V23" s="2475"/>
      <c r="W23" s="2475"/>
      <c r="X23" s="1428" t="s">
        <v>417</v>
      </c>
      <c r="Z23" s="670"/>
      <c r="AA23" s="670" t="str">
        <f>IF(M23="","",M23)</f>
        <v>Схема подключения теплопотребляющей установки к коллектору источника тепловой энергии</v>
      </c>
      <c r="AB23" s="670"/>
      <c r="AC23" s="670"/>
      <c r="AD23" s="1325">
        <v>92</v>
      </c>
    </row>
    <row customHeight="1" ht="86.25">
      <c r="A24" s="1533" t="s">
        <v>182</v>
      </c>
      <c r="B24" s="1533" t="s">
        <v>183</v>
      </c>
      <c r="C24" s="1533" t="s">
        <v>184</v>
      </c>
      <c r="D24" s="1533" t="s">
        <v>185</v>
      </c>
      <c r="E24" s="1533"/>
      <c r="F24" s="2777"/>
      <c r="G24" s="2387" t="str">
        <f>F23&amp;".1"</f>
        <v>1.1.1.1.1.1</v>
      </c>
      <c r="I24" s="2427"/>
      <c r="J24" s="2427">
        <v>1</v>
      </c>
      <c r="K24" s="527"/>
      <c r="L24" s="1463" t="str">
        <f>$G$24</f>
        <v>1.1.1.1.1.1</v>
      </c>
      <c r="M24" s="456" t="s">
        <v>419</v>
      </c>
      <c r="N24" s="470"/>
      <c r="O24" s="2415"/>
      <c r="P24" s="2416"/>
      <c r="Q24" s="2416"/>
      <c r="R24" s="2416"/>
      <c r="S24" s="2416"/>
      <c r="T24" s="2416"/>
      <c r="U24" s="2416"/>
      <c r="V24" s="2416"/>
      <c r="W24" s="2417"/>
      <c r="X24" s="1428" t="s">
        <v>420</v>
      </c>
      <c r="Z24" s="670"/>
      <c r="AA24" s="670" t="str">
        <f>IF(M24="","",M24)</f>
        <v>Группа потребителей</v>
      </c>
      <c r="AB24" s="670"/>
      <c r="AC24" s="670"/>
      <c r="AD24" s="1325">
        <v>82</v>
      </c>
    </row>
    <row customHeight="1" ht="11.549999999999999">
      <c r="A25" s="1533" t="s">
        <v>182</v>
      </c>
      <c r="B25" s="1533" t="s">
        <v>183</v>
      </c>
      <c r="C25" s="1533" t="s">
        <v>184</v>
      </c>
      <c r="D25" s="1533" t="s">
        <v>185</v>
      </c>
      <c r="E25" s="1533"/>
      <c r="F25" s="2777"/>
      <c r="G25" s="2387"/>
      <c r="H25" s="2387" t="str">
        <f>G24&amp;".1"</f>
        <v>1.1.1.1.1.1.1</v>
      </c>
      <c r="I25" s="2427"/>
      <c r="J25" s="2427"/>
      <c r="K25" s="527">
        <v>1</v>
      </c>
      <c r="L25" s="1463" t="str">
        <f>$H$25</f>
        <v>1.1.1.1.1.1.1</v>
      </c>
      <c r="M25" s="1517"/>
      <c r="N25" s="470"/>
      <c r="O25" s="921"/>
      <c r="P25" s="495"/>
      <c r="Q25" s="921"/>
      <c r="R25" s="1427"/>
      <c r="S25" s="2772"/>
      <c r="T25" s="2277" t="s">
        <v>64</v>
      </c>
      <c r="U25" s="2772"/>
      <c r="V25" s="2277" t="s">
        <v>19</v>
      </c>
      <c r="W25" s="495"/>
      <c r="X25" s="2423" t="s">
        <v>422</v>
      </c>
      <c r="Y25" s="681">
        <f>STRCHECKDATE(O26:W26)</f>
      </c>
      <c r="Z25" s="670"/>
      <c r="AA25" s="670" t="str">
        <f>IF(M25="","",M25)</f>
        <v/>
      </c>
      <c r="AB25" s="670"/>
      <c r="AC25" s="670"/>
      <c r="AD25" s="1325">
        <v>11</v>
      </c>
    </row>
    <row customHeight="1" ht="11.549999999999999">
      <c r="A26" s="1533" t="s">
        <v>182</v>
      </c>
      <c r="B26" s="1533" t="s">
        <v>183</v>
      </c>
      <c r="C26" s="1533" t="s">
        <v>184</v>
      </c>
      <c r="D26" s="1533" t="s">
        <v>185</v>
      </c>
      <c r="E26" s="1533"/>
      <c r="F26" s="2777"/>
      <c r="G26" s="2387"/>
      <c r="H26" s="2387"/>
      <c r="I26" s="2427"/>
      <c r="J26" s="2427"/>
      <c r="K26" s="527"/>
      <c r="L26" s="1464"/>
      <c r="M26" s="470"/>
      <c r="N26" s="470"/>
      <c r="O26" s="495"/>
      <c r="P26" s="495"/>
      <c r="Q26" s="495"/>
      <c r="R26" s="498" t="str">
        <f>S25&amp;"-"&amp;U25</f>
        <v>-</v>
      </c>
      <c r="S26" s="2436"/>
      <c r="T26" s="2277"/>
      <c r="U26" s="2436"/>
      <c r="V26" s="2277"/>
      <c r="W26" s="495"/>
      <c r="X26" s="2424"/>
      <c r="Z26" s="670"/>
      <c r="AA26" s="670" t="str">
        <f>IF(M26="","",M26)</f>
        <v/>
      </c>
      <c r="AB26" s="670"/>
      <c r="AC26" s="670"/>
      <c r="AD26" s="1325">
        <v>11</v>
      </c>
    </row>
    <row customHeight="1" ht="15.75">
      <c r="A27" s="1533" t="s">
        <v>182</v>
      </c>
      <c r="B27" s="1533" t="s">
        <v>183</v>
      </c>
      <c r="C27" s="1533" t="s">
        <v>184</v>
      </c>
      <c r="D27" s="1533" t="s">
        <v>185</v>
      </c>
      <c r="E27" s="1533"/>
      <c r="F27" s="2777"/>
      <c r="G27" s="2387"/>
      <c r="I27" s="2427"/>
      <c r="J27" s="2427"/>
      <c r="K27" s="526"/>
      <c r="L27" s="1448"/>
      <c r="M27" s="458" t="s">
        <v>423</v>
      </c>
      <c r="N27" s="537"/>
      <c r="O27" s="537"/>
      <c r="P27" s="537"/>
      <c r="Q27" s="537"/>
      <c r="R27" s="537"/>
      <c r="S27" s="537"/>
      <c r="T27" s="537"/>
      <c r="U27" s="537"/>
      <c r="V27" s="537"/>
      <c r="W27" s="494"/>
      <c r="X27" s="2425"/>
      <c r="Z27" s="670"/>
      <c r="AA27" s="670" t="str">
        <f>IF(M27="","",M27)</f>
        <v>Добавить вид теплоносителя (параметры теплоносителя)</v>
      </c>
      <c r="AB27" s="670"/>
      <c r="AC27" s="670"/>
      <c r="AD27" s="1325">
        <v>15</v>
      </c>
    </row>
    <row customHeight="1" ht="15.75">
      <c r="A28" s="1533" t="s">
        <v>182</v>
      </c>
      <c r="B28" s="1533" t="s">
        <v>183</v>
      </c>
      <c r="C28" s="1533" t="s">
        <v>184</v>
      </c>
      <c r="D28" s="1533" t="s">
        <v>185</v>
      </c>
      <c r="E28" s="1533"/>
      <c r="F28" s="2777"/>
      <c r="I28" s="2427"/>
      <c r="J28" s="1461"/>
      <c r="K28" s="526"/>
      <c r="L28" s="1448"/>
      <c r="M28" s="457" t="s">
        <v>424</v>
      </c>
      <c r="N28" s="537"/>
      <c r="O28" s="537"/>
      <c r="P28" s="537"/>
      <c r="Q28" s="537"/>
      <c r="R28" s="537"/>
      <c r="S28" s="537"/>
      <c r="T28" s="537"/>
      <c r="U28" s="537"/>
      <c r="V28" s="536"/>
      <c r="W28" s="537"/>
      <c r="X28" s="473"/>
      <c r="Z28" s="670"/>
      <c r="AA28" s="670" t="str">
        <f>IF(M28="","",M28)</f>
        <v>Добавить группу потребителей</v>
      </c>
      <c r="AB28" s="670"/>
      <c r="AC28" s="670"/>
      <c r="AD28" s="1325">
        <v>15</v>
      </c>
    </row>
    <row customHeight="1" ht="14.699999999999998">
      <c r="A29" s="1533" t="s">
        <v>182</v>
      </c>
      <c r="B29" s="1533" t="s">
        <v>183</v>
      </c>
      <c r="C29" s="1533" t="s">
        <v>184</v>
      </c>
      <c r="D29" s="1533" t="s">
        <v>185</v>
      </c>
      <c r="E29" s="1533"/>
      <c r="F29" s="1535"/>
      <c r="G29" s="1535"/>
      <c r="H29" s="707"/>
      <c r="I29" s="530"/>
      <c r="J29" s="545"/>
      <c r="K29" s="525"/>
      <c r="L29" s="1448"/>
      <c r="M29" s="535" t="s">
        <v>425</v>
      </c>
      <c r="N29" s="537"/>
      <c r="O29" s="537"/>
      <c r="P29" s="537"/>
      <c r="Q29" s="537"/>
      <c r="R29" s="537"/>
      <c r="S29" s="537"/>
      <c r="T29" s="537"/>
      <c r="U29" s="537"/>
      <c r="V29" s="536"/>
      <c r="W29" s="537"/>
      <c r="X29" s="473"/>
      <c r="Z29" s="670"/>
      <c r="AA29" s="670" t="str">
        <f>IF(M29="","",M29)</f>
        <v>Добавить схему подключения</v>
      </c>
      <c r="AB29" s="670"/>
      <c r="AC29" s="670"/>
      <c r="AD29" s="1325">
        <v>14</v>
      </c>
    </row>
    <row customHeight="1" ht="14.699999999999998">
      <c r="A30" s="1533" t="s">
        <v>182</v>
      </c>
      <c r="B30" s="1533" t="s">
        <v>183</v>
      </c>
      <c r="C30" s="1533" t="s">
        <v>184</v>
      </c>
      <c r="D30" s="1533"/>
      <c r="E30" s="1533" t="s">
        <v>601</v>
      </c>
      <c r="F30" s="1535"/>
      <c r="G30" s="1535"/>
      <c r="H30" s="707"/>
      <c r="I30" s="530"/>
      <c r="J30" s="545"/>
      <c r="K30" s="525"/>
      <c r="L30" s="1449"/>
      <c r="M30" s="1438"/>
      <c r="N30" s="1439"/>
      <c r="O30" s="1439"/>
      <c r="P30" s="1439"/>
      <c r="Q30" s="1439"/>
      <c r="R30" s="1439"/>
      <c r="S30" s="1439"/>
      <c r="T30" s="1439"/>
      <c r="U30" s="1439"/>
      <c r="V30" s="1440"/>
      <c r="W30" s="1439"/>
      <c r="X30" s="1441"/>
      <c r="Z30" s="670"/>
      <c r="AA30" s="670" t="str">
        <f>IF(M30="","",M30)</f>
        <v/>
      </c>
      <c r="AB30" s="670"/>
      <c r="AC30" s="670"/>
      <c r="AD30" s="1325">
        <v>14</v>
      </c>
    </row>
    <row customHeight="1" ht="14.699999999999998">
      <c r="A31" s="1533" t="s">
        <v>182</v>
      </c>
      <c r="B31" s="1533" t="s">
        <v>183</v>
      </c>
      <c r="C31" s="1533"/>
      <c r="D31" s="1533"/>
      <c r="E31" s="1533" t="s">
        <v>2248</v>
      </c>
      <c r="F31" s="1687"/>
      <c r="G31" s="1687"/>
      <c r="H31" s="707"/>
      <c r="I31" s="528"/>
      <c r="J31" s="545"/>
      <c r="K31" s="529"/>
      <c r="L31" s="1449"/>
      <c r="M31" s="1442"/>
      <c r="N31" s="1439"/>
      <c r="O31" s="1439"/>
      <c r="P31" s="1439"/>
      <c r="Q31" s="1439"/>
      <c r="R31" s="1439"/>
      <c r="S31" s="1439"/>
      <c r="T31" s="1439"/>
      <c r="U31" s="1439"/>
      <c r="V31" s="1440"/>
      <c r="W31" s="1439"/>
      <c r="X31" s="1441"/>
      <c r="Z31" s="670"/>
      <c r="AA31" s="670" t="str">
        <f>IF(M31="","",M31)</f>
        <v/>
      </c>
      <c r="AB31" s="670"/>
      <c r="AC31" s="670"/>
      <c r="AD31" s="1325">
        <v>14</v>
      </c>
    </row>
    <row customHeight="1" ht="14.699999999999998">
      <c r="A32" s="1533" t="s">
        <v>2249</v>
      </c>
      <c r="B32" s="1533"/>
      <c r="C32" s="1533"/>
      <c r="D32" s="1533"/>
      <c r="E32" s="1533" t="s">
        <v>107</v>
      </c>
      <c r="F32" s="1687"/>
      <c r="G32" s="1687"/>
      <c r="H32" s="707"/>
      <c r="I32" s="530"/>
      <c r="J32" s="545"/>
      <c r="K32" s="525"/>
      <c r="L32" s="1449"/>
      <c r="M32" s="1443"/>
      <c r="N32" s="1439"/>
      <c r="O32" s="1439"/>
      <c r="P32" s="1439"/>
      <c r="Q32" s="1439"/>
      <c r="R32" s="1439"/>
      <c r="S32" s="1439"/>
      <c r="T32" s="1439"/>
      <c r="U32" s="1439"/>
      <c r="V32" s="1440"/>
      <c r="W32" s="1439"/>
      <c r="X32" s="1441"/>
      <c r="Z32" s="670"/>
      <c r="AA32" s="670" t="str">
        <f>IF(M32="","",M32)</f>
        <v/>
      </c>
      <c r="AB32" s="670"/>
      <c r="AC32" s="670"/>
      <c r="AD32" s="1325">
        <v>14</v>
      </c>
    </row>
    <row s="12053" customFormat="1" customHeight="1" ht="11.549999999999999">
      <c r="A33" s="1533"/>
      <c r="B33" s="1533"/>
      <c r="C33" s="1533"/>
      <c r="D33" s="1533"/>
      <c r="E33" s="1533" t="s">
        <v>168</v>
      </c>
      <c r="F33" s="1688"/>
      <c r="G33" s="1689"/>
      <c r="H33" s="707"/>
      <c r="L33" s="1450"/>
      <c r="M33" s="1444"/>
      <c r="N33" s="1439"/>
      <c r="O33" s="1439"/>
      <c r="P33" s="1439"/>
      <c r="Q33" s="1439"/>
      <c r="R33" s="1439"/>
      <c r="S33" s="1439"/>
      <c r="T33" s="1439"/>
      <c r="U33" s="1439"/>
      <c r="V33" s="1440"/>
      <c r="W33" s="1439"/>
      <c r="X33" s="1441"/>
      <c r="Y33" s="549"/>
      <c r="Z33" s="549"/>
      <c r="AA33" s="549"/>
      <c r="AB33" s="549"/>
      <c r="AC33" s="549"/>
      <c r="AD33" s="543">
        <v>11</v>
      </c>
    </row>
    <row customHeight="1" ht="11.549999999999999">
      <c r="F34" s="1330"/>
      <c r="G34" s="1330"/>
      <c r="H34" s="707"/>
      <c r="I34" s="1325"/>
      <c r="J34" s="1325"/>
      <c r="K34" s="1325"/>
      <c r="Y34" s="1325"/>
      <c r="Z34" s="1325"/>
      <c r="AA34" s="1325"/>
      <c r="AB34" s="1325"/>
      <c r="AC34" s="1325"/>
      <c r="AD34" s="1325">
        <v>11</v>
      </c>
    </row>
    <row customHeight="1" ht="28.5">
      <c r="H35" s="707"/>
      <c r="L35" s="1458" t="s">
        <v>818</v>
      </c>
      <c r="M35" s="2455" t="s">
        <v>2250</v>
      </c>
      <c r="N35" s="2455"/>
      <c r="O35" s="2455"/>
      <c r="P35" s="2455"/>
      <c r="Q35" s="2455"/>
      <c r="R35" s="2455"/>
      <c r="S35" s="2455"/>
      <c r="T35" s="2455"/>
      <c r="U35" s="2455"/>
      <c r="V35" s="2455"/>
      <c r="W35" s="2455"/>
      <c r="X35" s="2455"/>
      <c r="AD35" s="1325">
        <v>27</v>
      </c>
    </row>
    <row customHeight="1" ht="109.19999999999999">
      <c r="H36" s="707"/>
      <c r="I36" s="1473"/>
      <c r="M36" s="2455" t="s">
        <v>2251</v>
      </c>
      <c r="N36" s="2455"/>
      <c r="O36" s="2455"/>
      <c r="P36" s="2455"/>
      <c r="Q36" s="2455"/>
      <c r="R36" s="2455"/>
      <c r="S36" s="2455"/>
      <c r="T36" s="2455"/>
      <c r="U36" s="2455"/>
      <c r="V36" s="2455"/>
      <c r="W36" s="2455"/>
      <c r="X36" s="2455"/>
      <c r="AD36" s="1325">
        <v>104</v>
      </c>
    </row>
    <row customHeight="1" ht="14.699999999999998">
      <c r="H37" s="707"/>
      <c r="AD37" s="1325">
        <v>14</v>
      </c>
    </row>
    <row customHeight="1" ht="14.699999999999998">
      <c r="H38" s="707"/>
      <c r="AD38" s="1325">
        <v>14</v>
      </c>
    </row>
    <row customHeight="1" ht="14.699999999999998">
      <c r="H39" s="707"/>
      <c r="AD39" s="1325">
        <v>14</v>
      </c>
    </row>
    <row customHeight="1" ht="14.699999999999998">
      <c r="H40" s="707"/>
      <c r="AD40" s="1325">
        <v>14</v>
      </c>
    </row>
    <row customHeight="1" ht="22.5" hidden="1">
      <c r="A41" s="1330" t="s">
        <v>85</v>
      </c>
      <c r="B41" s="1330">
        <v>0</v>
      </c>
      <c r="C41" s="1330">
        <v>0</v>
      </c>
      <c r="D41" s="1330">
        <v>0</v>
      </c>
      <c r="E41" s="1330">
        <v>0</v>
      </c>
      <c r="F41" s="1532">
        <v>0</v>
      </c>
      <c r="G41" s="1532">
        <v>0</v>
      </c>
      <c r="H41" s="1532">
        <v>0</v>
      </c>
      <c r="I41" s="1456">
        <v>3</v>
      </c>
      <c r="J41" s="514">
        <v>3</v>
      </c>
      <c r="K41" s="514">
        <v>3</v>
      </c>
      <c r="L41" s="751">
        <v>12</v>
      </c>
      <c r="M41" s="1325">
        <v>31</v>
      </c>
      <c r="N41" s="1325">
        <v>1</v>
      </c>
      <c r="O41" s="1325">
        <v>24</v>
      </c>
      <c r="P41" s="1325">
        <v>24</v>
      </c>
      <c r="Q41" s="1325">
        <v>24</v>
      </c>
      <c r="R41" s="1325">
        <v>24</v>
      </c>
      <c r="S41" s="1325">
        <v>11</v>
      </c>
      <c r="T41" s="1325">
        <v>3</v>
      </c>
      <c r="U41" s="1325">
        <v>11</v>
      </c>
      <c r="V41" s="1325">
        <v>8</v>
      </c>
      <c r="W41" s="1325">
        <v>4</v>
      </c>
      <c r="X41" s="1325">
        <v>115</v>
      </c>
      <c r="Y41" s="681">
        <v>10</v>
      </c>
      <c r="Z41" s="681">
        <v>10</v>
      </c>
      <c r="AA41" s="681">
        <v>10</v>
      </c>
      <c r="AB41" s="681">
        <v>10</v>
      </c>
      <c r="AC41" s="681">
        <v>10</v>
      </c>
      <c r="AD41" s="132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8D1CF8-016F-FEED-B9BA-D510F846DD4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38C066-9D7B-8D07-92CA-3ED30D20571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33832A-4C08-9ECC-CC44-2F0F7835C37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911153-AF34-E4B6-4BC6-089A7A1A499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83584F-1D94-0856-6118-217517DF385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9A3B56-667E-85C3-10AB-9E823C22AA1E}"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2622" width="15.00390625" hidden="1" customWidth="1"/>
    <col min="2" max="2" style="12579" width="15.00390625" hidden="1" customWidth="1"/>
    <col min="3" max="3" style="12623" width="3.00390625" customWidth="1"/>
    <col min="4" max="4" style="12624" width="6.00390625" customWidth="1"/>
    <col min="5" max="5" style="12623" width="52.00390625" customWidth="1"/>
    <col min="6" max="6" style="12623" width="48.00390625" customWidth="1"/>
    <col min="7" max="7" style="12623" width="121.00390625" customWidth="1"/>
    <col min="8" max="8" style="12623" width="8.00390625" customWidth="1"/>
    <col min="9" max="9" style="12623" width="64.00390625" customWidth="1"/>
    <col min="10" max="10" style="12623" width="9.140625" hidden="1"/>
  </cols>
  <sheetData>
    <row customHeight="1" ht="11.25" hidden="1">
      <c r="A1" s="1856" t="s">
        <v>311</v>
      </c>
      <c r="J1" s="625" t="s">
        <v>14</v>
      </c>
    </row>
    <row customHeight="1" ht="11.25" hidden="1">
      <c r="J2" s="625">
        <v>0</v>
      </c>
    </row>
    <row s="12537" customFormat="1" customHeight="1" ht="11.549999999999999">
      <c r="A3" s="1856"/>
      <c r="B3" s="671"/>
      <c r="D3" s="648"/>
      <c r="J3" s="647">
        <v>11</v>
      </c>
    </row>
    <row customHeight="1" ht="27.299999999999997">
      <c r="D4" s="232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328"/>
      <c r="F4" s="2329"/>
      <c r="I4" s="885"/>
      <c r="J4" s="625">
        <v>26</v>
      </c>
    </row>
    <row customHeight="1" ht="18">
      <c r="D5" s="2346" t="str">
        <f>IF(org=0,"Не определено",org)</f>
        <v>Филиал "Шатурская ГРЭС" ПАО "Юнипро"</v>
      </c>
      <c r="E5" s="2346"/>
      <c r="F5" s="2346"/>
      <c r="I5" s="885"/>
      <c r="J5" s="625">
        <v>17</v>
      </c>
    </row>
    <row s="12537" customFormat="1" customHeight="1" ht="11.549999999999999">
      <c r="A6" s="1856"/>
      <c r="B6" s="671"/>
      <c r="D6" s="884"/>
      <c r="E6" s="884"/>
      <c r="F6" s="922"/>
      <c r="G6" s="884"/>
      <c r="J6" s="647">
        <v>11</v>
      </c>
    </row>
    <row customHeight="1" ht="11.25" hidden="1">
      <c r="A7" s="627"/>
      <c r="B7" s="672"/>
      <c r="C7" s="627"/>
      <c r="D7" s="633"/>
      <c r="E7" s="2377"/>
      <c r="F7" s="2377"/>
      <c r="J7" s="625">
        <v>0</v>
      </c>
    </row>
    <row customHeight="1" ht="11.549999999999999">
      <c r="A8" s="627"/>
      <c r="B8" s="672"/>
      <c r="C8" s="627"/>
      <c r="D8" s="2374" t="s">
        <v>312</v>
      </c>
      <c r="E8" s="2375"/>
      <c r="F8" s="2375"/>
      <c r="G8" s="2378" t="s">
        <v>313</v>
      </c>
      <c r="J8" s="625">
        <v>11</v>
      </c>
    </row>
    <row customHeight="1" ht="11.549999999999999">
      <c r="A9" s="627"/>
      <c r="B9" s="672"/>
      <c r="C9" s="627"/>
      <c r="D9" s="642" t="s">
        <v>91</v>
      </c>
      <c r="E9" s="616" t="s">
        <v>314</v>
      </c>
      <c r="F9" s="616" t="s">
        <v>315</v>
      </c>
      <c r="G9" s="2379"/>
      <c r="J9" s="625">
        <v>11</v>
      </c>
    </row>
    <row customHeight="1" ht="12" hidden="1">
      <c r="A10" s="627"/>
      <c r="B10" s="672"/>
      <c r="C10" s="627"/>
      <c r="D10" s="634"/>
      <c r="E10" s="634"/>
      <c r="F10" s="634"/>
      <c r="G10" s="634"/>
      <c r="J10" s="625">
        <v>0</v>
      </c>
    </row>
    <row customHeight="1" ht="22.5" hidden="1">
      <c r="A11" s="627"/>
      <c r="B11" s="672"/>
      <c r="C11" s="627"/>
      <c r="D11" s="1179" t="s">
        <v>112</v>
      </c>
      <c r="E11" s="1182" t="s">
        <v>316</v>
      </c>
      <c r="F11" s="1181" t="str">
        <f>IF(region_name="","",region_name)</f>
        <v>Московская область</v>
      </c>
      <c r="G11" s="1182" t="s">
        <v>317</v>
      </c>
      <c r="H11" s="645"/>
      <c r="J11" s="625">
        <v>0</v>
      </c>
    </row>
    <row customHeight="1" ht="22.5" hidden="1">
      <c r="A12" s="627"/>
      <c r="B12" s="672"/>
      <c r="C12" s="627"/>
      <c r="D12" s="615" t="s">
        <v>112</v>
      </c>
      <c r="E12" s="61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613" t="s">
        <v>318</v>
      </c>
      <c r="G12" s="644"/>
      <c r="H12" s="645"/>
      <c r="J12" s="625">
        <v>0</v>
      </c>
    </row>
    <row customHeight="1" ht="23.25">
      <c r="A13" s="627"/>
      <c r="B13" s="672"/>
      <c r="C13" s="627"/>
      <c r="D13" s="615" t="s">
        <v>112</v>
      </c>
      <c r="E13" s="612" t="str">
        <f>"Наименование юридического лица"&amp;IF(TEMPLATE_SPHERE="TKO"," (индивидуального предпринимателя)","")</f>
        <v>Наименование юридического лица</v>
      </c>
      <c r="F13" s="611"/>
      <c r="G13" s="61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645"/>
      <c r="J13" s="625">
        <v>22</v>
      </c>
    </row>
    <row customHeight="1" ht="22.5" hidden="1">
      <c r="A14" s="627"/>
      <c r="B14" s="672"/>
      <c r="C14" s="627"/>
      <c r="D14" s="1179" t="s">
        <v>319</v>
      </c>
      <c r="E14" s="1180" t="s">
        <v>320</v>
      </c>
      <c r="F14" s="1181" t="str">
        <f>IF(inn="","",inn)</f>
        <v>8602067092</v>
      </c>
      <c r="G14" s="1182" t="s">
        <v>321</v>
      </c>
      <c r="H14" s="645"/>
      <c r="J14" s="625">
        <v>0</v>
      </c>
    </row>
    <row customHeight="1" ht="22.5" hidden="1">
      <c r="A15" s="627"/>
      <c r="B15" s="672"/>
      <c r="C15" s="627"/>
      <c r="D15" s="1179" t="s">
        <v>322</v>
      </c>
      <c r="E15" s="1180" t="s">
        <v>323</v>
      </c>
      <c r="F15" s="1181" t="str">
        <f>IF(kpp="","",kpp)</f>
        <v>504902001</v>
      </c>
      <c r="G15" s="1182" t="s">
        <v>324</v>
      </c>
      <c r="H15" s="645"/>
      <c r="J15" s="625">
        <v>0</v>
      </c>
    </row>
    <row customHeight="1" ht="39">
      <c r="A16" s="627"/>
      <c r="B16" s="672"/>
      <c r="C16" s="627"/>
      <c r="D16" s="615" t="s">
        <v>113</v>
      </c>
      <c r="E16" s="61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611"/>
      <c r="G16" s="61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645"/>
      <c r="J16" s="625">
        <v>37</v>
      </c>
    </row>
    <row customHeight="1" ht="23.25">
      <c r="A17" s="627"/>
      <c r="B17" s="672"/>
      <c r="C17" s="627"/>
      <c r="D17" s="615" t="s">
        <v>93</v>
      </c>
      <c r="E17" s="612" t="str">
        <f>"Дата присвоения ОГРН"&amp;IF(TEMPLATE_SPHERE="TKO",""," (ОГРНИП)")</f>
        <v>Дата присвоения ОГРН (ОГРНИП)</v>
      </c>
      <c r="F17" s="1902" t="s">
        <v>28</v>
      </c>
      <c r="G17" s="614" t="str">
        <f>"Дата присвоения ОГРН"&amp;IF(TEMPLATE_SPHERE="TKO",""," (ОГРНИП)")&amp;" указывается в виде «ДД.ММ.ГГГГ»."</f>
        <v>Дата присвоения ОГРН (ОГРНИП) указывается в виде «ДД.ММ.ГГГГ».</v>
      </c>
      <c r="H17" s="645"/>
      <c r="J17" s="625">
        <v>22</v>
      </c>
    </row>
    <row customHeight="1" ht="71.25">
      <c r="A18" s="627"/>
      <c r="B18" s="672"/>
      <c r="C18" s="627"/>
      <c r="D18" s="615" t="s">
        <v>94</v>
      </c>
      <c r="E18" s="61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611"/>
      <c r="G18" s="644"/>
      <c r="H18" s="645"/>
      <c r="J18" s="625">
        <v>68</v>
      </c>
    </row>
    <row customHeight="1" ht="22.5" hidden="1">
      <c r="A19" s="2372" t="s">
        <v>325</v>
      </c>
      <c r="B19" s="672"/>
      <c r="C19" s="2383"/>
      <c r="D19" s="615" t="str">
        <f>A19</f>
        <v>5.1</v>
      </c>
      <c r="E19" s="612" t="s">
        <v>326</v>
      </c>
      <c r="F19" s="613" t="s">
        <v>318</v>
      </c>
      <c r="G19" s="614" t="s">
        <v>327</v>
      </c>
      <c r="H19" s="645"/>
      <c r="I19" s="1022"/>
      <c r="J19" s="625">
        <v>0</v>
      </c>
    </row>
    <row customHeight="1" ht="24" hidden="1">
      <c r="A20" s="2372"/>
      <c r="B20" s="672"/>
      <c r="C20" s="2383"/>
      <c r="D20" s="610" t="str">
        <f>D19&amp;".1"</f>
        <v>5.1.1</v>
      </c>
      <c r="E20" s="609" t="s">
        <v>328</v>
      </c>
      <c r="F20" s="1051" t="s">
        <v>28</v>
      </c>
      <c r="G20" s="644"/>
      <c r="H20" s="645"/>
      <c r="I20" s="1022"/>
      <c r="J20" s="625">
        <v>0</v>
      </c>
    </row>
    <row customHeight="1" ht="22.5" hidden="1">
      <c r="A21" s="2372"/>
      <c r="B21" s="672"/>
      <c r="C21" s="2383"/>
      <c r="D21" s="610" t="str">
        <f>D19&amp;".2"</f>
        <v>5.1.2</v>
      </c>
      <c r="E21" s="609" t="s">
        <v>329</v>
      </c>
      <c r="F21" s="1903" t="s">
        <v>28</v>
      </c>
      <c r="G21" s="614" t="s">
        <v>330</v>
      </c>
      <c r="H21" s="645"/>
      <c r="I21" s="1022"/>
      <c r="J21" s="625">
        <v>0</v>
      </c>
    </row>
    <row customHeight="1" ht="22.5" hidden="1">
      <c r="A22" s="2372"/>
      <c r="B22" s="672"/>
      <c r="C22" s="2383"/>
      <c r="D22" s="610" t="str">
        <f>D19&amp;".3"</f>
        <v>5.1.3</v>
      </c>
      <c r="E22" s="609" t="s">
        <v>331</v>
      </c>
      <c r="F22" s="1051" t="s">
        <v>28</v>
      </c>
      <c r="G22" s="644"/>
      <c r="H22" s="645"/>
      <c r="I22" s="1022"/>
      <c r="J22" s="625">
        <v>0</v>
      </c>
    </row>
    <row customHeight="1" ht="22.5" hidden="1">
      <c r="A23" s="2372"/>
      <c r="B23" s="672"/>
      <c r="C23" s="2383"/>
      <c r="D23" s="610" t="str">
        <f>D19&amp;".4"</f>
        <v>5.1.4</v>
      </c>
      <c r="E23" s="609" t="s">
        <v>332</v>
      </c>
      <c r="F23" s="1051" t="s">
        <v>28</v>
      </c>
      <c r="G23" s="614" t="s">
        <v>333</v>
      </c>
      <c r="H23" s="645"/>
      <c r="I23" s="1022"/>
      <c r="J23" s="625">
        <v>0</v>
      </c>
    </row>
    <row customHeight="1" ht="22.5" hidden="1">
      <c r="A24" s="2148"/>
      <c r="B24" s="672"/>
      <c r="C24" s="662"/>
      <c r="D24" s="637"/>
      <c r="E24" s="1338" t="s">
        <v>334</v>
      </c>
      <c r="F24" s="638"/>
      <c r="G24" s="639"/>
      <c r="H24" s="645"/>
      <c r="I24" s="1022"/>
      <c r="J24" s="625">
        <v>0</v>
      </c>
    </row>
    <row s="12579" customFormat="1" customHeight="1" ht="24.75" hidden="1">
      <c r="A25" s="627"/>
      <c r="B25" s="672"/>
      <c r="C25" s="672"/>
      <c r="D25" s="1176" t="s">
        <v>93</v>
      </c>
      <c r="E25" s="1178" t="s">
        <v>335</v>
      </c>
      <c r="F25" s="1183" t="s">
        <v>318</v>
      </c>
      <c r="G25" s="1178"/>
      <c r="J25" s="671">
        <v>0</v>
      </c>
    </row>
    <row s="12579" customFormat="1" customHeight="1" ht="11.25" hidden="1">
      <c r="A26" s="627"/>
      <c r="B26" s="672"/>
      <c r="C26" s="672"/>
      <c r="D26" s="1176" t="s">
        <v>336</v>
      </c>
      <c r="E26" s="1177" t="s">
        <v>337</v>
      </c>
      <c r="F26" s="1183" t="s">
        <v>318</v>
      </c>
      <c r="G26" s="1178"/>
      <c r="J26" s="671">
        <v>0</v>
      </c>
    </row>
    <row s="12579" customFormat="1" customHeight="1" ht="11.25" hidden="1">
      <c r="A27" s="627"/>
      <c r="B27" s="672"/>
      <c r="C27" s="672"/>
      <c r="D27" s="1176" t="s">
        <v>338</v>
      </c>
      <c r="E27" s="1184" t="s">
        <v>339</v>
      </c>
      <c r="F27" s="1185"/>
      <c r="G27" s="117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671">
        <v>0</v>
      </c>
    </row>
    <row s="12579" customFormat="1" customHeight="1" ht="11.25" hidden="1">
      <c r="A28" s="627"/>
      <c r="B28" s="672"/>
      <c r="C28" s="672"/>
      <c r="D28" s="1176" t="s">
        <v>340</v>
      </c>
      <c r="E28" s="1184" t="s">
        <v>341</v>
      </c>
      <c r="F28" s="1185"/>
      <c r="G28" s="117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671">
        <v>0</v>
      </c>
    </row>
    <row s="12579" customFormat="1" customHeight="1" ht="11.25" hidden="1">
      <c r="A29" s="627"/>
      <c r="B29" s="672"/>
      <c r="C29" s="672"/>
      <c r="D29" s="1176" t="s">
        <v>342</v>
      </c>
      <c r="E29" s="1184" t="s">
        <v>343</v>
      </c>
      <c r="F29" s="1185"/>
      <c r="G29" s="117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671">
        <v>0</v>
      </c>
    </row>
    <row s="12579" customFormat="1" customHeight="1" ht="11.25" hidden="1">
      <c r="A30" s="627"/>
      <c r="B30" s="672"/>
      <c r="C30" s="672"/>
      <c r="D30" s="1176" t="s">
        <v>344</v>
      </c>
      <c r="E30" s="1177" t="s">
        <v>345</v>
      </c>
      <c r="F30" s="1185"/>
      <c r="G30" s="1178"/>
      <c r="J30" s="671">
        <v>0</v>
      </c>
    </row>
    <row s="12579" customFormat="1" customHeight="1" ht="11.25" hidden="1">
      <c r="A31" s="627"/>
      <c r="B31" s="672"/>
      <c r="C31" s="672"/>
      <c r="D31" s="1176" t="s">
        <v>346</v>
      </c>
      <c r="E31" s="1177" t="s">
        <v>347</v>
      </c>
      <c r="F31" s="1185"/>
      <c r="G31" s="1178"/>
      <c r="J31" s="671">
        <v>0</v>
      </c>
    </row>
    <row s="12579" customFormat="1" customHeight="1" ht="11.25" hidden="1">
      <c r="A32" s="627"/>
      <c r="B32" s="672"/>
      <c r="C32" s="672"/>
      <c r="D32" s="1176" t="s">
        <v>348</v>
      </c>
      <c r="E32" s="1177" t="s">
        <v>349</v>
      </c>
      <c r="F32" s="1186"/>
      <c r="G32" s="1178"/>
      <c r="J32" s="671">
        <v>0</v>
      </c>
    </row>
    <row customHeight="1" ht="24">
      <c r="A33" s="627" t="str">
        <f>IF(TEMPLATE_SPHERE="HEAT","6","5")</f>
        <v>6</v>
      </c>
      <c r="B33" s="672"/>
      <c r="C33" s="627"/>
      <c r="D33" s="610" t="str">
        <f>A33</f>
        <v>6</v>
      </c>
      <c r="E33" s="60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613" t="s">
        <v>318</v>
      </c>
      <c r="G33" s="644"/>
      <c r="H33" s="645"/>
      <c r="J33" s="625">
        <v>23</v>
      </c>
    </row>
    <row customHeight="1" ht="23.25">
      <c r="A34" s="627"/>
      <c r="B34" s="672"/>
      <c r="C34" s="627"/>
      <c r="D34" s="610" t="str">
        <f>D33&amp;".1"</f>
        <v>6.1</v>
      </c>
      <c r="E34" s="612" t="str">
        <f>"фамилия"&amp;IF(TEMPLATE_SPHERE&lt;&gt;"HEAT"," руководителя","")</f>
        <v>фамилия</v>
      </c>
      <c r="F34" s="611"/>
      <c r="G34" s="61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645"/>
      <c r="J34" s="625">
        <v>22</v>
      </c>
    </row>
    <row customHeight="1" ht="23.25">
      <c r="A35" s="627"/>
      <c r="B35" s="672"/>
      <c r="C35" s="627"/>
      <c r="D35" s="610" t="str">
        <f>D33&amp;".2"</f>
        <v>6.2</v>
      </c>
      <c r="E35" s="612" t="str">
        <f>"имя"&amp;IF(TEMPLATE_SPHERE&lt;&gt;"HEAT"," руководителя","")</f>
        <v>имя</v>
      </c>
      <c r="F35" s="611"/>
      <c r="G35" s="61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645"/>
      <c r="J35" s="625">
        <v>22</v>
      </c>
    </row>
    <row customHeight="1" ht="24">
      <c r="A36" s="627"/>
      <c r="B36" s="672"/>
      <c r="C36" s="627"/>
      <c r="D36" s="610" t="str">
        <f>D33&amp;".3"</f>
        <v>6.3</v>
      </c>
      <c r="E36" s="612" t="str">
        <f>"отчество"&amp;IF(TEMPLATE_SPHERE&lt;&gt;"HEAT"," руководителя","")</f>
        <v>отчество</v>
      </c>
      <c r="F36" s="868"/>
      <c r="G36" s="61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645"/>
      <c r="J36" s="625">
        <v>23</v>
      </c>
    </row>
    <row customHeight="1" ht="35.699999999999996">
      <c r="A37" s="627"/>
      <c r="B37" s="672"/>
      <c r="C37" s="627"/>
      <c r="D37" s="610">
        <f>D33+1</f>
        <v>7</v>
      </c>
      <c r="E37" s="60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611"/>
      <c r="G37" s="614" t="s">
        <v>350</v>
      </c>
      <c r="H37" s="645"/>
      <c r="J37" s="625">
        <v>34</v>
      </c>
    </row>
    <row customHeight="1" ht="35.699999999999996">
      <c r="A38" s="627"/>
      <c r="B38" s="672"/>
      <c r="C38" s="627"/>
      <c r="D38" s="610">
        <f>D37+1</f>
        <v>8</v>
      </c>
      <c r="E38" s="60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611"/>
      <c r="G38" s="614" t="s">
        <v>350</v>
      </c>
      <c r="H38" s="645"/>
      <c r="J38" s="625">
        <v>34</v>
      </c>
    </row>
    <row customHeight="1" ht="23.25">
      <c r="A39" s="627"/>
      <c r="B39" s="672"/>
      <c r="C39" s="627"/>
      <c r="D39" s="610">
        <f>D38+1</f>
        <v>9</v>
      </c>
      <c r="E39" s="60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613" t="s">
        <v>318</v>
      </c>
      <c r="G39" s="238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645"/>
      <c r="J39" s="625">
        <v>22</v>
      </c>
    </row>
    <row customHeight="1" ht="22.5" hidden="1">
      <c r="A40" s="627"/>
      <c r="B40" s="672"/>
      <c r="C40" s="627"/>
      <c r="D40" s="610" t="str">
        <f>D39&amp;".0"</f>
        <v>9.0</v>
      </c>
      <c r="E40" s="1775"/>
      <c r="F40" s="1051"/>
      <c r="G40" s="2381"/>
      <c r="H40" s="645"/>
      <c r="J40" s="625">
        <v>0</v>
      </c>
    </row>
    <row customHeight="1" ht="23.25">
      <c r="A41" s="627"/>
      <c r="B41" s="627"/>
      <c r="C41" s="1858"/>
      <c r="D41" s="610" t="str">
        <f>D39&amp;".1"</f>
        <v>9.1</v>
      </c>
      <c r="E41" s="1030"/>
      <c r="F41" s="1031"/>
      <c r="G41" s="2381"/>
      <c r="H41" s="645"/>
      <c r="J41" s="625">
        <v>22</v>
      </c>
    </row>
    <row customHeight="1" ht="15.75">
      <c r="A42" s="627"/>
      <c r="B42" s="672"/>
      <c r="C42" s="627"/>
      <c r="D42" s="637"/>
      <c r="E42" s="585" t="s">
        <v>351</v>
      </c>
      <c r="F42" s="639"/>
      <c r="G42" s="2382"/>
      <c r="H42" s="646"/>
      <c r="J42" s="625">
        <v>15</v>
      </c>
    </row>
    <row customHeight="1" ht="27.299999999999997">
      <c r="A43" s="627"/>
      <c r="B43" s="672"/>
      <c r="C43" s="627"/>
      <c r="D43" s="610">
        <f>D39+1</f>
        <v>10</v>
      </c>
      <c r="E43" s="60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1032"/>
      <c r="G43" s="61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645"/>
      <c r="J43" s="625">
        <v>26</v>
      </c>
    </row>
    <row customHeight="1" ht="23.25">
      <c r="A44" s="627"/>
      <c r="B44" s="672"/>
      <c r="C44" s="627"/>
      <c r="D44" s="610">
        <f>D43+1</f>
        <v>11</v>
      </c>
      <c r="E44" s="60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548"/>
      <c r="G44" s="644" t="s">
        <v>352</v>
      </c>
      <c r="H44" s="645"/>
      <c r="J44" s="625">
        <v>22</v>
      </c>
    </row>
    <row customHeight="1" ht="23.25">
      <c r="A45" s="627"/>
      <c r="B45" s="672"/>
      <c r="C45" s="627"/>
      <c r="D45" s="610">
        <f>D44+1</f>
        <v>12</v>
      </c>
      <c r="E45" s="608" t="s">
        <v>353</v>
      </c>
      <c r="F45" s="613" t="s">
        <v>318</v>
      </c>
      <c r="G45" s="607" t="str">
        <f>IF(TEMPLATE_SPHERE="TKO","Указывается режим работы организации.","")</f>
        <v/>
      </c>
      <c r="H45" s="645"/>
      <c r="J45" s="625">
        <v>22</v>
      </c>
    </row>
    <row customHeight="1" ht="24">
      <c r="A46" s="627"/>
      <c r="B46" s="672"/>
      <c r="C46" s="627"/>
      <c r="D46" s="610" t="str">
        <f>D45&amp;".1"</f>
        <v>12.1</v>
      </c>
      <c r="E46" s="612" t="str">
        <f>"режим работы регулируемой организации"&amp;IF(TEMPLATE_SPHERE="HEAT",", ЕТО, ТО","")</f>
        <v>режим работы регулируемой организации, ЕТО, ТО</v>
      </c>
      <c r="F46" s="1854"/>
      <c r="G46" s="607" t="s">
        <v>354</v>
      </c>
      <c r="H46" s="645"/>
      <c r="J46" s="625">
        <v>23</v>
      </c>
    </row>
    <row customHeight="1" ht="24">
      <c r="A47" s="2372"/>
      <c r="B47" s="672"/>
      <c r="C47" s="662"/>
      <c r="D47" s="610" t="str">
        <f>D45&amp;".2"</f>
        <v>12.2</v>
      </c>
      <c r="E47" s="612" t="s">
        <v>355</v>
      </c>
      <c r="F47" s="660"/>
      <c r="G47" s="607" t="s">
        <v>356</v>
      </c>
      <c r="H47" s="645"/>
      <c r="J47" s="625">
        <v>23</v>
      </c>
    </row>
    <row customHeight="1" ht="24">
      <c r="A48" s="2372"/>
      <c r="B48" s="672"/>
      <c r="C48" s="662"/>
      <c r="D48" s="610" t="str">
        <f>D45&amp;".3"</f>
        <v>12.3</v>
      </c>
      <c r="E48" s="612" t="s">
        <v>357</v>
      </c>
      <c r="F48" s="660"/>
      <c r="G48" s="607" t="s">
        <v>358</v>
      </c>
      <c r="H48" s="645"/>
      <c r="J48" s="625">
        <v>23</v>
      </c>
    </row>
    <row customHeight="1" ht="24">
      <c r="A49" s="2372"/>
      <c r="B49" s="672"/>
      <c r="C49" s="662"/>
      <c r="D49" s="610" t="str">
        <f>IF(TEMPLATE_SPHERE="TKO",D45&amp;".0",D45&amp;".4")</f>
        <v>12.4</v>
      </c>
      <c r="E49" s="606" t="s">
        <v>359</v>
      </c>
      <c r="F49" s="1855"/>
      <c r="G49" s="1932" t="s">
        <v>360</v>
      </c>
      <c r="H49" s="645"/>
      <c r="J49" s="625">
        <v>23</v>
      </c>
    </row>
    <row customHeight="1" ht="24">
      <c r="A50" s="627"/>
      <c r="B50" s="672"/>
      <c r="C50" s="627"/>
      <c r="D50" s="637"/>
      <c r="E50" s="585" t="s">
        <v>361</v>
      </c>
      <c r="F50" s="638"/>
      <c r="G50" s="1932" t="s">
        <v>362</v>
      </c>
      <c r="H50" s="646"/>
      <c r="J50" s="625">
        <v>23</v>
      </c>
    </row>
    <row customHeight="1" ht="24">
      <c r="A51" s="1028"/>
      <c r="B51" s="672"/>
      <c r="C51" s="662"/>
      <c r="D51" s="610">
        <f>D45+1</f>
        <v>13</v>
      </c>
      <c r="E51" s="698" t="s">
        <v>363</v>
      </c>
      <c r="F51" s="660"/>
      <c r="G51" s="185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645"/>
      <c r="J51" s="625">
        <v>23</v>
      </c>
    </row>
    <row customHeight="1" ht="11.549999999999999">
      <c r="A52" s="627"/>
      <c r="B52" s="672"/>
      <c r="C52" s="627"/>
      <c r="J52" s="625">
        <v>11</v>
      </c>
    </row>
    <row s="12608" customFormat="1" customHeight="1" ht="31.5">
      <c r="A53" s="1857"/>
      <c r="B53" s="673"/>
      <c r="C53" s="2373"/>
      <c r="D53" s="237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376"/>
      <c r="F53" s="2376"/>
      <c r="G53" s="2376"/>
      <c r="H53" s="624"/>
      <c r="I53" s="624"/>
      <c r="J53" s="630">
        <v>30</v>
      </c>
    </row>
    <row s="12608" customFormat="1" customHeight="1" ht="42">
      <c r="A54" s="627"/>
      <c r="B54" s="672"/>
      <c r="C54" s="2373"/>
      <c r="D54" s="237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376"/>
      <c r="F54" s="2376"/>
      <c r="G54" s="2376"/>
      <c r="J54" s="630">
        <v>40</v>
      </c>
    </row>
    <row customHeight="1" ht="11.549999999999999">
      <c r="D55" s="628"/>
      <c r="E55" s="629"/>
      <c r="F55" s="629"/>
      <c r="G55" s="629"/>
      <c r="J55" s="625">
        <v>11</v>
      </c>
    </row>
    <row customHeight="1" ht="28.5">
      <c r="D56" s="631"/>
      <c r="E56" s="628"/>
      <c r="F56" s="640"/>
      <c r="G56" s="640"/>
      <c r="J56" s="625">
        <v>27</v>
      </c>
    </row>
    <row customHeight="1" ht="11.549999999999999">
      <c r="D57" s="628"/>
      <c r="E57" s="628"/>
      <c r="F57" s="629"/>
      <c r="G57" s="629"/>
      <c r="J57" s="625">
        <v>11</v>
      </c>
    </row>
    <row customHeight="1" ht="40.949999999999996">
      <c r="D58" s="632"/>
      <c r="E58" s="641"/>
      <c r="F58" s="641"/>
      <c r="G58" s="641"/>
      <c r="J58" s="625">
        <v>39</v>
      </c>
    </row>
    <row customHeight="1" ht="28.5">
      <c r="D59" s="632"/>
      <c r="E59" s="641"/>
      <c r="F59" s="641"/>
      <c r="G59" s="641"/>
      <c r="J59" s="625">
        <v>27</v>
      </c>
    </row>
    <row customHeight="1" ht="11.25" hidden="1">
      <c r="A60" s="1856" t="s">
        <v>85</v>
      </c>
      <c r="B60" s="671">
        <v>0</v>
      </c>
      <c r="C60" s="625">
        <v>3</v>
      </c>
      <c r="D60" s="626">
        <v>6</v>
      </c>
      <c r="E60" s="625">
        <v>52</v>
      </c>
      <c r="F60" s="625">
        <v>48</v>
      </c>
      <c r="G60" s="625">
        <v>121</v>
      </c>
      <c r="H60" s="625">
        <v>8</v>
      </c>
      <c r="I60" s="625">
        <v>64</v>
      </c>
      <c r="J60" s="62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D86BFE-979D-FFBF-D2C5-48DBF9CF6B2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E85CFE-FA3F-5997-CABF-8DF876A0C8D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D54596-168A-9779-7D86-9C912146240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23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9E9A4D-E256-03E6-8EF4-CE7ABD99148B}" mc:Ignorable="x14ac xr xr2 xr3">
  <dimension ref="A1:E8"/>
  <sheetViews>
    <sheetView topLeftCell="A1" showGridLines="0" workbookViewId="0">
      <selection activeCell="A1" sqref="A1"/>
    </sheetView>
  </sheetViews>
  <sheetFormatPr customHeight="1" defaultRowHeight="11.25"/>
  <cols>
    <col min="1" max="1" style="15834" width="10.57421875" customWidth="1"/>
    <col min="2" max="2" style="15834" width="8.7109375" customWidth="1"/>
    <col min="3" max="3" style="15834" width="18.140625" customWidth="1"/>
    <col min="4" max="4" style="15834" width="12.57421875" customWidth="1"/>
  </cols>
  <sheetData>
    <row customHeight="1" ht="11.25">
      <c r="A1" s="2785" t="s">
        <v>2252</v>
      </c>
      <c r="B1" s="2786" t="s">
        <v>2253</v>
      </c>
      <c r="C1" s="2787" t="s">
        <v>2254</v>
      </c>
      <c r="D1" s="2788"/>
      <c r="E1" s="1006" t="s">
        <v>2255</v>
      </c>
    </row>
    <row customHeight="1" ht="11.25">
      <c r="A2" s="2789"/>
      <c r="B2" s="935" t="s">
        <v>26</v>
      </c>
      <c r="C2" s="923"/>
      <c r="D2" s="934"/>
      <c r="E2" s="1006"/>
    </row>
    <row customHeight="1" ht="11.25">
      <c r="A3" s="2790"/>
      <c r="B3" s="2791" t="s">
        <v>33</v>
      </c>
      <c r="C3" s="923"/>
      <c r="D3" s="934"/>
      <c r="E3" s="1006"/>
    </row>
    <row customHeight="1" ht="11.25">
      <c r="A4" s="2792"/>
      <c r="B4" s="936" t="s">
        <v>1678</v>
      </c>
      <c r="C4" s="923"/>
      <c r="D4" s="934"/>
      <c r="E4" s="1006"/>
    </row>
    <row customHeight="1" ht="11.25">
      <c r="A5" s="2793"/>
      <c r="B5" s="936" t="s">
        <v>1672</v>
      </c>
      <c r="C5" s="2794" t="s">
        <v>2019</v>
      </c>
      <c r="D5" s="2795" t="s">
        <v>2256</v>
      </c>
      <c r="E5" s="1006"/>
    </row>
    <row s="12053" customFormat="1" customHeight="1" ht="11.25">
      <c r="A6" s="2796"/>
      <c r="B6" s="936" t="s">
        <v>1682</v>
      </c>
      <c r="C6" s="923"/>
      <c r="D6" s="934"/>
      <c r="E6" s="1006"/>
    </row>
    <row customHeight="1" ht="11.25">
      <c r="A7" s="2797"/>
      <c r="B7" s="936" t="s">
        <v>1690</v>
      </c>
      <c r="C7" s="923"/>
      <c r="D7" s="934"/>
      <c r="E7" s="1006"/>
    </row>
    <row customHeight="1" ht="11.25">
      <c r="A8" s="926"/>
      <c r="B8" s="936" t="s">
        <v>1685</v>
      </c>
      <c r="C8" s="923"/>
      <c r="D8" s="934"/>
      <c r="E8" s="100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AF330E-B02F-5C7F-1FB7-70D9FEC30B4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3D796B-43CF-47F6-156E-EEB0C3F6E7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850013-5E61-165E-59F3-3EDE5EB84E68}" mc:Ignorable="x14ac xr xr2 xr3">
  <sheetPr>
    <tabColor rgb="FFFFCC99"/>
  </sheetPr>
  <dimension ref="A1:I2286"/>
  <sheetViews>
    <sheetView topLeftCell="A1" showGridLines="0" workbookViewId="0">
      <selection activeCell="A1" sqref="A1"/>
    </sheetView>
  </sheetViews>
  <sheetFormatPr defaultColWidth="9.140625" customHeight="1" defaultRowHeight="11.25"/>
  <cols>
    <col min="1" max="2" style="12053" width="9.140625"/>
    <col min="3" max="3" style="12053" width="20.7109375" customWidth="1"/>
    <col min="4" max="4" style="12053" width="25.140625" customWidth="1"/>
    <col min="5" max="9" style="12053" width="9.140625"/>
  </cols>
  <sheetData>
    <row customHeight="1" ht="11.25">
      <c r="A1" s="238" t="s">
        <v>2257</v>
      </c>
      <c r="B1" s="238" t="s">
        <v>2258</v>
      </c>
      <c r="C1" s="238" t="s">
        <v>2259</v>
      </c>
      <c r="D1" s="238" t="s">
        <v>2260</v>
      </c>
      <c r="E1" s="238" t="s">
        <v>2261</v>
      </c>
      <c r="F1" s="238" t="s">
        <v>2262</v>
      </c>
      <c r="G1" s="238" t="s">
        <v>2263</v>
      </c>
      <c r="H1" s="238" t="s">
        <v>2264</v>
      </c>
      <c r="I1" s="238" t="s">
        <v>2265</v>
      </c>
    </row>
    <row customHeight="1" ht="11.25">
      <c r="A2" s="7771" t="s">
        <v>2266</v>
      </c>
      <c r="B2" s="7771" t="s">
        <v>16</v>
      </c>
      <c r="C2" s="7771" t="s">
        <v>2267</v>
      </c>
      <c r="D2" s="7771" t="s">
        <v>2268</v>
      </c>
      <c r="E2" s="7771" t="s">
        <v>2269</v>
      </c>
      <c r="F2" s="7771" t="s">
        <v>2270</v>
      </c>
      <c r="G2" s="7771" t="s">
        <v>2271</v>
      </c>
      <c r="H2" s="7771" t="s">
        <v>28</v>
      </c>
      <c r="I2" s="7771" t="s">
        <v>822</v>
      </c>
    </row>
    <row customHeight="1" ht="11.25">
      <c r="A3" s="7771" t="s">
        <v>2266</v>
      </c>
      <c r="B3" s="7771" t="s">
        <v>16</v>
      </c>
      <c r="C3" s="7771" t="s">
        <v>2272</v>
      </c>
      <c r="D3" s="7771" t="s">
        <v>2273</v>
      </c>
      <c r="E3" s="7771" t="s">
        <v>2274</v>
      </c>
      <c r="F3" s="7771" t="s">
        <v>2275</v>
      </c>
      <c r="G3" s="7771" t="s">
        <v>2276</v>
      </c>
      <c r="H3" s="7771" t="s">
        <v>28</v>
      </c>
      <c r="I3" s="7771" t="s">
        <v>822</v>
      </c>
    </row>
    <row customHeight="1" ht="11.25">
      <c r="A4" s="7771" t="s">
        <v>2266</v>
      </c>
      <c r="B4" s="7771" t="s">
        <v>16</v>
      </c>
      <c r="C4" s="7771" t="s">
        <v>2277</v>
      </c>
      <c r="D4" s="7771" t="s">
        <v>2278</v>
      </c>
      <c r="E4" s="7771" t="s">
        <v>2279</v>
      </c>
      <c r="F4" s="7771" t="s">
        <v>2280</v>
      </c>
      <c r="G4" s="7771" t="s">
        <v>2281</v>
      </c>
      <c r="H4" s="7771" t="s">
        <v>28</v>
      </c>
      <c r="I4" s="7771" t="s">
        <v>822</v>
      </c>
    </row>
    <row customHeight="1" ht="11.25">
      <c r="A5" s="7771" t="s">
        <v>2266</v>
      </c>
      <c r="B5" s="7771" t="s">
        <v>16</v>
      </c>
      <c r="C5" s="7771" t="s">
        <v>2282</v>
      </c>
      <c r="D5" s="7771" t="s">
        <v>2283</v>
      </c>
      <c r="E5" s="7771" t="s">
        <v>2284</v>
      </c>
      <c r="F5" s="7771" t="s">
        <v>2285</v>
      </c>
      <c r="G5" s="7771" t="s">
        <v>2286</v>
      </c>
      <c r="H5" s="7771" t="s">
        <v>28</v>
      </c>
      <c r="I5" s="7771" t="s">
        <v>822</v>
      </c>
    </row>
    <row customHeight="1" ht="11.25">
      <c r="A6" s="7771" t="s">
        <v>2266</v>
      </c>
      <c r="B6" s="7771" t="s">
        <v>16</v>
      </c>
      <c r="C6" s="7771" t="s">
        <v>2287</v>
      </c>
      <c r="D6" s="7771" t="s">
        <v>2288</v>
      </c>
      <c r="E6" s="7771" t="s">
        <v>2289</v>
      </c>
      <c r="F6" s="7771" t="s">
        <v>2290</v>
      </c>
      <c r="G6" s="7771" t="s">
        <v>2291</v>
      </c>
      <c r="H6" s="7771" t="s">
        <v>28</v>
      </c>
      <c r="I6" s="7771" t="s">
        <v>822</v>
      </c>
    </row>
    <row customHeight="1" ht="11.25">
      <c r="A7" s="7771" t="s">
        <v>2266</v>
      </c>
      <c r="B7" s="7771" t="s">
        <v>16</v>
      </c>
      <c r="C7" s="7771" t="s">
        <v>2292</v>
      </c>
      <c r="D7" s="7771" t="s">
        <v>2293</v>
      </c>
      <c r="E7" s="7771" t="s">
        <v>2294</v>
      </c>
      <c r="F7" s="7771" t="s">
        <v>2295</v>
      </c>
      <c r="G7" s="7771" t="s">
        <v>2296</v>
      </c>
      <c r="H7" s="7771" t="s">
        <v>28</v>
      </c>
      <c r="I7" s="7771" t="s">
        <v>822</v>
      </c>
    </row>
    <row customHeight="1" ht="11.25">
      <c r="A8" s="7771" t="s">
        <v>2266</v>
      </c>
      <c r="B8" s="7771" t="s">
        <v>16</v>
      </c>
      <c r="C8" s="7771" t="s">
        <v>2297</v>
      </c>
      <c r="D8" s="7771" t="s">
        <v>2298</v>
      </c>
      <c r="E8" s="7771" t="s">
        <v>2299</v>
      </c>
      <c r="F8" s="7771" t="s">
        <v>2300</v>
      </c>
      <c r="G8" s="7771" t="s">
        <v>28</v>
      </c>
      <c r="H8" s="7771" t="s">
        <v>28</v>
      </c>
      <c r="I8" s="7771" t="s">
        <v>822</v>
      </c>
    </row>
    <row customHeight="1" ht="11.25">
      <c r="A9" s="7771" t="s">
        <v>2266</v>
      </c>
      <c r="B9" s="7771" t="s">
        <v>16</v>
      </c>
      <c r="C9" s="7771" t="s">
        <v>2301</v>
      </c>
      <c r="D9" s="7771" t="s">
        <v>2302</v>
      </c>
      <c r="E9" s="7771" t="s">
        <v>2303</v>
      </c>
      <c r="F9" s="7771" t="s">
        <v>2280</v>
      </c>
      <c r="G9" s="7771" t="s">
        <v>28</v>
      </c>
      <c r="H9" s="7771" t="s">
        <v>28</v>
      </c>
      <c r="I9" s="7771" t="s">
        <v>822</v>
      </c>
    </row>
    <row customHeight="1" ht="11.25">
      <c r="A10" s="7771" t="s">
        <v>2266</v>
      </c>
      <c r="B10" s="7771" t="s">
        <v>16</v>
      </c>
      <c r="C10" s="7771" t="s">
        <v>2304</v>
      </c>
      <c r="D10" s="7771" t="s">
        <v>2305</v>
      </c>
      <c r="E10" s="7771" t="s">
        <v>2306</v>
      </c>
      <c r="F10" s="7771" t="s">
        <v>2295</v>
      </c>
      <c r="G10" s="7771" t="s">
        <v>2307</v>
      </c>
      <c r="H10" s="7771" t="s">
        <v>28</v>
      </c>
      <c r="I10" s="7771" t="s">
        <v>822</v>
      </c>
    </row>
    <row customHeight="1" ht="11.25">
      <c r="A11" s="7771" t="s">
        <v>2266</v>
      </c>
      <c r="B11" s="7771" t="s">
        <v>16</v>
      </c>
      <c r="C11" s="7771" t="s">
        <v>2308</v>
      </c>
      <c r="D11" s="7771" t="s">
        <v>2309</v>
      </c>
      <c r="E11" s="7771" t="s">
        <v>2310</v>
      </c>
      <c r="F11" s="7771" t="s">
        <v>2285</v>
      </c>
      <c r="G11" s="7771" t="s">
        <v>2311</v>
      </c>
      <c r="H11" s="7771" t="s">
        <v>28</v>
      </c>
      <c r="I11" s="7771" t="s">
        <v>822</v>
      </c>
    </row>
    <row customHeight="1" ht="11.25">
      <c r="A12" s="7771" t="s">
        <v>2266</v>
      </c>
      <c r="B12" s="7771" t="s">
        <v>16</v>
      </c>
      <c r="C12" s="7771" t="s">
        <v>2312</v>
      </c>
      <c r="D12" s="7771" t="s">
        <v>2313</v>
      </c>
      <c r="E12" s="7771" t="s">
        <v>2314</v>
      </c>
      <c r="F12" s="7771" t="s">
        <v>2315</v>
      </c>
      <c r="G12" s="7771" t="s">
        <v>2316</v>
      </c>
      <c r="H12" s="7771" t="s">
        <v>28</v>
      </c>
      <c r="I12" s="7771" t="s">
        <v>822</v>
      </c>
    </row>
    <row customHeight="1" ht="11.25">
      <c r="A13" s="7771" t="s">
        <v>2266</v>
      </c>
      <c r="B13" s="7771" t="s">
        <v>16</v>
      </c>
      <c r="C13" s="7771" t="s">
        <v>2317</v>
      </c>
      <c r="D13" s="7771" t="s">
        <v>2318</v>
      </c>
      <c r="E13" s="7771" t="s">
        <v>2319</v>
      </c>
      <c r="F13" s="7771" t="s">
        <v>2320</v>
      </c>
      <c r="G13" s="7771" t="s">
        <v>2321</v>
      </c>
      <c r="H13" s="7771" t="s">
        <v>28</v>
      </c>
      <c r="I13" s="7771" t="s">
        <v>822</v>
      </c>
    </row>
    <row customHeight="1" ht="11.25">
      <c r="A14" s="7771" t="s">
        <v>2266</v>
      </c>
      <c r="B14" s="7771" t="s">
        <v>16</v>
      </c>
      <c r="C14" s="7771" t="s">
        <v>2322</v>
      </c>
      <c r="D14" s="7771" t="s">
        <v>2323</v>
      </c>
      <c r="E14" s="7771" t="s">
        <v>2324</v>
      </c>
      <c r="F14" s="7771" t="s">
        <v>2325</v>
      </c>
      <c r="G14" s="7771" t="s">
        <v>2326</v>
      </c>
      <c r="H14" s="7771" t="s">
        <v>28</v>
      </c>
      <c r="I14" s="7771" t="s">
        <v>822</v>
      </c>
    </row>
    <row customHeight="1" ht="11.25">
      <c r="A15" s="7771" t="s">
        <v>2266</v>
      </c>
      <c r="B15" s="7771" t="s">
        <v>16</v>
      </c>
      <c r="C15" s="7771" t="s">
        <v>2327</v>
      </c>
      <c r="D15" s="7771" t="s">
        <v>2328</v>
      </c>
      <c r="E15" s="7771" t="s">
        <v>2329</v>
      </c>
      <c r="F15" s="7771" t="s">
        <v>2330</v>
      </c>
      <c r="G15" s="7771" t="s">
        <v>2331</v>
      </c>
      <c r="H15" s="7771" t="s">
        <v>28</v>
      </c>
      <c r="I15" s="7771" t="s">
        <v>822</v>
      </c>
    </row>
    <row customHeight="1" ht="11.25">
      <c r="A16" s="7771" t="s">
        <v>2266</v>
      </c>
      <c r="B16" s="7771" t="s">
        <v>16</v>
      </c>
      <c r="C16" s="7771" t="s">
        <v>2332</v>
      </c>
      <c r="D16" s="7771" t="s">
        <v>2333</v>
      </c>
      <c r="E16" s="7771" t="s">
        <v>2334</v>
      </c>
      <c r="F16" s="7771" t="s">
        <v>2335</v>
      </c>
      <c r="G16" s="7771" t="s">
        <v>28</v>
      </c>
      <c r="H16" s="7771" t="s">
        <v>28</v>
      </c>
      <c r="I16" s="7771" t="s">
        <v>822</v>
      </c>
    </row>
    <row customHeight="1" ht="11.25">
      <c r="A17" s="7771" t="s">
        <v>2266</v>
      </c>
      <c r="B17" s="7771" t="s">
        <v>16</v>
      </c>
      <c r="C17" s="7771" t="s">
        <v>2336</v>
      </c>
      <c r="D17" s="7771" t="s">
        <v>2337</v>
      </c>
      <c r="E17" s="7771" t="s">
        <v>2338</v>
      </c>
      <c r="F17" s="7771" t="s">
        <v>2280</v>
      </c>
      <c r="G17" s="7771" t="s">
        <v>28</v>
      </c>
      <c r="H17" s="7771" t="s">
        <v>28</v>
      </c>
      <c r="I17" s="7771" t="s">
        <v>822</v>
      </c>
    </row>
    <row customHeight="1" ht="11.25">
      <c r="A18" s="7771" t="s">
        <v>2266</v>
      </c>
      <c r="B18" s="7771" t="s">
        <v>16</v>
      </c>
      <c r="C18" s="7771" t="s">
        <v>2339</v>
      </c>
      <c r="D18" s="7771" t="s">
        <v>2340</v>
      </c>
      <c r="E18" s="7771" t="s">
        <v>2341</v>
      </c>
      <c r="F18" s="7771" t="s">
        <v>2342</v>
      </c>
      <c r="G18" s="7771" t="s">
        <v>2343</v>
      </c>
      <c r="H18" s="7771" t="s">
        <v>28</v>
      </c>
      <c r="I18" s="7771" t="s">
        <v>822</v>
      </c>
    </row>
    <row customHeight="1" ht="11.25">
      <c r="A19" s="7771" t="s">
        <v>2266</v>
      </c>
      <c r="B19" s="7771" t="s">
        <v>16</v>
      </c>
      <c r="C19" s="7771" t="s">
        <v>2344</v>
      </c>
      <c r="D19" s="7771" t="s">
        <v>2345</v>
      </c>
      <c r="E19" s="7771" t="s">
        <v>2346</v>
      </c>
      <c r="F19" s="7771" t="s">
        <v>2347</v>
      </c>
      <c r="G19" s="7771" t="s">
        <v>2348</v>
      </c>
      <c r="H19" s="7771" t="s">
        <v>28</v>
      </c>
      <c r="I19" s="7771" t="s">
        <v>822</v>
      </c>
    </row>
    <row customHeight="1" ht="11.25">
      <c r="A20" s="7771" t="s">
        <v>2266</v>
      </c>
      <c r="B20" s="7771" t="s">
        <v>16</v>
      </c>
      <c r="C20" s="7771" t="s">
        <v>2349</v>
      </c>
      <c r="D20" s="7771" t="s">
        <v>2350</v>
      </c>
      <c r="E20" s="7771" t="s">
        <v>2351</v>
      </c>
      <c r="F20" s="7771" t="s">
        <v>2352</v>
      </c>
      <c r="G20" s="7771" t="s">
        <v>28</v>
      </c>
      <c r="H20" s="7771" t="s">
        <v>28</v>
      </c>
      <c r="I20" s="7771" t="s">
        <v>822</v>
      </c>
    </row>
    <row customHeight="1" ht="11.25">
      <c r="A21" s="7771" t="s">
        <v>2266</v>
      </c>
      <c r="B21" s="7771" t="s">
        <v>16</v>
      </c>
      <c r="C21" s="7771" t="s">
        <v>2353</v>
      </c>
      <c r="D21" s="7771" t="s">
        <v>2354</v>
      </c>
      <c r="E21" s="7771" t="s">
        <v>2355</v>
      </c>
      <c r="F21" s="7771" t="s">
        <v>2356</v>
      </c>
      <c r="G21" s="7771" t="s">
        <v>28</v>
      </c>
      <c r="H21" s="7771" t="s">
        <v>28</v>
      </c>
      <c r="I21" s="7771" t="s">
        <v>822</v>
      </c>
    </row>
    <row customHeight="1" ht="11.25">
      <c r="A22" s="7771" t="s">
        <v>2266</v>
      </c>
      <c r="B22" s="7771" t="s">
        <v>16</v>
      </c>
      <c r="C22" s="7771" t="s">
        <v>2357</v>
      </c>
      <c r="D22" s="7771" t="s">
        <v>2358</v>
      </c>
      <c r="E22" s="7771" t="s">
        <v>2359</v>
      </c>
      <c r="F22" s="7771" t="s">
        <v>2360</v>
      </c>
      <c r="G22" s="7771" t="s">
        <v>28</v>
      </c>
      <c r="H22" s="7771" t="s">
        <v>28</v>
      </c>
      <c r="I22" s="7771" t="s">
        <v>822</v>
      </c>
    </row>
    <row customHeight="1" ht="11.25">
      <c r="A23" s="7771" t="s">
        <v>2266</v>
      </c>
      <c r="B23" s="7771" t="s">
        <v>16</v>
      </c>
      <c r="C23" s="7771" t="s">
        <v>2361</v>
      </c>
      <c r="D23" s="7771" t="s">
        <v>2362</v>
      </c>
      <c r="E23" s="7771" t="s">
        <v>2363</v>
      </c>
      <c r="F23" s="7771" t="s">
        <v>2356</v>
      </c>
      <c r="G23" s="7771" t="s">
        <v>2364</v>
      </c>
      <c r="H23" s="7771" t="s">
        <v>28</v>
      </c>
      <c r="I23" s="7771" t="s">
        <v>822</v>
      </c>
    </row>
    <row customHeight="1" ht="11.25">
      <c r="A24" s="7771" t="s">
        <v>2266</v>
      </c>
      <c r="B24" s="7771" t="s">
        <v>16</v>
      </c>
      <c r="C24" s="7771" t="s">
        <v>2365</v>
      </c>
      <c r="D24" s="7771" t="s">
        <v>2366</v>
      </c>
      <c r="E24" s="7771" t="s">
        <v>2367</v>
      </c>
      <c r="F24" s="7771" t="s">
        <v>2368</v>
      </c>
      <c r="G24" s="7771" t="s">
        <v>28</v>
      </c>
      <c r="H24" s="7771" t="s">
        <v>28</v>
      </c>
      <c r="I24" s="7771" t="s">
        <v>822</v>
      </c>
    </row>
    <row customHeight="1" ht="11.25">
      <c r="A25" s="7771" t="s">
        <v>2266</v>
      </c>
      <c r="B25" s="7771" t="s">
        <v>16</v>
      </c>
      <c r="C25" s="7771" t="s">
        <v>2369</v>
      </c>
      <c r="D25" s="7771" t="s">
        <v>2370</v>
      </c>
      <c r="E25" s="7771" t="s">
        <v>2371</v>
      </c>
      <c r="F25" s="7771" t="s">
        <v>2372</v>
      </c>
      <c r="G25" s="7771" t="s">
        <v>2373</v>
      </c>
      <c r="H25" s="7771" t="s">
        <v>28</v>
      </c>
      <c r="I25" s="7771" t="s">
        <v>822</v>
      </c>
    </row>
    <row customHeight="1" ht="11.25">
      <c r="A26" s="7771" t="s">
        <v>2266</v>
      </c>
      <c r="B26" s="7771" t="s">
        <v>16</v>
      </c>
      <c r="C26" s="7771" t="s">
        <v>2374</v>
      </c>
      <c r="D26" s="7771" t="s">
        <v>2375</v>
      </c>
      <c r="E26" s="7771" t="s">
        <v>2376</v>
      </c>
      <c r="F26" s="7771" t="s">
        <v>2377</v>
      </c>
      <c r="G26" s="7771" t="s">
        <v>2378</v>
      </c>
      <c r="H26" s="7771" t="s">
        <v>28</v>
      </c>
      <c r="I26" s="7771" t="s">
        <v>822</v>
      </c>
    </row>
    <row customHeight="1" ht="11.25">
      <c r="A27" s="7771" t="s">
        <v>2266</v>
      </c>
      <c r="B27" s="7771" t="s">
        <v>16</v>
      </c>
      <c r="C27" s="7771" t="s">
        <v>2379</v>
      </c>
      <c r="D27" s="7771" t="s">
        <v>2380</v>
      </c>
      <c r="E27" s="7771" t="s">
        <v>2381</v>
      </c>
      <c r="F27" s="7771" t="s">
        <v>2347</v>
      </c>
      <c r="G27" s="7771" t="s">
        <v>28</v>
      </c>
      <c r="H27" s="7771" t="s">
        <v>28</v>
      </c>
      <c r="I27" s="7771" t="s">
        <v>822</v>
      </c>
    </row>
    <row customHeight="1" ht="11.25">
      <c r="A28" s="7771" t="s">
        <v>2266</v>
      </c>
      <c r="B28" s="7771" t="s">
        <v>16</v>
      </c>
      <c r="C28" s="7771" t="s">
        <v>2382</v>
      </c>
      <c r="D28" s="7771" t="s">
        <v>2383</v>
      </c>
      <c r="E28" s="7771" t="s">
        <v>2384</v>
      </c>
      <c r="F28" s="7771" t="s">
        <v>2385</v>
      </c>
      <c r="G28" s="7771" t="s">
        <v>2386</v>
      </c>
      <c r="H28" s="7771" t="s">
        <v>28</v>
      </c>
      <c r="I28" s="7771" t="s">
        <v>822</v>
      </c>
    </row>
    <row customHeight="1" ht="11.25">
      <c r="A29" s="7771" t="s">
        <v>2266</v>
      </c>
      <c r="B29" s="7771" t="s">
        <v>16</v>
      </c>
      <c r="C29" s="7771" t="s">
        <v>2387</v>
      </c>
      <c r="D29" s="7771" t="s">
        <v>2388</v>
      </c>
      <c r="E29" s="7771" t="s">
        <v>2389</v>
      </c>
      <c r="F29" s="7771" t="s">
        <v>2390</v>
      </c>
      <c r="G29" s="7771" t="s">
        <v>2391</v>
      </c>
      <c r="H29" s="7771" t="s">
        <v>28</v>
      </c>
      <c r="I29" s="7771" t="s">
        <v>822</v>
      </c>
    </row>
    <row customHeight="1" ht="11.25">
      <c r="A30" s="7771" t="s">
        <v>2266</v>
      </c>
      <c r="B30" s="7771" t="s">
        <v>16</v>
      </c>
      <c r="C30" s="7771" t="s">
        <v>2392</v>
      </c>
      <c r="D30" s="7771" t="s">
        <v>2393</v>
      </c>
      <c r="E30" s="7771" t="s">
        <v>2394</v>
      </c>
      <c r="F30" s="7771" t="s">
        <v>2280</v>
      </c>
      <c r="G30" s="7771" t="s">
        <v>2395</v>
      </c>
      <c r="H30" s="7771" t="s">
        <v>28</v>
      </c>
      <c r="I30" s="7771" t="s">
        <v>822</v>
      </c>
    </row>
    <row customHeight="1" ht="11.25">
      <c r="A31" s="7771" t="s">
        <v>2266</v>
      </c>
      <c r="B31" s="7771" t="s">
        <v>16</v>
      </c>
      <c r="C31" s="7771" t="s">
        <v>2396</v>
      </c>
      <c r="D31" s="7771" t="s">
        <v>2397</v>
      </c>
      <c r="E31" s="7771" t="s">
        <v>2398</v>
      </c>
      <c r="F31" s="7771" t="s">
        <v>2399</v>
      </c>
      <c r="G31" s="7771" t="s">
        <v>2400</v>
      </c>
      <c r="H31" s="7771" t="s">
        <v>28</v>
      </c>
      <c r="I31" s="7771" t="s">
        <v>822</v>
      </c>
    </row>
    <row customHeight="1" ht="11.25">
      <c r="A32" s="7771" t="s">
        <v>2266</v>
      </c>
      <c r="B32" s="7771" t="s">
        <v>16</v>
      </c>
      <c r="C32" s="7771" t="s">
        <v>2401</v>
      </c>
      <c r="D32" s="7771" t="s">
        <v>2402</v>
      </c>
      <c r="E32" s="7771" t="s">
        <v>2403</v>
      </c>
      <c r="F32" s="7771" t="s">
        <v>2377</v>
      </c>
      <c r="G32" s="7771" t="s">
        <v>2404</v>
      </c>
      <c r="H32" s="7771" t="s">
        <v>28</v>
      </c>
      <c r="I32" s="7771" t="s">
        <v>822</v>
      </c>
    </row>
    <row customHeight="1" ht="11.25">
      <c r="A33" s="7771" t="s">
        <v>2266</v>
      </c>
      <c r="B33" s="7771" t="s">
        <v>16</v>
      </c>
      <c r="C33" s="7771" t="s">
        <v>2405</v>
      </c>
      <c r="D33" s="7771" t="s">
        <v>2406</v>
      </c>
      <c r="E33" s="7771" t="s">
        <v>2407</v>
      </c>
      <c r="F33" s="7771" t="s">
        <v>2372</v>
      </c>
      <c r="G33" s="7771" t="s">
        <v>2408</v>
      </c>
      <c r="H33" s="7771" t="s">
        <v>28</v>
      </c>
      <c r="I33" s="7771" t="s">
        <v>822</v>
      </c>
    </row>
    <row customHeight="1" ht="11.25">
      <c r="A34" s="7771" t="s">
        <v>2266</v>
      </c>
      <c r="B34" s="7771" t="s">
        <v>16</v>
      </c>
      <c r="C34" s="7771" t="s">
        <v>2409</v>
      </c>
      <c r="D34" s="7771" t="s">
        <v>2410</v>
      </c>
      <c r="E34" s="7771" t="s">
        <v>2411</v>
      </c>
      <c r="F34" s="7771" t="s">
        <v>2412</v>
      </c>
      <c r="G34" s="7771" t="s">
        <v>2413</v>
      </c>
      <c r="H34" s="7771" t="s">
        <v>28</v>
      </c>
      <c r="I34" s="7771" t="s">
        <v>822</v>
      </c>
    </row>
    <row customHeight="1" ht="11.25">
      <c r="A35" s="7771" t="s">
        <v>2266</v>
      </c>
      <c r="B35" s="7771" t="s">
        <v>16</v>
      </c>
      <c r="C35" s="7771" t="s">
        <v>2414</v>
      </c>
      <c r="D35" s="7771" t="s">
        <v>2415</v>
      </c>
      <c r="E35" s="7771" t="s">
        <v>2416</v>
      </c>
      <c r="F35" s="7771" t="s">
        <v>2285</v>
      </c>
      <c r="G35" s="7771" t="s">
        <v>2417</v>
      </c>
      <c r="H35" s="7771" t="s">
        <v>28</v>
      </c>
      <c r="I35" s="7771" t="s">
        <v>822</v>
      </c>
    </row>
    <row customHeight="1" ht="11.25">
      <c r="A36" s="7771" t="s">
        <v>2266</v>
      </c>
      <c r="B36" s="7771" t="s">
        <v>16</v>
      </c>
      <c r="C36" s="7771" t="s">
        <v>2418</v>
      </c>
      <c r="D36" s="7771" t="s">
        <v>2419</v>
      </c>
      <c r="E36" s="7771" t="s">
        <v>2420</v>
      </c>
      <c r="F36" s="7771" t="s">
        <v>2377</v>
      </c>
      <c r="G36" s="7771" t="s">
        <v>2421</v>
      </c>
      <c r="H36" s="7771" t="s">
        <v>28</v>
      </c>
      <c r="I36" s="7771" t="s">
        <v>822</v>
      </c>
    </row>
    <row customHeight="1" ht="11.25">
      <c r="A37" s="7771" t="s">
        <v>2266</v>
      </c>
      <c r="B37" s="7771" t="s">
        <v>16</v>
      </c>
      <c r="C37" s="7771" t="s">
        <v>2422</v>
      </c>
      <c r="D37" s="7771" t="s">
        <v>2423</v>
      </c>
      <c r="E37" s="7771" t="s">
        <v>2424</v>
      </c>
      <c r="F37" s="7771" t="s">
        <v>2425</v>
      </c>
      <c r="G37" s="7771" t="s">
        <v>2426</v>
      </c>
      <c r="H37" s="7771" t="s">
        <v>28</v>
      </c>
      <c r="I37" s="7771" t="s">
        <v>822</v>
      </c>
    </row>
    <row customHeight="1" ht="11.25">
      <c r="A38" s="7771" t="s">
        <v>2266</v>
      </c>
      <c r="B38" s="7771" t="s">
        <v>16</v>
      </c>
      <c r="C38" s="7771" t="s">
        <v>2427</v>
      </c>
      <c r="D38" s="7771" t="s">
        <v>2428</v>
      </c>
      <c r="E38" s="7771" t="s">
        <v>2429</v>
      </c>
      <c r="F38" s="7771" t="s">
        <v>2430</v>
      </c>
      <c r="G38" s="7771" t="s">
        <v>28</v>
      </c>
      <c r="H38" s="7771" t="s">
        <v>28</v>
      </c>
      <c r="I38" s="7771" t="s">
        <v>822</v>
      </c>
    </row>
    <row customHeight="1" ht="11.25">
      <c r="A39" s="7771" t="s">
        <v>2266</v>
      </c>
      <c r="B39" s="7771" t="s">
        <v>16</v>
      </c>
      <c r="C39" s="7771" t="s">
        <v>2431</v>
      </c>
      <c r="D39" s="7771" t="s">
        <v>2432</v>
      </c>
      <c r="E39" s="7771" t="s">
        <v>2433</v>
      </c>
      <c r="F39" s="7771" t="s">
        <v>2434</v>
      </c>
      <c r="G39" s="7771" t="s">
        <v>28</v>
      </c>
      <c r="H39" s="7771" t="s">
        <v>28</v>
      </c>
      <c r="I39" s="7771" t="s">
        <v>822</v>
      </c>
    </row>
    <row customHeight="1" ht="11.25">
      <c r="A40" s="7771" t="s">
        <v>2266</v>
      </c>
      <c r="B40" s="7771" t="s">
        <v>16</v>
      </c>
      <c r="C40" s="7771" t="s">
        <v>2435</v>
      </c>
      <c r="D40" s="7771" t="s">
        <v>2436</v>
      </c>
      <c r="E40" s="7771" t="s">
        <v>2437</v>
      </c>
      <c r="F40" s="7771" t="s">
        <v>2285</v>
      </c>
      <c r="G40" s="7771" t="s">
        <v>28</v>
      </c>
      <c r="H40" s="7771" t="s">
        <v>28</v>
      </c>
      <c r="I40" s="7771" t="s">
        <v>822</v>
      </c>
    </row>
    <row customHeight="1" ht="11.25">
      <c r="A41" s="7771" t="s">
        <v>2266</v>
      </c>
      <c r="B41" s="7771" t="s">
        <v>16</v>
      </c>
      <c r="C41" s="7771" t="s">
        <v>2438</v>
      </c>
      <c r="D41" s="7771" t="s">
        <v>2439</v>
      </c>
      <c r="E41" s="7771" t="s">
        <v>2440</v>
      </c>
      <c r="F41" s="7771" t="s">
        <v>2441</v>
      </c>
      <c r="G41" s="7771" t="s">
        <v>2442</v>
      </c>
      <c r="H41" s="7771" t="s">
        <v>28</v>
      </c>
      <c r="I41" s="7771" t="s">
        <v>822</v>
      </c>
    </row>
    <row customHeight="1" ht="11.25">
      <c r="A42" s="7771" t="s">
        <v>2266</v>
      </c>
      <c r="B42" s="7771" t="s">
        <v>16</v>
      </c>
      <c r="C42" s="7771" t="s">
        <v>2443</v>
      </c>
      <c r="D42" s="7771" t="s">
        <v>2444</v>
      </c>
      <c r="E42" s="7771" t="s">
        <v>2445</v>
      </c>
      <c r="F42" s="7771" t="s">
        <v>2446</v>
      </c>
      <c r="G42" s="7771" t="s">
        <v>2447</v>
      </c>
      <c r="H42" s="7771" t="s">
        <v>28</v>
      </c>
      <c r="I42" s="7771" t="s">
        <v>822</v>
      </c>
    </row>
    <row customHeight="1" ht="11.25">
      <c r="A43" s="7771" t="s">
        <v>2266</v>
      </c>
      <c r="B43" s="7771" t="s">
        <v>16</v>
      </c>
      <c r="C43" s="7771" t="s">
        <v>2448</v>
      </c>
      <c r="D43" s="7771" t="s">
        <v>2449</v>
      </c>
      <c r="E43" s="7771" t="s">
        <v>2450</v>
      </c>
      <c r="F43" s="7771" t="s">
        <v>2451</v>
      </c>
      <c r="G43" s="7771" t="s">
        <v>2452</v>
      </c>
      <c r="H43" s="7771" t="s">
        <v>28</v>
      </c>
      <c r="I43" s="7771" t="s">
        <v>822</v>
      </c>
    </row>
    <row customHeight="1" ht="11.25">
      <c r="A44" s="7771" t="s">
        <v>2266</v>
      </c>
      <c r="B44" s="7771" t="s">
        <v>16</v>
      </c>
      <c r="C44" s="7771" t="s">
        <v>2453</v>
      </c>
      <c r="D44" s="7771" t="s">
        <v>2454</v>
      </c>
      <c r="E44" s="7771" t="s">
        <v>2455</v>
      </c>
      <c r="F44" s="7771" t="s">
        <v>2430</v>
      </c>
      <c r="G44" s="7771" t="s">
        <v>28</v>
      </c>
      <c r="H44" s="7771" t="s">
        <v>28</v>
      </c>
      <c r="I44" s="7771" t="s">
        <v>822</v>
      </c>
    </row>
    <row customHeight="1" ht="11.25">
      <c r="A45" s="7771" t="s">
        <v>2266</v>
      </c>
      <c r="B45" s="7771" t="s">
        <v>16</v>
      </c>
      <c r="C45" s="7771" t="s">
        <v>2456</v>
      </c>
      <c r="D45" s="7771" t="s">
        <v>2457</v>
      </c>
      <c r="E45" s="7771" t="s">
        <v>2458</v>
      </c>
      <c r="F45" s="7771" t="s">
        <v>2446</v>
      </c>
      <c r="G45" s="7771" t="s">
        <v>2459</v>
      </c>
      <c r="H45" s="7771" t="s">
        <v>28</v>
      </c>
      <c r="I45" s="7771" t="s">
        <v>822</v>
      </c>
    </row>
    <row customHeight="1" ht="11.25">
      <c r="A46" s="7771" t="s">
        <v>2266</v>
      </c>
      <c r="B46" s="7771" t="s">
        <v>16</v>
      </c>
      <c r="C46" s="7771" t="s">
        <v>2460</v>
      </c>
      <c r="D46" s="7771" t="s">
        <v>2461</v>
      </c>
      <c r="E46" s="7771" t="s">
        <v>2462</v>
      </c>
      <c r="F46" s="7771" t="s">
        <v>2463</v>
      </c>
      <c r="G46" s="7771" t="s">
        <v>2464</v>
      </c>
      <c r="H46" s="7771" t="s">
        <v>28</v>
      </c>
      <c r="I46" s="7771" t="s">
        <v>822</v>
      </c>
    </row>
    <row customHeight="1" ht="11.25">
      <c r="A47" s="7771" t="s">
        <v>2266</v>
      </c>
      <c r="B47" s="7771" t="s">
        <v>16</v>
      </c>
      <c r="C47" s="7771" t="s">
        <v>2465</v>
      </c>
      <c r="D47" s="7771" t="s">
        <v>2466</v>
      </c>
      <c r="E47" s="7771" t="s">
        <v>2467</v>
      </c>
      <c r="F47" s="7771" t="s">
        <v>2468</v>
      </c>
      <c r="G47" s="7771" t="s">
        <v>2469</v>
      </c>
      <c r="H47" s="7771" t="s">
        <v>28</v>
      </c>
      <c r="I47" s="7771" t="s">
        <v>822</v>
      </c>
    </row>
    <row customHeight="1" ht="11.25">
      <c r="A48" s="7771" t="s">
        <v>2266</v>
      </c>
      <c r="B48" s="7771" t="s">
        <v>16</v>
      </c>
      <c r="C48" s="7771" t="s">
        <v>2470</v>
      </c>
      <c r="D48" s="7771" t="s">
        <v>2471</v>
      </c>
      <c r="E48" s="7771" t="s">
        <v>2472</v>
      </c>
      <c r="F48" s="7771" t="s">
        <v>2473</v>
      </c>
      <c r="G48" s="7771" t="s">
        <v>2474</v>
      </c>
      <c r="H48" s="7771" t="s">
        <v>28</v>
      </c>
      <c r="I48" s="7771" t="s">
        <v>822</v>
      </c>
    </row>
    <row customHeight="1" ht="11.25">
      <c r="A49" s="7771" t="s">
        <v>2266</v>
      </c>
      <c r="B49" s="7771" t="s">
        <v>16</v>
      </c>
      <c r="C49" s="7771" t="s">
        <v>2475</v>
      </c>
      <c r="D49" s="7771" t="s">
        <v>2476</v>
      </c>
      <c r="E49" s="7771" t="s">
        <v>2477</v>
      </c>
      <c r="F49" s="7771" t="s">
        <v>2478</v>
      </c>
      <c r="G49" s="7771" t="s">
        <v>28</v>
      </c>
      <c r="H49" s="7771" t="s">
        <v>28</v>
      </c>
      <c r="I49" s="7771" t="s">
        <v>822</v>
      </c>
    </row>
    <row customHeight="1" ht="11.25">
      <c r="A50" s="7771" t="s">
        <v>2266</v>
      </c>
      <c r="B50" s="7771" t="s">
        <v>16</v>
      </c>
      <c r="C50" s="7771" t="s">
        <v>2479</v>
      </c>
      <c r="D50" s="7771" t="s">
        <v>2480</v>
      </c>
      <c r="E50" s="7771" t="s">
        <v>2481</v>
      </c>
      <c r="F50" s="7771" t="s">
        <v>2451</v>
      </c>
      <c r="G50" s="7771" t="s">
        <v>2482</v>
      </c>
      <c r="H50" s="7771" t="s">
        <v>28</v>
      </c>
      <c r="I50" s="7771" t="s">
        <v>822</v>
      </c>
    </row>
    <row customHeight="1" ht="11.25">
      <c r="A51" s="7771" t="s">
        <v>2266</v>
      </c>
      <c r="B51" s="7771" t="s">
        <v>16</v>
      </c>
      <c r="C51" s="7771" t="s">
        <v>2483</v>
      </c>
      <c r="D51" s="7771" t="s">
        <v>2484</v>
      </c>
      <c r="E51" s="7771" t="s">
        <v>2485</v>
      </c>
      <c r="F51" s="7771" t="s">
        <v>2486</v>
      </c>
      <c r="G51" s="7771" t="s">
        <v>2487</v>
      </c>
      <c r="H51" s="7771" t="s">
        <v>28</v>
      </c>
      <c r="I51" s="7771" t="s">
        <v>822</v>
      </c>
    </row>
    <row customHeight="1" ht="11.25">
      <c r="A52" s="7771" t="s">
        <v>2266</v>
      </c>
      <c r="B52" s="7771" t="s">
        <v>16</v>
      </c>
      <c r="C52" s="7771" t="s">
        <v>2488</v>
      </c>
      <c r="D52" s="7771" t="s">
        <v>2489</v>
      </c>
      <c r="E52" s="7771" t="s">
        <v>2490</v>
      </c>
      <c r="F52" s="7771" t="s">
        <v>2463</v>
      </c>
      <c r="G52" s="7771" t="s">
        <v>2491</v>
      </c>
      <c r="H52" s="7771" t="s">
        <v>28</v>
      </c>
      <c r="I52" s="7771" t="s">
        <v>822</v>
      </c>
    </row>
    <row customHeight="1" ht="11.25">
      <c r="A53" s="7771" t="s">
        <v>2266</v>
      </c>
      <c r="B53" s="7771" t="s">
        <v>16</v>
      </c>
      <c r="C53" s="7771" t="s">
        <v>2492</v>
      </c>
      <c r="D53" s="7771" t="s">
        <v>2493</v>
      </c>
      <c r="E53" s="7771" t="s">
        <v>2494</v>
      </c>
      <c r="F53" s="7771" t="s">
        <v>2495</v>
      </c>
      <c r="G53" s="7771" t="s">
        <v>28</v>
      </c>
      <c r="H53" s="7771" t="s">
        <v>28</v>
      </c>
      <c r="I53" s="7771" t="s">
        <v>822</v>
      </c>
    </row>
    <row customHeight="1" ht="11.25">
      <c r="A54" s="7771" t="s">
        <v>2266</v>
      </c>
      <c r="B54" s="7771" t="s">
        <v>16</v>
      </c>
      <c r="C54" s="7771" t="s">
        <v>2496</v>
      </c>
      <c r="D54" s="7771" t="s">
        <v>2497</v>
      </c>
      <c r="E54" s="7771" t="s">
        <v>2498</v>
      </c>
      <c r="F54" s="7771" t="s">
        <v>2499</v>
      </c>
      <c r="G54" s="7771" t="s">
        <v>28</v>
      </c>
      <c r="H54" s="7771" t="s">
        <v>28</v>
      </c>
      <c r="I54" s="7771" t="s">
        <v>822</v>
      </c>
    </row>
    <row customHeight="1" ht="11.25">
      <c r="A55" s="7771" t="s">
        <v>2266</v>
      </c>
      <c r="B55" s="7771" t="s">
        <v>16</v>
      </c>
      <c r="C55" s="7771" t="s">
        <v>2500</v>
      </c>
      <c r="D55" s="7771" t="s">
        <v>2501</v>
      </c>
      <c r="E55" s="7771" t="s">
        <v>2502</v>
      </c>
      <c r="F55" s="7771" t="s">
        <v>2503</v>
      </c>
      <c r="G55" s="7771" t="s">
        <v>2504</v>
      </c>
      <c r="H55" s="7771" t="s">
        <v>28</v>
      </c>
      <c r="I55" s="7771" t="s">
        <v>822</v>
      </c>
    </row>
    <row customHeight="1" ht="11.25">
      <c r="A56" s="7771" t="s">
        <v>2266</v>
      </c>
      <c r="B56" s="7771" t="s">
        <v>16</v>
      </c>
      <c r="C56" s="7771" t="s">
        <v>2505</v>
      </c>
      <c r="D56" s="7771" t="s">
        <v>2506</v>
      </c>
      <c r="E56" s="7771" t="s">
        <v>2507</v>
      </c>
      <c r="F56" s="7771" t="s">
        <v>2300</v>
      </c>
      <c r="G56" s="7771" t="s">
        <v>2508</v>
      </c>
      <c r="H56" s="7771" t="s">
        <v>28</v>
      </c>
      <c r="I56" s="7771" t="s">
        <v>822</v>
      </c>
    </row>
    <row customHeight="1" ht="11.25">
      <c r="A57" s="7771" t="s">
        <v>2266</v>
      </c>
      <c r="B57" s="7771" t="s">
        <v>16</v>
      </c>
      <c r="C57" s="7771" t="s">
        <v>2509</v>
      </c>
      <c r="D57" s="7771" t="s">
        <v>2510</v>
      </c>
      <c r="E57" s="7771" t="s">
        <v>2511</v>
      </c>
      <c r="F57" s="7771" t="s">
        <v>2468</v>
      </c>
      <c r="G57" s="7771" t="s">
        <v>2512</v>
      </c>
      <c r="H57" s="7771" t="s">
        <v>28</v>
      </c>
      <c r="I57" s="7771" t="s">
        <v>822</v>
      </c>
    </row>
    <row customHeight="1" ht="11.25">
      <c r="A58" s="7771" t="s">
        <v>2266</v>
      </c>
      <c r="B58" s="7771" t="s">
        <v>16</v>
      </c>
      <c r="C58" s="7771" t="s">
        <v>2513</v>
      </c>
      <c r="D58" s="7771" t="s">
        <v>2514</v>
      </c>
      <c r="E58" s="7771" t="s">
        <v>2269</v>
      </c>
      <c r="F58" s="7771" t="s">
        <v>2446</v>
      </c>
      <c r="G58" s="7771" t="s">
        <v>2271</v>
      </c>
      <c r="H58" s="7771" t="s">
        <v>28</v>
      </c>
      <c r="I58" s="7771" t="s">
        <v>822</v>
      </c>
    </row>
    <row customHeight="1" ht="11.25">
      <c r="A59" s="7771" t="s">
        <v>2266</v>
      </c>
      <c r="B59" s="7771" t="s">
        <v>16</v>
      </c>
      <c r="C59" s="7771" t="s">
        <v>2515</v>
      </c>
      <c r="D59" s="7771" t="s">
        <v>2516</v>
      </c>
      <c r="E59" s="7771" t="s">
        <v>2517</v>
      </c>
      <c r="F59" s="7771" t="s">
        <v>2518</v>
      </c>
      <c r="G59" s="7771" t="s">
        <v>2519</v>
      </c>
      <c r="H59" s="7771" t="s">
        <v>28</v>
      </c>
      <c r="I59" s="7771" t="s">
        <v>822</v>
      </c>
    </row>
    <row customHeight="1" ht="11.25">
      <c r="A60" s="7771" t="s">
        <v>2266</v>
      </c>
      <c r="B60" s="7771" t="s">
        <v>16</v>
      </c>
      <c r="C60" s="7771" t="s">
        <v>2520</v>
      </c>
      <c r="D60" s="7771" t="s">
        <v>2521</v>
      </c>
      <c r="E60" s="7771" t="s">
        <v>2522</v>
      </c>
      <c r="F60" s="7771" t="s">
        <v>2463</v>
      </c>
      <c r="G60" s="7771" t="s">
        <v>2523</v>
      </c>
      <c r="H60" s="7771" t="s">
        <v>28</v>
      </c>
      <c r="I60" s="7771" t="s">
        <v>822</v>
      </c>
    </row>
    <row customHeight="1" ht="11.25">
      <c r="A61" s="7771" t="s">
        <v>2266</v>
      </c>
      <c r="B61" s="7771" t="s">
        <v>16</v>
      </c>
      <c r="C61" s="7771" t="s">
        <v>2524</v>
      </c>
      <c r="D61" s="7771" t="s">
        <v>2525</v>
      </c>
      <c r="E61" s="7771" t="s">
        <v>2526</v>
      </c>
      <c r="F61" s="7771" t="s">
        <v>2285</v>
      </c>
      <c r="G61" s="7771" t="s">
        <v>2527</v>
      </c>
      <c r="H61" s="7771" t="s">
        <v>28</v>
      </c>
      <c r="I61" s="7771" t="s">
        <v>822</v>
      </c>
    </row>
    <row customHeight="1" ht="11.25">
      <c r="A62" s="7771" t="s">
        <v>2266</v>
      </c>
      <c r="B62" s="7771" t="s">
        <v>16</v>
      </c>
      <c r="C62" s="7771" t="s">
        <v>2528</v>
      </c>
      <c r="D62" s="7771" t="s">
        <v>2529</v>
      </c>
      <c r="E62" s="7771" t="s">
        <v>2530</v>
      </c>
      <c r="F62" s="7771" t="s">
        <v>2463</v>
      </c>
      <c r="G62" s="7771" t="s">
        <v>2531</v>
      </c>
      <c r="H62" s="7771" t="s">
        <v>28</v>
      </c>
      <c r="I62" s="7771" t="s">
        <v>822</v>
      </c>
    </row>
    <row customHeight="1" ht="11.25">
      <c r="A63" s="7771" t="s">
        <v>2266</v>
      </c>
      <c r="B63" s="7771" t="s">
        <v>16</v>
      </c>
      <c r="C63" s="7771" t="s">
        <v>2532</v>
      </c>
      <c r="D63" s="7771" t="s">
        <v>2533</v>
      </c>
      <c r="E63" s="7771" t="s">
        <v>2534</v>
      </c>
      <c r="F63" s="7771" t="s">
        <v>2377</v>
      </c>
      <c r="G63" s="7771" t="s">
        <v>28</v>
      </c>
      <c r="H63" s="7771" t="s">
        <v>28</v>
      </c>
      <c r="I63" s="7771" t="s">
        <v>822</v>
      </c>
    </row>
    <row customHeight="1" ht="11.25">
      <c r="A64" s="7771" t="s">
        <v>2266</v>
      </c>
      <c r="B64" s="7771" t="s">
        <v>16</v>
      </c>
      <c r="C64" s="7771" t="s">
        <v>2535</v>
      </c>
      <c r="D64" s="7771" t="s">
        <v>2536</v>
      </c>
      <c r="E64" s="7771" t="s">
        <v>2537</v>
      </c>
      <c r="F64" s="7771" t="s">
        <v>2538</v>
      </c>
      <c r="G64" s="7771" t="s">
        <v>2539</v>
      </c>
      <c r="H64" s="7771" t="s">
        <v>28</v>
      </c>
      <c r="I64" s="7771" t="s">
        <v>822</v>
      </c>
    </row>
    <row customHeight="1" ht="11.25">
      <c r="A65" s="7771" t="s">
        <v>2266</v>
      </c>
      <c r="B65" s="7771" t="s">
        <v>16</v>
      </c>
      <c r="C65" s="7771" t="s">
        <v>2540</v>
      </c>
      <c r="D65" s="7771" t="s">
        <v>2541</v>
      </c>
      <c r="E65" s="7771" t="s">
        <v>2542</v>
      </c>
      <c r="F65" s="7771" t="s">
        <v>2441</v>
      </c>
      <c r="G65" s="7771" t="s">
        <v>2543</v>
      </c>
      <c r="H65" s="7771" t="s">
        <v>28</v>
      </c>
      <c r="I65" s="7771" t="s">
        <v>822</v>
      </c>
    </row>
    <row customHeight="1" ht="11.25">
      <c r="A66" s="7771" t="s">
        <v>2266</v>
      </c>
      <c r="B66" s="7771" t="s">
        <v>16</v>
      </c>
      <c r="C66" s="7771" t="s">
        <v>2544</v>
      </c>
      <c r="D66" s="7771" t="s">
        <v>2545</v>
      </c>
      <c r="E66" s="7771" t="s">
        <v>2546</v>
      </c>
      <c r="F66" s="7771" t="s">
        <v>2446</v>
      </c>
      <c r="G66" s="7771" t="s">
        <v>2547</v>
      </c>
      <c r="H66" s="7771" t="s">
        <v>28</v>
      </c>
      <c r="I66" s="7771" t="s">
        <v>822</v>
      </c>
    </row>
    <row customHeight="1" ht="11.25">
      <c r="A67" s="7771" t="s">
        <v>2266</v>
      </c>
      <c r="B67" s="7771" t="s">
        <v>16</v>
      </c>
      <c r="C67" s="7771" t="s">
        <v>2548</v>
      </c>
      <c r="D67" s="7771" t="s">
        <v>2549</v>
      </c>
      <c r="E67" s="7771" t="s">
        <v>2550</v>
      </c>
      <c r="F67" s="7771" t="s">
        <v>2295</v>
      </c>
      <c r="G67" s="7771" t="s">
        <v>28</v>
      </c>
      <c r="H67" s="7771" t="s">
        <v>28</v>
      </c>
      <c r="I67" s="7771" t="s">
        <v>822</v>
      </c>
    </row>
    <row customHeight="1" ht="11.25">
      <c r="A68" s="7771" t="s">
        <v>2266</v>
      </c>
      <c r="B68" s="7771" t="s">
        <v>16</v>
      </c>
      <c r="C68" s="7771" t="s">
        <v>2551</v>
      </c>
      <c r="D68" s="7771" t="s">
        <v>2552</v>
      </c>
      <c r="E68" s="7771" t="s">
        <v>2553</v>
      </c>
      <c r="F68" s="7771" t="s">
        <v>2503</v>
      </c>
      <c r="G68" s="7771" t="s">
        <v>28</v>
      </c>
      <c r="H68" s="7771" t="s">
        <v>28</v>
      </c>
      <c r="I68" s="7771" t="s">
        <v>822</v>
      </c>
    </row>
    <row customHeight="1" ht="11.25">
      <c r="A69" s="7771" t="s">
        <v>2266</v>
      </c>
      <c r="B69" s="7771" t="s">
        <v>16</v>
      </c>
      <c r="C69" s="7771" t="s">
        <v>2554</v>
      </c>
      <c r="D69" s="7771" t="s">
        <v>2555</v>
      </c>
      <c r="E69" s="7771" t="s">
        <v>2556</v>
      </c>
      <c r="F69" s="7771" t="s">
        <v>2463</v>
      </c>
      <c r="G69" s="7771" t="s">
        <v>28</v>
      </c>
      <c r="H69" s="7771" t="s">
        <v>28</v>
      </c>
      <c r="I69" s="7771" t="s">
        <v>822</v>
      </c>
    </row>
    <row customHeight="1" ht="11.25">
      <c r="A70" s="7771" t="s">
        <v>2266</v>
      </c>
      <c r="B70" s="7771" t="s">
        <v>16</v>
      </c>
      <c r="C70" s="7771" t="s">
        <v>2557</v>
      </c>
      <c r="D70" s="7771" t="s">
        <v>2558</v>
      </c>
      <c r="E70" s="7771" t="s">
        <v>2559</v>
      </c>
      <c r="F70" s="7771" t="s">
        <v>2285</v>
      </c>
      <c r="G70" s="7771" t="s">
        <v>2560</v>
      </c>
      <c r="H70" s="7771" t="s">
        <v>28</v>
      </c>
      <c r="I70" s="7771" t="s">
        <v>822</v>
      </c>
    </row>
    <row customHeight="1" ht="11.25">
      <c r="A71" s="7771" t="s">
        <v>2266</v>
      </c>
      <c r="B71" s="7771" t="s">
        <v>16</v>
      </c>
      <c r="C71" s="7771" t="s">
        <v>2561</v>
      </c>
      <c r="D71" s="7771" t="s">
        <v>2562</v>
      </c>
      <c r="E71" s="7771" t="s">
        <v>2563</v>
      </c>
      <c r="F71" s="7771" t="s">
        <v>2295</v>
      </c>
      <c r="G71" s="7771" t="s">
        <v>28</v>
      </c>
      <c r="H71" s="7771" t="s">
        <v>28</v>
      </c>
      <c r="I71" s="7771" t="s">
        <v>822</v>
      </c>
    </row>
    <row customHeight="1" ht="11.25">
      <c r="A72" s="7771" t="s">
        <v>2266</v>
      </c>
      <c r="B72" s="7771" t="s">
        <v>16</v>
      </c>
      <c r="C72" s="7771" t="s">
        <v>2564</v>
      </c>
      <c r="D72" s="7771" t="s">
        <v>2565</v>
      </c>
      <c r="E72" s="7771" t="s">
        <v>2566</v>
      </c>
      <c r="F72" s="7771" t="s">
        <v>2451</v>
      </c>
      <c r="G72" s="7771" t="s">
        <v>2567</v>
      </c>
      <c r="H72" s="7771" t="s">
        <v>28</v>
      </c>
      <c r="I72" s="7771" t="s">
        <v>822</v>
      </c>
    </row>
    <row customHeight="1" ht="11.25">
      <c r="A73" s="7771" t="s">
        <v>2266</v>
      </c>
      <c r="B73" s="7771" t="s">
        <v>16</v>
      </c>
      <c r="C73" s="7771" t="s">
        <v>2568</v>
      </c>
      <c r="D73" s="7771" t="s">
        <v>2569</v>
      </c>
      <c r="E73" s="7771" t="s">
        <v>2570</v>
      </c>
      <c r="F73" s="7771" t="s">
        <v>2360</v>
      </c>
      <c r="G73" s="7771" t="s">
        <v>28</v>
      </c>
      <c r="H73" s="7771" t="s">
        <v>28</v>
      </c>
      <c r="I73" s="7771" t="s">
        <v>822</v>
      </c>
    </row>
    <row customHeight="1" ht="11.25">
      <c r="A74" s="7771" t="s">
        <v>2266</v>
      </c>
      <c r="B74" s="7771" t="s">
        <v>16</v>
      </c>
      <c r="C74" s="7771" t="s">
        <v>2571</v>
      </c>
      <c r="D74" s="7771" t="s">
        <v>2572</v>
      </c>
      <c r="E74" s="7771" t="s">
        <v>2573</v>
      </c>
      <c r="F74" s="7771" t="s">
        <v>2399</v>
      </c>
      <c r="G74" s="7771" t="s">
        <v>2574</v>
      </c>
      <c r="H74" s="7771" t="s">
        <v>28</v>
      </c>
      <c r="I74" s="7771" t="s">
        <v>822</v>
      </c>
    </row>
    <row customHeight="1" ht="11.25">
      <c r="A75" s="7771" t="s">
        <v>2266</v>
      </c>
      <c r="B75" s="7771" t="s">
        <v>16</v>
      </c>
      <c r="C75" s="7771" t="s">
        <v>2575</v>
      </c>
      <c r="D75" s="7771" t="s">
        <v>2576</v>
      </c>
      <c r="E75" s="7771" t="s">
        <v>2577</v>
      </c>
      <c r="F75" s="7771" t="s">
        <v>2578</v>
      </c>
      <c r="G75" s="7771" t="s">
        <v>2579</v>
      </c>
      <c r="H75" s="7771" t="s">
        <v>28</v>
      </c>
      <c r="I75" s="7771" t="s">
        <v>822</v>
      </c>
    </row>
    <row customHeight="1" ht="11.25">
      <c r="A76" s="7771" t="s">
        <v>2266</v>
      </c>
      <c r="B76" s="7771" t="s">
        <v>16</v>
      </c>
      <c r="C76" s="7771" t="s">
        <v>2580</v>
      </c>
      <c r="D76" s="7771" t="s">
        <v>2581</v>
      </c>
      <c r="E76" s="7771" t="s">
        <v>2582</v>
      </c>
      <c r="F76" s="7771" t="s">
        <v>2583</v>
      </c>
      <c r="G76" s="7771" t="s">
        <v>2584</v>
      </c>
      <c r="H76" s="7771" t="s">
        <v>28</v>
      </c>
      <c r="I76" s="7771" t="s">
        <v>822</v>
      </c>
    </row>
    <row customHeight="1" ht="11.25">
      <c r="A77" s="7771" t="s">
        <v>2266</v>
      </c>
      <c r="B77" s="7771" t="s">
        <v>16</v>
      </c>
      <c r="C77" s="7771" t="s">
        <v>2585</v>
      </c>
      <c r="D77" s="7771" t="s">
        <v>2586</v>
      </c>
      <c r="E77" s="7771" t="s">
        <v>2587</v>
      </c>
      <c r="F77" s="7771" t="s">
        <v>2280</v>
      </c>
      <c r="G77" s="7771" t="s">
        <v>2588</v>
      </c>
      <c r="H77" s="7771" t="s">
        <v>28</v>
      </c>
      <c r="I77" s="7771" t="s">
        <v>822</v>
      </c>
    </row>
    <row customHeight="1" ht="11.25">
      <c r="A78" s="7771" t="s">
        <v>2266</v>
      </c>
      <c r="B78" s="7771" t="s">
        <v>16</v>
      </c>
      <c r="C78" s="7771" t="s">
        <v>2589</v>
      </c>
      <c r="D78" s="7771" t="s">
        <v>2590</v>
      </c>
      <c r="E78" s="7771" t="s">
        <v>2591</v>
      </c>
      <c r="F78" s="7771" t="s">
        <v>2592</v>
      </c>
      <c r="G78" s="7771" t="s">
        <v>28</v>
      </c>
      <c r="H78" s="7771" t="s">
        <v>28</v>
      </c>
      <c r="I78" s="7771" t="s">
        <v>822</v>
      </c>
    </row>
    <row customHeight="1" ht="11.25">
      <c r="A79" s="7771" t="s">
        <v>2266</v>
      </c>
      <c r="B79" s="7771" t="s">
        <v>16</v>
      </c>
      <c r="C79" s="7771" t="s">
        <v>2593</v>
      </c>
      <c r="D79" s="7771" t="s">
        <v>2594</v>
      </c>
      <c r="E79" s="7771" t="s">
        <v>2595</v>
      </c>
      <c r="F79" s="7771" t="s">
        <v>2596</v>
      </c>
      <c r="G79" s="7771" t="s">
        <v>28</v>
      </c>
      <c r="H79" s="7771" t="s">
        <v>28</v>
      </c>
      <c r="I79" s="7771" t="s">
        <v>822</v>
      </c>
    </row>
    <row customHeight="1" ht="11.25">
      <c r="A80" s="7771" t="s">
        <v>2266</v>
      </c>
      <c r="B80" s="7771" t="s">
        <v>16</v>
      </c>
      <c r="C80" s="7771" t="s">
        <v>2597</v>
      </c>
      <c r="D80" s="7771" t="s">
        <v>2598</v>
      </c>
      <c r="E80" s="7771" t="s">
        <v>2599</v>
      </c>
      <c r="F80" s="7771" t="s">
        <v>2280</v>
      </c>
      <c r="G80" s="7771" t="s">
        <v>2600</v>
      </c>
      <c r="H80" s="7771" t="s">
        <v>28</v>
      </c>
      <c r="I80" s="7771" t="s">
        <v>822</v>
      </c>
    </row>
    <row customHeight="1" ht="11.25">
      <c r="A81" s="7771" t="s">
        <v>2266</v>
      </c>
      <c r="B81" s="7771" t="s">
        <v>16</v>
      </c>
      <c r="C81" s="7771" t="s">
        <v>2601</v>
      </c>
      <c r="D81" s="7771" t="s">
        <v>2602</v>
      </c>
      <c r="E81" s="7771" t="s">
        <v>2603</v>
      </c>
      <c r="F81" s="7771" t="s">
        <v>2499</v>
      </c>
      <c r="G81" s="7771" t="s">
        <v>2604</v>
      </c>
      <c r="H81" s="7771" t="s">
        <v>28</v>
      </c>
      <c r="I81" s="7771" t="s">
        <v>822</v>
      </c>
    </row>
    <row customHeight="1" ht="11.25">
      <c r="A82" s="7771" t="s">
        <v>2266</v>
      </c>
      <c r="B82" s="7771" t="s">
        <v>16</v>
      </c>
      <c r="C82" s="7771" t="s">
        <v>2605</v>
      </c>
      <c r="D82" s="7771" t="s">
        <v>2606</v>
      </c>
      <c r="E82" s="7771" t="s">
        <v>2607</v>
      </c>
      <c r="F82" s="7771" t="s">
        <v>2463</v>
      </c>
      <c r="G82" s="7771" t="s">
        <v>2508</v>
      </c>
      <c r="H82" s="7771" t="s">
        <v>28</v>
      </c>
      <c r="I82" s="7771" t="s">
        <v>822</v>
      </c>
    </row>
    <row customHeight="1" ht="11.25">
      <c r="A83" s="7771" t="s">
        <v>2266</v>
      </c>
      <c r="B83" s="7771" t="s">
        <v>16</v>
      </c>
      <c r="C83" s="7771" t="s">
        <v>2608</v>
      </c>
      <c r="D83" s="7771" t="s">
        <v>2609</v>
      </c>
      <c r="E83" s="7771" t="s">
        <v>2610</v>
      </c>
      <c r="F83" s="7771" t="s">
        <v>2295</v>
      </c>
      <c r="G83" s="7771" t="s">
        <v>2611</v>
      </c>
      <c r="H83" s="7771" t="s">
        <v>28</v>
      </c>
      <c r="I83" s="7771" t="s">
        <v>822</v>
      </c>
    </row>
    <row customHeight="1" ht="11.25">
      <c r="A84" s="7771" t="s">
        <v>2266</v>
      </c>
      <c r="B84" s="7771" t="s">
        <v>16</v>
      </c>
      <c r="C84" s="7771" t="s">
        <v>2612</v>
      </c>
      <c r="D84" s="7771" t="s">
        <v>2613</v>
      </c>
      <c r="E84" s="7771" t="s">
        <v>2614</v>
      </c>
      <c r="F84" s="7771" t="s">
        <v>2615</v>
      </c>
      <c r="G84" s="7771" t="s">
        <v>28</v>
      </c>
      <c r="H84" s="7771" t="s">
        <v>28</v>
      </c>
      <c r="I84" s="7771" t="s">
        <v>822</v>
      </c>
    </row>
    <row customHeight="1" ht="11.25">
      <c r="A85" s="7771" t="s">
        <v>2266</v>
      </c>
      <c r="B85" s="7771" t="s">
        <v>16</v>
      </c>
      <c r="C85" s="7771" t="s">
        <v>2616</v>
      </c>
      <c r="D85" s="7771" t="s">
        <v>2613</v>
      </c>
      <c r="E85" s="7771" t="s">
        <v>2614</v>
      </c>
      <c r="F85" s="7771" t="s">
        <v>2356</v>
      </c>
      <c r="G85" s="7771" t="s">
        <v>28</v>
      </c>
      <c r="H85" s="7771" t="s">
        <v>28</v>
      </c>
      <c r="I85" s="7771" t="s">
        <v>822</v>
      </c>
    </row>
    <row customHeight="1" ht="11.25">
      <c r="A86" s="7771" t="s">
        <v>2266</v>
      </c>
      <c r="B86" s="7771" t="s">
        <v>16</v>
      </c>
      <c r="C86" s="7771" t="s">
        <v>2617</v>
      </c>
      <c r="D86" s="7771" t="s">
        <v>2618</v>
      </c>
      <c r="E86" s="7771" t="s">
        <v>2619</v>
      </c>
      <c r="F86" s="7771" t="s">
        <v>2592</v>
      </c>
      <c r="G86" s="7771" t="s">
        <v>2620</v>
      </c>
      <c r="H86" s="7771" t="s">
        <v>28</v>
      </c>
      <c r="I86" s="7771" t="s">
        <v>822</v>
      </c>
    </row>
    <row customHeight="1" ht="11.25">
      <c r="A87" s="7771" t="s">
        <v>2266</v>
      </c>
      <c r="B87" s="7771" t="s">
        <v>16</v>
      </c>
      <c r="C87" s="7771" t="s">
        <v>2621</v>
      </c>
      <c r="D87" s="7771" t="s">
        <v>2622</v>
      </c>
      <c r="E87" s="7771" t="s">
        <v>2623</v>
      </c>
      <c r="F87" s="7771" t="s">
        <v>2624</v>
      </c>
      <c r="G87" s="7771" t="s">
        <v>2625</v>
      </c>
      <c r="H87" s="7771" t="s">
        <v>28</v>
      </c>
      <c r="I87" s="7771" t="s">
        <v>822</v>
      </c>
    </row>
    <row customHeight="1" ht="11.25">
      <c r="A88" s="7771" t="s">
        <v>2266</v>
      </c>
      <c r="B88" s="7771" t="s">
        <v>16</v>
      </c>
      <c r="C88" s="7771" t="s">
        <v>2626</v>
      </c>
      <c r="D88" s="7771" t="s">
        <v>2627</v>
      </c>
      <c r="E88" s="7771" t="s">
        <v>2628</v>
      </c>
      <c r="F88" s="7771" t="s">
        <v>2629</v>
      </c>
      <c r="G88" s="7771" t="s">
        <v>2630</v>
      </c>
      <c r="H88" s="7771" t="s">
        <v>28</v>
      </c>
      <c r="I88" s="7771" t="s">
        <v>822</v>
      </c>
    </row>
    <row customHeight="1" ht="11.25">
      <c r="A89" s="7771" t="s">
        <v>2266</v>
      </c>
      <c r="B89" s="7771" t="s">
        <v>16</v>
      </c>
      <c r="C89" s="7771" t="s">
        <v>2631</v>
      </c>
      <c r="D89" s="7771" t="s">
        <v>2632</v>
      </c>
      <c r="E89" s="7771" t="s">
        <v>2633</v>
      </c>
      <c r="F89" s="7771" t="s">
        <v>2377</v>
      </c>
      <c r="G89" s="7771" t="s">
        <v>2634</v>
      </c>
      <c r="H89" s="7771" t="s">
        <v>28</v>
      </c>
      <c r="I89" s="7771" t="s">
        <v>822</v>
      </c>
    </row>
    <row customHeight="1" ht="11.25">
      <c r="A90" s="7771" t="s">
        <v>2266</v>
      </c>
      <c r="B90" s="7771" t="s">
        <v>16</v>
      </c>
      <c r="C90" s="7771" t="s">
        <v>2635</v>
      </c>
      <c r="D90" s="7771" t="s">
        <v>2636</v>
      </c>
      <c r="E90" s="7771" t="s">
        <v>2637</v>
      </c>
      <c r="F90" s="7771" t="s">
        <v>2372</v>
      </c>
      <c r="G90" s="7771" t="s">
        <v>2638</v>
      </c>
      <c r="H90" s="7771" t="s">
        <v>28</v>
      </c>
      <c r="I90" s="7771" t="s">
        <v>822</v>
      </c>
    </row>
    <row customHeight="1" ht="11.25">
      <c r="A91" s="7771" t="s">
        <v>2266</v>
      </c>
      <c r="B91" s="7771" t="s">
        <v>16</v>
      </c>
      <c r="C91" s="7771" t="s">
        <v>2639</v>
      </c>
      <c r="D91" s="7771" t="s">
        <v>2640</v>
      </c>
      <c r="E91" s="7771" t="s">
        <v>2641</v>
      </c>
      <c r="F91" s="7771" t="s">
        <v>2642</v>
      </c>
      <c r="G91" s="7771" t="s">
        <v>2643</v>
      </c>
      <c r="H91" s="7771" t="s">
        <v>28</v>
      </c>
      <c r="I91" s="7771" t="s">
        <v>822</v>
      </c>
    </row>
    <row customHeight="1" ht="11.25">
      <c r="A92" s="7771" t="s">
        <v>2266</v>
      </c>
      <c r="B92" s="7771" t="s">
        <v>16</v>
      </c>
      <c r="C92" s="7771" t="s">
        <v>2644</v>
      </c>
      <c r="D92" s="7771" t="s">
        <v>2645</v>
      </c>
      <c r="E92" s="7771" t="s">
        <v>2646</v>
      </c>
      <c r="F92" s="7771" t="s">
        <v>2372</v>
      </c>
      <c r="G92" s="7771" t="s">
        <v>2647</v>
      </c>
      <c r="H92" s="7771" t="s">
        <v>28</v>
      </c>
      <c r="I92" s="7771" t="s">
        <v>822</v>
      </c>
    </row>
    <row customHeight="1" ht="11.25">
      <c r="A93" s="7771" t="s">
        <v>2266</v>
      </c>
      <c r="B93" s="7771" t="s">
        <v>16</v>
      </c>
      <c r="C93" s="7771" t="s">
        <v>2648</v>
      </c>
      <c r="D93" s="7771" t="s">
        <v>2649</v>
      </c>
      <c r="E93" s="7771" t="s">
        <v>2650</v>
      </c>
      <c r="F93" s="7771" t="s">
        <v>2280</v>
      </c>
      <c r="G93" s="7771" t="s">
        <v>2651</v>
      </c>
      <c r="H93" s="7771" t="s">
        <v>28</v>
      </c>
      <c r="I93" s="7771" t="s">
        <v>822</v>
      </c>
    </row>
    <row customHeight="1" ht="11.25">
      <c r="A94" s="7771" t="s">
        <v>2266</v>
      </c>
      <c r="B94" s="7771" t="s">
        <v>16</v>
      </c>
      <c r="C94" s="7771" t="s">
        <v>2652</v>
      </c>
      <c r="D94" s="7771" t="s">
        <v>2653</v>
      </c>
      <c r="E94" s="7771" t="s">
        <v>2654</v>
      </c>
      <c r="F94" s="7771" t="s">
        <v>2655</v>
      </c>
      <c r="G94" s="7771" t="s">
        <v>28</v>
      </c>
      <c r="H94" s="7771" t="s">
        <v>28</v>
      </c>
      <c r="I94" s="7771" t="s">
        <v>822</v>
      </c>
    </row>
    <row customHeight="1" ht="11.25">
      <c r="A95" s="7771" t="s">
        <v>2266</v>
      </c>
      <c r="B95" s="7771" t="s">
        <v>16</v>
      </c>
      <c r="C95" s="7771" t="s">
        <v>2656</v>
      </c>
      <c r="D95" s="7771" t="s">
        <v>2657</v>
      </c>
      <c r="E95" s="7771" t="s">
        <v>2658</v>
      </c>
      <c r="F95" s="7771" t="s">
        <v>2399</v>
      </c>
      <c r="G95" s="7771" t="s">
        <v>2659</v>
      </c>
      <c r="H95" s="7771" t="s">
        <v>28</v>
      </c>
      <c r="I95" s="7771" t="s">
        <v>822</v>
      </c>
    </row>
    <row customHeight="1" ht="11.25">
      <c r="A96" s="7771" t="s">
        <v>2266</v>
      </c>
      <c r="B96" s="7771" t="s">
        <v>16</v>
      </c>
      <c r="C96" s="7771" t="s">
        <v>2660</v>
      </c>
      <c r="D96" s="7771" t="s">
        <v>2661</v>
      </c>
      <c r="E96" s="7771" t="s">
        <v>2662</v>
      </c>
      <c r="F96" s="7771" t="s">
        <v>2356</v>
      </c>
      <c r="G96" s="7771" t="s">
        <v>28</v>
      </c>
      <c r="H96" s="7771" t="s">
        <v>28</v>
      </c>
      <c r="I96" s="7771" t="s">
        <v>822</v>
      </c>
    </row>
    <row customHeight="1" ht="11.25">
      <c r="A97" s="7771" t="s">
        <v>2266</v>
      </c>
      <c r="B97" s="7771" t="s">
        <v>16</v>
      </c>
      <c r="C97" s="7771" t="s">
        <v>2663</v>
      </c>
      <c r="D97" s="7771" t="s">
        <v>2664</v>
      </c>
      <c r="E97" s="7771" t="s">
        <v>2665</v>
      </c>
      <c r="F97" s="7771" t="s">
        <v>2518</v>
      </c>
      <c r="G97" s="7771" t="s">
        <v>2666</v>
      </c>
      <c r="H97" s="7771" t="s">
        <v>28</v>
      </c>
      <c r="I97" s="7771" t="s">
        <v>822</v>
      </c>
    </row>
    <row customHeight="1" ht="11.25">
      <c r="A98" s="7771" t="s">
        <v>2266</v>
      </c>
      <c r="B98" s="7771" t="s">
        <v>16</v>
      </c>
      <c r="C98" s="7771" t="s">
        <v>2667</v>
      </c>
      <c r="D98" s="7771" t="s">
        <v>2668</v>
      </c>
      <c r="E98" s="7771" t="s">
        <v>2669</v>
      </c>
      <c r="F98" s="7771" t="s">
        <v>2285</v>
      </c>
      <c r="G98" s="7771" t="s">
        <v>28</v>
      </c>
      <c r="H98" s="7771" t="s">
        <v>28</v>
      </c>
      <c r="I98" s="7771" t="s">
        <v>822</v>
      </c>
    </row>
    <row customHeight="1" ht="11.25">
      <c r="A99" s="7771" t="s">
        <v>2266</v>
      </c>
      <c r="B99" s="7771" t="s">
        <v>16</v>
      </c>
      <c r="C99" s="7771" t="s">
        <v>2670</v>
      </c>
      <c r="D99" s="7771" t="s">
        <v>2671</v>
      </c>
      <c r="E99" s="7771" t="s">
        <v>2672</v>
      </c>
      <c r="F99" s="7771" t="s">
        <v>2538</v>
      </c>
      <c r="G99" s="7771" t="s">
        <v>28</v>
      </c>
      <c r="H99" s="7771" t="s">
        <v>28</v>
      </c>
      <c r="I99" s="7771" t="s">
        <v>822</v>
      </c>
    </row>
    <row customHeight="1" ht="11.25">
      <c r="A100" s="7771" t="s">
        <v>2266</v>
      </c>
      <c r="B100" s="7771" t="s">
        <v>16</v>
      </c>
      <c r="C100" s="7771" t="s">
        <v>2673</v>
      </c>
      <c r="D100" s="7771" t="s">
        <v>2671</v>
      </c>
      <c r="E100" s="7771" t="s">
        <v>2674</v>
      </c>
      <c r="F100" s="7771" t="s">
        <v>2360</v>
      </c>
      <c r="G100" s="7771" t="s">
        <v>2675</v>
      </c>
      <c r="H100" s="7771" t="s">
        <v>28</v>
      </c>
      <c r="I100" s="7771" t="s">
        <v>822</v>
      </c>
    </row>
    <row customHeight="1" ht="11.25">
      <c r="A101" s="7771" t="s">
        <v>2266</v>
      </c>
      <c r="B101" s="7771" t="s">
        <v>16</v>
      </c>
      <c r="C101" s="7771" t="s">
        <v>2676</v>
      </c>
      <c r="D101" s="7771" t="s">
        <v>2677</v>
      </c>
      <c r="E101" s="7771" t="s">
        <v>2678</v>
      </c>
      <c r="F101" s="7771" t="s">
        <v>2679</v>
      </c>
      <c r="G101" s="7771" t="s">
        <v>28</v>
      </c>
      <c r="H101" s="7771" t="s">
        <v>28</v>
      </c>
      <c r="I101" s="7771" t="s">
        <v>822</v>
      </c>
    </row>
    <row customHeight="1" ht="11.25">
      <c r="A102" s="7771" t="s">
        <v>2266</v>
      </c>
      <c r="B102" s="7771" t="s">
        <v>16</v>
      </c>
      <c r="C102" s="7771" t="s">
        <v>2680</v>
      </c>
      <c r="D102" s="7771" t="s">
        <v>2681</v>
      </c>
      <c r="E102" s="7771" t="s">
        <v>2682</v>
      </c>
      <c r="F102" s="7771" t="s">
        <v>2290</v>
      </c>
      <c r="G102" s="7771" t="s">
        <v>2683</v>
      </c>
      <c r="H102" s="7771" t="s">
        <v>28</v>
      </c>
      <c r="I102" s="7771" t="s">
        <v>822</v>
      </c>
    </row>
    <row customHeight="1" ht="11.25">
      <c r="A103" s="7771" t="s">
        <v>2266</v>
      </c>
      <c r="B103" s="7771" t="s">
        <v>16</v>
      </c>
      <c r="C103" s="7771" t="s">
        <v>2684</v>
      </c>
      <c r="D103" s="7771" t="s">
        <v>2685</v>
      </c>
      <c r="E103" s="7771" t="s">
        <v>2686</v>
      </c>
      <c r="F103" s="7771" t="s">
        <v>2360</v>
      </c>
      <c r="G103" s="7771" t="s">
        <v>2687</v>
      </c>
      <c r="H103" s="7771" t="s">
        <v>28</v>
      </c>
      <c r="I103" s="7771" t="s">
        <v>822</v>
      </c>
    </row>
    <row customHeight="1" ht="11.25">
      <c r="A104" s="7771" t="s">
        <v>2266</v>
      </c>
      <c r="B104" s="7771" t="s">
        <v>16</v>
      </c>
      <c r="C104" s="7771" t="s">
        <v>2688</v>
      </c>
      <c r="D104" s="7771" t="s">
        <v>2689</v>
      </c>
      <c r="E104" s="7771" t="s">
        <v>2690</v>
      </c>
      <c r="F104" s="7771" t="s">
        <v>2629</v>
      </c>
      <c r="G104" s="7771" t="s">
        <v>2691</v>
      </c>
      <c r="H104" s="7771" t="s">
        <v>28</v>
      </c>
      <c r="I104" s="7771" t="s">
        <v>822</v>
      </c>
    </row>
    <row customHeight="1" ht="11.25">
      <c r="A105" s="7771" t="s">
        <v>2266</v>
      </c>
      <c r="B105" s="7771" t="s">
        <v>16</v>
      </c>
      <c r="C105" s="7771" t="s">
        <v>2692</v>
      </c>
      <c r="D105" s="7771" t="s">
        <v>2693</v>
      </c>
      <c r="E105" s="7771" t="s">
        <v>2694</v>
      </c>
      <c r="F105" s="7771" t="s">
        <v>2538</v>
      </c>
      <c r="G105" s="7771" t="s">
        <v>2695</v>
      </c>
      <c r="H105" s="7771" t="s">
        <v>28</v>
      </c>
      <c r="I105" s="7771" t="s">
        <v>822</v>
      </c>
    </row>
    <row customHeight="1" ht="11.25">
      <c r="A106" s="7771" t="s">
        <v>2266</v>
      </c>
      <c r="B106" s="7771" t="s">
        <v>16</v>
      </c>
      <c r="C106" s="7771" t="s">
        <v>2696</v>
      </c>
      <c r="D106" s="7771" t="s">
        <v>2697</v>
      </c>
      <c r="E106" s="7771" t="s">
        <v>2698</v>
      </c>
      <c r="F106" s="7771" t="s">
        <v>2699</v>
      </c>
      <c r="G106" s="7771" t="s">
        <v>2700</v>
      </c>
      <c r="H106" s="7771" t="s">
        <v>28</v>
      </c>
      <c r="I106" s="7771" t="s">
        <v>822</v>
      </c>
    </row>
    <row customHeight="1" ht="11.25">
      <c r="A107" s="7771" t="s">
        <v>2266</v>
      </c>
      <c r="B107" s="7771" t="s">
        <v>16</v>
      </c>
      <c r="C107" s="7771" t="s">
        <v>2701</v>
      </c>
      <c r="D107" s="7771" t="s">
        <v>2702</v>
      </c>
      <c r="E107" s="7771" t="s">
        <v>2703</v>
      </c>
      <c r="F107" s="7771" t="s">
        <v>2285</v>
      </c>
      <c r="G107" s="7771" t="s">
        <v>2704</v>
      </c>
      <c r="H107" s="7771" t="s">
        <v>28</v>
      </c>
      <c r="I107" s="7771" t="s">
        <v>822</v>
      </c>
    </row>
    <row customHeight="1" ht="11.25">
      <c r="A108" s="7771" t="s">
        <v>2266</v>
      </c>
      <c r="B108" s="7771" t="s">
        <v>16</v>
      </c>
      <c r="C108" s="7771" t="s">
        <v>2705</v>
      </c>
      <c r="D108" s="7771" t="s">
        <v>2706</v>
      </c>
      <c r="E108" s="7771" t="s">
        <v>2707</v>
      </c>
      <c r="F108" s="7771" t="s">
        <v>2368</v>
      </c>
      <c r="G108" s="7771" t="s">
        <v>28</v>
      </c>
      <c r="H108" s="7771" t="s">
        <v>28</v>
      </c>
      <c r="I108" s="7771" t="s">
        <v>822</v>
      </c>
    </row>
    <row customHeight="1" ht="11.25">
      <c r="A109" s="7771" t="s">
        <v>2266</v>
      </c>
      <c r="B109" s="7771" t="s">
        <v>16</v>
      </c>
      <c r="C109" s="7771" t="s">
        <v>2708</v>
      </c>
      <c r="D109" s="7771" t="s">
        <v>2709</v>
      </c>
      <c r="E109" s="7771" t="s">
        <v>2710</v>
      </c>
      <c r="F109" s="7771" t="s">
        <v>2285</v>
      </c>
      <c r="G109" s="7771" t="s">
        <v>2711</v>
      </c>
      <c r="H109" s="7771" t="s">
        <v>28</v>
      </c>
      <c r="I109" s="7771" t="s">
        <v>822</v>
      </c>
    </row>
    <row customHeight="1" ht="11.25">
      <c r="A110" s="7771" t="s">
        <v>2266</v>
      </c>
      <c r="B110" s="7771" t="s">
        <v>16</v>
      </c>
      <c r="C110" s="7771" t="s">
        <v>2712</v>
      </c>
      <c r="D110" s="7771" t="s">
        <v>2713</v>
      </c>
      <c r="E110" s="7771" t="s">
        <v>2714</v>
      </c>
      <c r="F110" s="7771" t="s">
        <v>2446</v>
      </c>
      <c r="G110" s="7771" t="s">
        <v>2715</v>
      </c>
      <c r="H110" s="7771" t="s">
        <v>28</v>
      </c>
      <c r="I110" s="7771" t="s">
        <v>822</v>
      </c>
    </row>
    <row customHeight="1" ht="11.25">
      <c r="A111" s="7771" t="s">
        <v>2266</v>
      </c>
      <c r="B111" s="7771" t="s">
        <v>16</v>
      </c>
      <c r="C111" s="7771" t="s">
        <v>2716</v>
      </c>
      <c r="D111" s="7771" t="s">
        <v>2717</v>
      </c>
      <c r="E111" s="7771" t="s">
        <v>2718</v>
      </c>
      <c r="F111" s="7771" t="s">
        <v>2592</v>
      </c>
      <c r="G111" s="7771" t="s">
        <v>2719</v>
      </c>
      <c r="H111" s="7771" t="s">
        <v>28</v>
      </c>
      <c r="I111" s="7771" t="s">
        <v>822</v>
      </c>
    </row>
    <row customHeight="1" ht="11.25">
      <c r="A112" s="7771" t="s">
        <v>2266</v>
      </c>
      <c r="B112" s="7771" t="s">
        <v>16</v>
      </c>
      <c r="C112" s="7771" t="s">
        <v>2720</v>
      </c>
      <c r="D112" s="7771" t="s">
        <v>2721</v>
      </c>
      <c r="E112" s="7771" t="s">
        <v>2722</v>
      </c>
      <c r="F112" s="7771" t="s">
        <v>2723</v>
      </c>
      <c r="G112" s="7771" t="s">
        <v>2724</v>
      </c>
      <c r="H112" s="7771" t="s">
        <v>28</v>
      </c>
      <c r="I112" s="7771" t="s">
        <v>822</v>
      </c>
    </row>
    <row customHeight="1" ht="11.25">
      <c r="A113" s="7771" t="s">
        <v>2266</v>
      </c>
      <c r="B113" s="7771" t="s">
        <v>16</v>
      </c>
      <c r="C113" s="7771" t="s">
        <v>2725</v>
      </c>
      <c r="D113" s="7771" t="s">
        <v>2726</v>
      </c>
      <c r="E113" s="7771" t="s">
        <v>2727</v>
      </c>
      <c r="F113" s="7771" t="s">
        <v>2368</v>
      </c>
      <c r="G113" s="7771" t="s">
        <v>2728</v>
      </c>
      <c r="H113" s="7771" t="s">
        <v>28</v>
      </c>
      <c r="I113" s="7771" t="s">
        <v>822</v>
      </c>
    </row>
    <row customHeight="1" ht="11.25">
      <c r="A114" s="7771" t="s">
        <v>2266</v>
      </c>
      <c r="B114" s="7771" t="s">
        <v>16</v>
      </c>
      <c r="C114" s="7771" t="s">
        <v>2729</v>
      </c>
      <c r="D114" s="7771" t="s">
        <v>2730</v>
      </c>
      <c r="E114" s="7771" t="s">
        <v>2731</v>
      </c>
      <c r="F114" s="7771" t="s">
        <v>2280</v>
      </c>
      <c r="G114" s="7771" t="s">
        <v>2732</v>
      </c>
      <c r="H114" s="7771" t="s">
        <v>28</v>
      </c>
      <c r="I114" s="7771" t="s">
        <v>822</v>
      </c>
    </row>
    <row customHeight="1" ht="11.25">
      <c r="A115" s="7771" t="s">
        <v>2266</v>
      </c>
      <c r="B115" s="7771" t="s">
        <v>16</v>
      </c>
      <c r="C115" s="7771" t="s">
        <v>2733</v>
      </c>
      <c r="D115" s="7771" t="s">
        <v>2734</v>
      </c>
      <c r="E115" s="7771" t="s">
        <v>2735</v>
      </c>
      <c r="F115" s="7771" t="s">
        <v>2399</v>
      </c>
      <c r="G115" s="7771" t="s">
        <v>2651</v>
      </c>
      <c r="H115" s="7771" t="s">
        <v>28</v>
      </c>
      <c r="I115" s="7771" t="s">
        <v>822</v>
      </c>
    </row>
    <row customHeight="1" ht="11.25">
      <c r="A116" s="7771" t="s">
        <v>2266</v>
      </c>
      <c r="B116" s="7771" t="s">
        <v>16</v>
      </c>
      <c r="C116" s="7771" t="s">
        <v>2736</v>
      </c>
      <c r="D116" s="7771" t="s">
        <v>2737</v>
      </c>
      <c r="E116" s="7771" t="s">
        <v>2738</v>
      </c>
      <c r="F116" s="7771" t="s">
        <v>2739</v>
      </c>
      <c r="G116" s="7771" t="s">
        <v>28</v>
      </c>
      <c r="H116" s="7771" t="s">
        <v>28</v>
      </c>
      <c r="I116" s="7771" t="s">
        <v>822</v>
      </c>
    </row>
    <row customHeight="1" ht="11.25">
      <c r="A117" s="7771" t="s">
        <v>2266</v>
      </c>
      <c r="B117" s="7771" t="s">
        <v>16</v>
      </c>
      <c r="C117" s="7771" t="s">
        <v>2740</v>
      </c>
      <c r="D117" s="7771" t="s">
        <v>2741</v>
      </c>
      <c r="E117" s="7771" t="s">
        <v>2742</v>
      </c>
      <c r="F117" s="7771" t="s">
        <v>2486</v>
      </c>
      <c r="G117" s="7771" t="s">
        <v>2743</v>
      </c>
      <c r="H117" s="7771" t="s">
        <v>28</v>
      </c>
      <c r="I117" s="7771" t="s">
        <v>822</v>
      </c>
    </row>
    <row customHeight="1" ht="11.25">
      <c r="A118" s="7771" t="s">
        <v>2266</v>
      </c>
      <c r="B118" s="7771" t="s">
        <v>16</v>
      </c>
      <c r="C118" s="7771" t="s">
        <v>2744</v>
      </c>
      <c r="D118" s="7771" t="s">
        <v>2741</v>
      </c>
      <c r="E118" s="7771" t="s">
        <v>2742</v>
      </c>
      <c r="F118" s="7771" t="s">
        <v>2745</v>
      </c>
      <c r="G118" s="7771" t="s">
        <v>2743</v>
      </c>
      <c r="H118" s="7771" t="s">
        <v>28</v>
      </c>
      <c r="I118" s="7771" t="s">
        <v>822</v>
      </c>
    </row>
    <row customHeight="1" ht="11.25">
      <c r="A119" s="7771" t="s">
        <v>2266</v>
      </c>
      <c r="B119" s="7771" t="s">
        <v>16</v>
      </c>
      <c r="C119" s="7771" t="s">
        <v>2746</v>
      </c>
      <c r="D119" s="7771" t="s">
        <v>2747</v>
      </c>
      <c r="E119" s="7771" t="s">
        <v>2748</v>
      </c>
      <c r="F119" s="7771" t="s">
        <v>2629</v>
      </c>
      <c r="G119" s="7771" t="s">
        <v>2749</v>
      </c>
      <c r="H119" s="7771" t="s">
        <v>28</v>
      </c>
      <c r="I119" s="7771" t="s">
        <v>822</v>
      </c>
    </row>
    <row customHeight="1" ht="11.25">
      <c r="A120" s="7771" t="s">
        <v>2266</v>
      </c>
      <c r="B120" s="7771" t="s">
        <v>16</v>
      </c>
      <c r="C120" s="7771" t="s">
        <v>2750</v>
      </c>
      <c r="D120" s="7771" t="s">
        <v>2751</v>
      </c>
      <c r="E120" s="7771" t="s">
        <v>2752</v>
      </c>
      <c r="F120" s="7771" t="s">
        <v>2753</v>
      </c>
      <c r="G120" s="7771" t="s">
        <v>28</v>
      </c>
      <c r="H120" s="7771" t="s">
        <v>28</v>
      </c>
      <c r="I120" s="7771" t="s">
        <v>822</v>
      </c>
    </row>
    <row customHeight="1" ht="11.25">
      <c r="A121" s="7771" t="s">
        <v>2266</v>
      </c>
      <c r="B121" s="7771" t="s">
        <v>16</v>
      </c>
      <c r="C121" s="7771" t="s">
        <v>2754</v>
      </c>
      <c r="D121" s="7771" t="s">
        <v>2755</v>
      </c>
      <c r="E121" s="7771" t="s">
        <v>2756</v>
      </c>
      <c r="F121" s="7771" t="s">
        <v>2757</v>
      </c>
      <c r="G121" s="7771" t="s">
        <v>28</v>
      </c>
      <c r="H121" s="7771" t="s">
        <v>28</v>
      </c>
      <c r="I121" s="7771" t="s">
        <v>822</v>
      </c>
    </row>
    <row customHeight="1" ht="11.25">
      <c r="A122" s="7771" t="s">
        <v>2266</v>
      </c>
      <c r="B122" s="7771" t="s">
        <v>16</v>
      </c>
      <c r="C122" s="7771" t="s">
        <v>2758</v>
      </c>
      <c r="D122" s="7771" t="s">
        <v>2759</v>
      </c>
      <c r="E122" s="7771" t="s">
        <v>2760</v>
      </c>
      <c r="F122" s="7771" t="s">
        <v>2761</v>
      </c>
      <c r="G122" s="7771" t="s">
        <v>2762</v>
      </c>
      <c r="H122" s="7771" t="s">
        <v>28</v>
      </c>
      <c r="I122" s="7771" t="s">
        <v>822</v>
      </c>
    </row>
    <row customHeight="1" ht="11.25">
      <c r="A123" s="7771" t="s">
        <v>2266</v>
      </c>
      <c r="B123" s="7771" t="s">
        <v>16</v>
      </c>
      <c r="C123" s="7771" t="s">
        <v>2763</v>
      </c>
      <c r="D123" s="7771" t="s">
        <v>2764</v>
      </c>
      <c r="E123" s="7771" t="s">
        <v>2765</v>
      </c>
      <c r="F123" s="7771" t="s">
        <v>2766</v>
      </c>
      <c r="G123" s="7771" t="s">
        <v>28</v>
      </c>
      <c r="H123" s="7771" t="s">
        <v>28</v>
      </c>
      <c r="I123" s="7771" t="s">
        <v>822</v>
      </c>
    </row>
    <row customHeight="1" ht="11.25">
      <c r="A124" s="7771" t="s">
        <v>2266</v>
      </c>
      <c r="B124" s="7771" t="s">
        <v>16</v>
      </c>
      <c r="C124" s="7771" t="s">
        <v>2767</v>
      </c>
      <c r="D124" s="7771" t="s">
        <v>2768</v>
      </c>
      <c r="E124" s="7771" t="s">
        <v>2769</v>
      </c>
      <c r="F124" s="7771" t="s">
        <v>2770</v>
      </c>
      <c r="G124" s="7771" t="s">
        <v>2771</v>
      </c>
      <c r="H124" s="7771" t="s">
        <v>28</v>
      </c>
      <c r="I124" s="7771" t="s">
        <v>822</v>
      </c>
    </row>
    <row customHeight="1" ht="11.25">
      <c r="A125" s="7771" t="s">
        <v>2266</v>
      </c>
      <c r="B125" s="7771" t="s">
        <v>16</v>
      </c>
      <c r="C125" s="7771" t="s">
        <v>2772</v>
      </c>
      <c r="D125" s="7771" t="s">
        <v>2773</v>
      </c>
      <c r="E125" s="7771" t="s">
        <v>2774</v>
      </c>
      <c r="F125" s="7771" t="s">
        <v>2300</v>
      </c>
      <c r="G125" s="7771" t="s">
        <v>2775</v>
      </c>
      <c r="H125" s="7771" t="s">
        <v>28</v>
      </c>
      <c r="I125" s="7771" t="s">
        <v>822</v>
      </c>
    </row>
    <row customHeight="1" ht="11.25">
      <c r="A126" s="7771" t="s">
        <v>2266</v>
      </c>
      <c r="B126" s="7771" t="s">
        <v>16</v>
      </c>
      <c r="C126" s="7771" t="s">
        <v>2776</v>
      </c>
      <c r="D126" s="7771" t="s">
        <v>2777</v>
      </c>
      <c r="E126" s="7771" t="s">
        <v>2778</v>
      </c>
      <c r="F126" s="7771" t="s">
        <v>2538</v>
      </c>
      <c r="G126" s="7771" t="s">
        <v>2779</v>
      </c>
      <c r="H126" s="7771" t="s">
        <v>28</v>
      </c>
      <c r="I126" s="7771" t="s">
        <v>822</v>
      </c>
    </row>
    <row customHeight="1" ht="11.25">
      <c r="A127" s="7771" t="s">
        <v>2266</v>
      </c>
      <c r="B127" s="7771" t="s">
        <v>16</v>
      </c>
      <c r="C127" s="7771" t="s">
        <v>2780</v>
      </c>
      <c r="D127" s="7771" t="s">
        <v>2781</v>
      </c>
      <c r="E127" s="7771" t="s">
        <v>2782</v>
      </c>
      <c r="F127" s="7771" t="s">
        <v>2538</v>
      </c>
      <c r="G127" s="7771" t="s">
        <v>2783</v>
      </c>
      <c r="H127" s="7771" t="s">
        <v>28</v>
      </c>
      <c r="I127" s="7771" t="s">
        <v>822</v>
      </c>
    </row>
    <row customHeight="1" ht="11.25">
      <c r="A128" s="7771" t="s">
        <v>2266</v>
      </c>
      <c r="B128" s="7771" t="s">
        <v>16</v>
      </c>
      <c r="C128" s="7771" t="s">
        <v>2784</v>
      </c>
      <c r="D128" s="7771" t="s">
        <v>2785</v>
      </c>
      <c r="E128" s="7771" t="s">
        <v>2786</v>
      </c>
      <c r="F128" s="7771" t="s">
        <v>2486</v>
      </c>
      <c r="G128" s="7771" t="s">
        <v>2787</v>
      </c>
      <c r="H128" s="7771" t="s">
        <v>28</v>
      </c>
      <c r="I128" s="7771" t="s">
        <v>822</v>
      </c>
    </row>
    <row customHeight="1" ht="11.25">
      <c r="A129" s="7771" t="s">
        <v>2266</v>
      </c>
      <c r="B129" s="7771" t="s">
        <v>16</v>
      </c>
      <c r="C129" s="7771" t="s">
        <v>2788</v>
      </c>
      <c r="D129" s="7771" t="s">
        <v>2789</v>
      </c>
      <c r="E129" s="7771" t="s">
        <v>2790</v>
      </c>
      <c r="F129" s="7771" t="s">
        <v>2791</v>
      </c>
      <c r="G129" s="7771" t="s">
        <v>2792</v>
      </c>
      <c r="H129" s="7771" t="s">
        <v>28</v>
      </c>
      <c r="I129" s="7771" t="s">
        <v>822</v>
      </c>
    </row>
    <row customHeight="1" ht="11.25">
      <c r="A130" s="7771" t="s">
        <v>2266</v>
      </c>
      <c r="B130" s="7771" t="s">
        <v>16</v>
      </c>
      <c r="C130" s="7771" t="s">
        <v>2793</v>
      </c>
      <c r="D130" s="7771" t="s">
        <v>2794</v>
      </c>
      <c r="E130" s="7771" t="s">
        <v>2795</v>
      </c>
      <c r="F130" s="7771" t="s">
        <v>2390</v>
      </c>
      <c r="G130" s="7771" t="s">
        <v>2796</v>
      </c>
      <c r="H130" s="7771" t="s">
        <v>28</v>
      </c>
      <c r="I130" s="7771" t="s">
        <v>822</v>
      </c>
    </row>
    <row customHeight="1" ht="11.25">
      <c r="A131" s="7771" t="s">
        <v>2266</v>
      </c>
      <c r="B131" s="7771" t="s">
        <v>16</v>
      </c>
      <c r="C131" s="7771" t="s">
        <v>2797</v>
      </c>
      <c r="D131" s="7771" t="s">
        <v>2798</v>
      </c>
      <c r="E131" s="7771" t="s">
        <v>2799</v>
      </c>
      <c r="F131" s="7771" t="s">
        <v>2800</v>
      </c>
      <c r="G131" s="7771" t="s">
        <v>2801</v>
      </c>
      <c r="H131" s="7771" t="s">
        <v>28</v>
      </c>
      <c r="I131" s="7771" t="s">
        <v>822</v>
      </c>
    </row>
    <row customHeight="1" ht="11.25">
      <c r="A132" s="7771" t="s">
        <v>2266</v>
      </c>
      <c r="B132" s="7771" t="s">
        <v>16</v>
      </c>
      <c r="C132" s="7771" t="s">
        <v>2802</v>
      </c>
      <c r="D132" s="7771" t="s">
        <v>2803</v>
      </c>
      <c r="E132" s="7771" t="s">
        <v>2804</v>
      </c>
      <c r="F132" s="7771" t="s">
        <v>2342</v>
      </c>
      <c r="G132" s="7771" t="s">
        <v>2805</v>
      </c>
      <c r="H132" s="7771" t="s">
        <v>28</v>
      </c>
      <c r="I132" s="7771" t="s">
        <v>822</v>
      </c>
    </row>
    <row customHeight="1" ht="11.25">
      <c r="A133" s="7771" t="s">
        <v>2266</v>
      </c>
      <c r="B133" s="7771" t="s">
        <v>16</v>
      </c>
      <c r="C133" s="7771" t="s">
        <v>2806</v>
      </c>
      <c r="D133" s="7771" t="s">
        <v>2807</v>
      </c>
      <c r="E133" s="7771" t="s">
        <v>2808</v>
      </c>
      <c r="F133" s="7771" t="s">
        <v>2486</v>
      </c>
      <c r="G133" s="7771" t="s">
        <v>2809</v>
      </c>
      <c r="H133" s="7771" t="s">
        <v>28</v>
      </c>
      <c r="I133" s="7771" t="s">
        <v>822</v>
      </c>
    </row>
    <row customHeight="1" ht="11.25">
      <c r="A134" s="7771" t="s">
        <v>2266</v>
      </c>
      <c r="B134" s="7771" t="s">
        <v>16</v>
      </c>
      <c r="C134" s="7771" t="s">
        <v>2810</v>
      </c>
      <c r="D134" s="7771" t="s">
        <v>2811</v>
      </c>
      <c r="E134" s="7771" t="s">
        <v>2812</v>
      </c>
      <c r="F134" s="7771" t="s">
        <v>2813</v>
      </c>
      <c r="G134" s="7771" t="s">
        <v>28</v>
      </c>
      <c r="H134" s="7771" t="s">
        <v>28</v>
      </c>
      <c r="I134" s="7771" t="s">
        <v>822</v>
      </c>
    </row>
    <row customHeight="1" ht="11.25">
      <c r="A135" s="7771" t="s">
        <v>2266</v>
      </c>
      <c r="B135" s="7771" t="s">
        <v>16</v>
      </c>
      <c r="C135" s="7771" t="s">
        <v>2814</v>
      </c>
      <c r="D135" s="7771" t="s">
        <v>2815</v>
      </c>
      <c r="E135" s="7771" t="s">
        <v>2816</v>
      </c>
      <c r="F135" s="7771" t="s">
        <v>2739</v>
      </c>
      <c r="G135" s="7771" t="s">
        <v>2817</v>
      </c>
      <c r="H135" s="7771" t="s">
        <v>28</v>
      </c>
      <c r="I135" s="7771" t="s">
        <v>822</v>
      </c>
    </row>
    <row customHeight="1" ht="11.25">
      <c r="A136" s="7771" t="s">
        <v>2266</v>
      </c>
      <c r="B136" s="7771" t="s">
        <v>16</v>
      </c>
      <c r="C136" s="7771" t="s">
        <v>2818</v>
      </c>
      <c r="D136" s="7771" t="s">
        <v>2819</v>
      </c>
      <c r="E136" s="7771" t="s">
        <v>2820</v>
      </c>
      <c r="F136" s="7771" t="s">
        <v>2425</v>
      </c>
      <c r="G136" s="7771" t="s">
        <v>2821</v>
      </c>
      <c r="H136" s="7771" t="s">
        <v>28</v>
      </c>
      <c r="I136" s="7771" t="s">
        <v>822</v>
      </c>
    </row>
    <row customHeight="1" ht="11.25">
      <c r="A137" s="7771" t="s">
        <v>2266</v>
      </c>
      <c r="B137" s="7771" t="s">
        <v>16</v>
      </c>
      <c r="C137" s="7771" t="s">
        <v>2822</v>
      </c>
      <c r="D137" s="7771" t="s">
        <v>2823</v>
      </c>
      <c r="E137" s="7771" t="s">
        <v>2824</v>
      </c>
      <c r="F137" s="7771" t="s">
        <v>2800</v>
      </c>
      <c r="G137" s="7771" t="s">
        <v>2825</v>
      </c>
      <c r="H137" s="7771" t="s">
        <v>28</v>
      </c>
      <c r="I137" s="7771" t="s">
        <v>822</v>
      </c>
    </row>
    <row customHeight="1" ht="11.25">
      <c r="A138" s="7771" t="s">
        <v>2266</v>
      </c>
      <c r="B138" s="7771" t="s">
        <v>16</v>
      </c>
      <c r="C138" s="7771" t="s">
        <v>2826</v>
      </c>
      <c r="D138" s="7771" t="s">
        <v>2827</v>
      </c>
      <c r="E138" s="7771" t="s">
        <v>2828</v>
      </c>
      <c r="F138" s="7771" t="s">
        <v>2829</v>
      </c>
      <c r="G138" s="7771" t="s">
        <v>2830</v>
      </c>
      <c r="H138" s="7771" t="s">
        <v>28</v>
      </c>
      <c r="I138" s="7771" t="s">
        <v>822</v>
      </c>
    </row>
    <row customHeight="1" ht="11.25">
      <c r="A139" s="7771" t="s">
        <v>2266</v>
      </c>
      <c r="B139" s="7771" t="s">
        <v>16</v>
      </c>
      <c r="C139" s="7771" t="s">
        <v>2831</v>
      </c>
      <c r="D139" s="7771" t="s">
        <v>2832</v>
      </c>
      <c r="E139" s="7771" t="s">
        <v>2833</v>
      </c>
      <c r="F139" s="7771" t="s">
        <v>2592</v>
      </c>
      <c r="G139" s="7771" t="s">
        <v>2834</v>
      </c>
      <c r="H139" s="7771" t="s">
        <v>28</v>
      </c>
      <c r="I139" s="7771" t="s">
        <v>822</v>
      </c>
    </row>
    <row customHeight="1" ht="11.25">
      <c r="A140" s="7771" t="s">
        <v>2266</v>
      </c>
      <c r="B140" s="7771" t="s">
        <v>16</v>
      </c>
      <c r="C140" s="7771" t="s">
        <v>2835</v>
      </c>
      <c r="D140" s="7771" t="s">
        <v>2836</v>
      </c>
      <c r="E140" s="7771" t="s">
        <v>2837</v>
      </c>
      <c r="F140" s="7771" t="s">
        <v>2655</v>
      </c>
      <c r="G140" s="7771" t="s">
        <v>2838</v>
      </c>
      <c r="H140" s="7771" t="s">
        <v>28</v>
      </c>
      <c r="I140" s="7771" t="s">
        <v>822</v>
      </c>
    </row>
    <row customHeight="1" ht="11.25">
      <c r="A141" s="7771" t="s">
        <v>2266</v>
      </c>
      <c r="B141" s="7771" t="s">
        <v>16</v>
      </c>
      <c r="C141" s="7771" t="s">
        <v>2839</v>
      </c>
      <c r="D141" s="7771" t="s">
        <v>2840</v>
      </c>
      <c r="E141" s="7771" t="s">
        <v>2841</v>
      </c>
      <c r="F141" s="7771" t="s">
        <v>2347</v>
      </c>
      <c r="G141" s="7771" t="s">
        <v>2842</v>
      </c>
      <c r="H141" s="7771" t="s">
        <v>28</v>
      </c>
      <c r="I141" s="7771" t="s">
        <v>822</v>
      </c>
    </row>
    <row customHeight="1" ht="11.25">
      <c r="A142" s="7771" t="s">
        <v>2266</v>
      </c>
      <c r="B142" s="7771" t="s">
        <v>16</v>
      </c>
      <c r="C142" s="7771" t="s">
        <v>2843</v>
      </c>
      <c r="D142" s="7771" t="s">
        <v>2844</v>
      </c>
      <c r="E142" s="7771" t="s">
        <v>2845</v>
      </c>
      <c r="F142" s="7771" t="s">
        <v>2846</v>
      </c>
      <c r="G142" s="7771" t="s">
        <v>2847</v>
      </c>
      <c r="H142" s="7771" t="s">
        <v>28</v>
      </c>
      <c r="I142" s="7771" t="s">
        <v>822</v>
      </c>
    </row>
    <row customHeight="1" ht="11.25">
      <c r="A143" s="7771" t="s">
        <v>2266</v>
      </c>
      <c r="B143" s="7771" t="s">
        <v>16</v>
      </c>
      <c r="C143" s="7771" t="s">
        <v>2848</v>
      </c>
      <c r="D143" s="7771" t="s">
        <v>2849</v>
      </c>
      <c r="E143" s="7771" t="s">
        <v>2850</v>
      </c>
      <c r="F143" s="7771" t="s">
        <v>2723</v>
      </c>
      <c r="G143" s="7771" t="s">
        <v>28</v>
      </c>
      <c r="H143" s="7771" t="s">
        <v>28</v>
      </c>
      <c r="I143" s="7771" t="s">
        <v>822</v>
      </c>
    </row>
    <row customHeight="1" ht="11.25">
      <c r="A144" s="7771" t="s">
        <v>2266</v>
      </c>
      <c r="B144" s="7771" t="s">
        <v>16</v>
      </c>
      <c r="C144" s="7771" t="s">
        <v>2851</v>
      </c>
      <c r="D144" s="7771" t="s">
        <v>2852</v>
      </c>
      <c r="E144" s="7771" t="s">
        <v>2853</v>
      </c>
      <c r="F144" s="7771" t="s">
        <v>2596</v>
      </c>
      <c r="G144" s="7771" t="s">
        <v>2854</v>
      </c>
      <c r="H144" s="7771" t="s">
        <v>28</v>
      </c>
      <c r="I144" s="7771" t="s">
        <v>822</v>
      </c>
    </row>
    <row customHeight="1" ht="11.25">
      <c r="A145" s="7771" t="s">
        <v>2266</v>
      </c>
      <c r="B145" s="7771" t="s">
        <v>16</v>
      </c>
      <c r="C145" s="7771" t="s">
        <v>2855</v>
      </c>
      <c r="D145" s="7771" t="s">
        <v>2856</v>
      </c>
      <c r="E145" s="7771" t="s">
        <v>2857</v>
      </c>
      <c r="F145" s="7771" t="s">
        <v>2655</v>
      </c>
      <c r="G145" s="7771" t="s">
        <v>2858</v>
      </c>
      <c r="H145" s="7771" t="s">
        <v>28</v>
      </c>
      <c r="I145" s="7771" t="s">
        <v>822</v>
      </c>
    </row>
    <row customHeight="1" ht="11.25">
      <c r="A146" s="7771" t="s">
        <v>2266</v>
      </c>
      <c r="B146" s="7771" t="s">
        <v>16</v>
      </c>
      <c r="C146" s="7771" t="s">
        <v>2859</v>
      </c>
      <c r="D146" s="7771" t="s">
        <v>2860</v>
      </c>
      <c r="E146" s="7771" t="s">
        <v>2861</v>
      </c>
      <c r="F146" s="7771" t="s">
        <v>2430</v>
      </c>
      <c r="G146" s="7771" t="s">
        <v>28</v>
      </c>
      <c r="H146" s="7771" t="s">
        <v>28</v>
      </c>
      <c r="I146" s="7771" t="s">
        <v>822</v>
      </c>
    </row>
    <row customHeight="1" ht="11.25">
      <c r="A147" s="7771" t="s">
        <v>2266</v>
      </c>
      <c r="B147" s="7771" t="s">
        <v>16</v>
      </c>
      <c r="C147" s="7771" t="s">
        <v>2862</v>
      </c>
      <c r="D147" s="7771" t="s">
        <v>2863</v>
      </c>
      <c r="E147" s="7771" t="s">
        <v>2864</v>
      </c>
      <c r="F147" s="7771" t="s">
        <v>2430</v>
      </c>
      <c r="G147" s="7771" t="s">
        <v>28</v>
      </c>
      <c r="H147" s="7771" t="s">
        <v>28</v>
      </c>
      <c r="I147" s="7771" t="s">
        <v>822</v>
      </c>
    </row>
    <row customHeight="1" ht="11.25">
      <c r="A148" s="7771" t="s">
        <v>2266</v>
      </c>
      <c r="B148" s="7771" t="s">
        <v>16</v>
      </c>
      <c r="C148" s="7771" t="s">
        <v>2865</v>
      </c>
      <c r="D148" s="7771" t="s">
        <v>2866</v>
      </c>
      <c r="E148" s="7771" t="s">
        <v>2867</v>
      </c>
      <c r="F148" s="7771" t="s">
        <v>2285</v>
      </c>
      <c r="G148" s="7771" t="s">
        <v>28</v>
      </c>
      <c r="H148" s="7771" t="s">
        <v>28</v>
      </c>
      <c r="I148" s="7771" t="s">
        <v>822</v>
      </c>
    </row>
    <row customHeight="1" ht="11.25">
      <c r="A149" s="7771" t="s">
        <v>2266</v>
      </c>
      <c r="B149" s="7771" t="s">
        <v>16</v>
      </c>
      <c r="C149" s="7771" t="s">
        <v>2868</v>
      </c>
      <c r="D149" s="7771" t="s">
        <v>2869</v>
      </c>
      <c r="E149" s="7771" t="s">
        <v>2870</v>
      </c>
      <c r="F149" s="7771" t="s">
        <v>2829</v>
      </c>
      <c r="G149" s="7771" t="s">
        <v>2871</v>
      </c>
      <c r="H149" s="7771" t="s">
        <v>28</v>
      </c>
      <c r="I149" s="7771" t="s">
        <v>822</v>
      </c>
    </row>
    <row customHeight="1" ht="11.25">
      <c r="A150" s="7771" t="s">
        <v>2266</v>
      </c>
      <c r="B150" s="7771" t="s">
        <v>16</v>
      </c>
      <c r="C150" s="7771" t="s">
        <v>2872</v>
      </c>
      <c r="D150" s="7771" t="s">
        <v>2873</v>
      </c>
      <c r="E150" s="7771" t="s">
        <v>2874</v>
      </c>
      <c r="F150" s="7771" t="s">
        <v>2425</v>
      </c>
      <c r="G150" s="7771" t="s">
        <v>2875</v>
      </c>
      <c r="H150" s="7771" t="s">
        <v>28</v>
      </c>
      <c r="I150" s="7771" t="s">
        <v>822</v>
      </c>
    </row>
    <row customHeight="1" ht="11.25">
      <c r="A151" s="7771" t="s">
        <v>2266</v>
      </c>
      <c r="B151" s="7771" t="s">
        <v>16</v>
      </c>
      <c r="C151" s="7771" t="s">
        <v>2876</v>
      </c>
      <c r="D151" s="7771" t="s">
        <v>2877</v>
      </c>
      <c r="E151" s="7771" t="s">
        <v>2878</v>
      </c>
      <c r="F151" s="7771" t="s">
        <v>2377</v>
      </c>
      <c r="G151" s="7771" t="s">
        <v>2386</v>
      </c>
      <c r="H151" s="7771" t="s">
        <v>28</v>
      </c>
      <c r="I151" s="7771" t="s">
        <v>822</v>
      </c>
    </row>
    <row customHeight="1" ht="11.25">
      <c r="A152" s="7771" t="s">
        <v>2266</v>
      </c>
      <c r="B152" s="7771" t="s">
        <v>16</v>
      </c>
      <c r="C152" s="7771" t="s">
        <v>2879</v>
      </c>
      <c r="D152" s="7771" t="s">
        <v>2880</v>
      </c>
      <c r="E152" s="7771" t="s">
        <v>2881</v>
      </c>
      <c r="F152" s="7771" t="s">
        <v>2882</v>
      </c>
      <c r="G152" s="7771" t="s">
        <v>2883</v>
      </c>
      <c r="H152" s="7771" t="s">
        <v>28</v>
      </c>
      <c r="I152" s="7771" t="s">
        <v>822</v>
      </c>
    </row>
    <row customHeight="1" ht="11.25">
      <c r="A153" s="7771" t="s">
        <v>2266</v>
      </c>
      <c r="B153" s="7771" t="s">
        <v>16</v>
      </c>
      <c r="C153" s="7771" t="s">
        <v>2884</v>
      </c>
      <c r="D153" s="7771" t="s">
        <v>2885</v>
      </c>
      <c r="E153" s="7771" t="s">
        <v>2886</v>
      </c>
      <c r="F153" s="7771" t="s">
        <v>2441</v>
      </c>
      <c r="G153" s="7771" t="s">
        <v>28</v>
      </c>
      <c r="H153" s="7771" t="s">
        <v>28</v>
      </c>
      <c r="I153" s="7771" t="s">
        <v>822</v>
      </c>
    </row>
    <row customHeight="1" ht="11.25">
      <c r="A154" s="7771" t="s">
        <v>2266</v>
      </c>
      <c r="B154" s="7771" t="s">
        <v>16</v>
      </c>
      <c r="C154" s="7771" t="s">
        <v>2887</v>
      </c>
      <c r="D154" s="7771" t="s">
        <v>2888</v>
      </c>
      <c r="E154" s="7771" t="s">
        <v>2889</v>
      </c>
      <c r="F154" s="7771" t="s">
        <v>2412</v>
      </c>
      <c r="G154" s="7771" t="s">
        <v>2890</v>
      </c>
      <c r="H154" s="7771" t="s">
        <v>28</v>
      </c>
      <c r="I154" s="7771" t="s">
        <v>822</v>
      </c>
    </row>
    <row customHeight="1" ht="11.25">
      <c r="A155" s="7771" t="s">
        <v>2266</v>
      </c>
      <c r="B155" s="7771" t="s">
        <v>16</v>
      </c>
      <c r="C155" s="7771" t="s">
        <v>2891</v>
      </c>
      <c r="D155" s="7771" t="s">
        <v>2892</v>
      </c>
      <c r="E155" s="7771" t="s">
        <v>2893</v>
      </c>
      <c r="F155" s="7771" t="s">
        <v>2894</v>
      </c>
      <c r="G155" s="7771" t="s">
        <v>2895</v>
      </c>
      <c r="H155" s="7771" t="s">
        <v>28</v>
      </c>
      <c r="I155" s="7771" t="s">
        <v>822</v>
      </c>
    </row>
    <row customHeight="1" ht="11.25">
      <c r="A156" s="7771" t="s">
        <v>2266</v>
      </c>
      <c r="B156" s="7771" t="s">
        <v>16</v>
      </c>
      <c r="C156" s="7771" t="s">
        <v>2896</v>
      </c>
      <c r="D156" s="7771" t="s">
        <v>2897</v>
      </c>
      <c r="E156" s="7771" t="s">
        <v>2898</v>
      </c>
      <c r="F156" s="7771" t="s">
        <v>2425</v>
      </c>
      <c r="G156" s="7771" t="s">
        <v>2899</v>
      </c>
      <c r="H156" s="7771" t="s">
        <v>28</v>
      </c>
      <c r="I156" s="7771" t="s">
        <v>822</v>
      </c>
    </row>
    <row customHeight="1" ht="11.25">
      <c r="A157" s="7771" t="s">
        <v>2266</v>
      </c>
      <c r="B157" s="7771" t="s">
        <v>16</v>
      </c>
      <c r="C157" s="7771" t="s">
        <v>2900</v>
      </c>
      <c r="D157" s="7771" t="s">
        <v>2901</v>
      </c>
      <c r="E157" s="7771" t="s">
        <v>2765</v>
      </c>
      <c r="F157" s="7771" t="s">
        <v>2902</v>
      </c>
      <c r="G157" s="7771" t="s">
        <v>28</v>
      </c>
      <c r="H157" s="7771" t="s">
        <v>28</v>
      </c>
      <c r="I157" s="7771" t="s">
        <v>822</v>
      </c>
    </row>
    <row customHeight="1" ht="11.25">
      <c r="A158" s="7771" t="s">
        <v>2266</v>
      </c>
      <c r="B158" s="7771" t="s">
        <v>16</v>
      </c>
      <c r="C158" s="7771" t="s">
        <v>2903</v>
      </c>
      <c r="D158" s="7771" t="s">
        <v>2904</v>
      </c>
      <c r="E158" s="7771" t="s">
        <v>2905</v>
      </c>
      <c r="F158" s="7771" t="s">
        <v>2385</v>
      </c>
      <c r="G158" s="7771" t="s">
        <v>2906</v>
      </c>
      <c r="H158" s="7771" t="s">
        <v>28</v>
      </c>
      <c r="I158" s="7771" t="s">
        <v>822</v>
      </c>
    </row>
    <row customHeight="1" ht="11.25">
      <c r="A159" s="7771" t="s">
        <v>2266</v>
      </c>
      <c r="B159" s="7771" t="s">
        <v>16</v>
      </c>
      <c r="C159" s="7771" t="s">
        <v>2907</v>
      </c>
      <c r="D159" s="7771" t="s">
        <v>2908</v>
      </c>
      <c r="E159" s="7771" t="s">
        <v>2909</v>
      </c>
      <c r="F159" s="7771" t="s">
        <v>2451</v>
      </c>
      <c r="G159" s="7771" t="s">
        <v>2910</v>
      </c>
      <c r="H159" s="7771" t="s">
        <v>28</v>
      </c>
      <c r="I159" s="7771" t="s">
        <v>822</v>
      </c>
    </row>
    <row customHeight="1" ht="11.25">
      <c r="A160" s="7771" t="s">
        <v>2266</v>
      </c>
      <c r="B160" s="7771" t="s">
        <v>16</v>
      </c>
      <c r="C160" s="7771" t="s">
        <v>2911</v>
      </c>
      <c r="D160" s="7771" t="s">
        <v>2912</v>
      </c>
      <c r="E160" s="7771" t="s">
        <v>2913</v>
      </c>
      <c r="F160" s="7771" t="s">
        <v>2914</v>
      </c>
      <c r="G160" s="7771" t="s">
        <v>2915</v>
      </c>
      <c r="H160" s="7771" t="s">
        <v>28</v>
      </c>
      <c r="I160" s="7771" t="s">
        <v>822</v>
      </c>
    </row>
    <row customHeight="1" ht="11.25">
      <c r="A161" s="7771" t="s">
        <v>2266</v>
      </c>
      <c r="B161" s="7771" t="s">
        <v>16</v>
      </c>
      <c r="C161" s="7771" t="s">
        <v>2916</v>
      </c>
      <c r="D161" s="7771" t="s">
        <v>2917</v>
      </c>
      <c r="E161" s="7771" t="s">
        <v>2913</v>
      </c>
      <c r="F161" s="7771" t="s">
        <v>2412</v>
      </c>
      <c r="G161" s="7771" t="s">
        <v>28</v>
      </c>
      <c r="H161" s="7771" t="s">
        <v>28</v>
      </c>
      <c r="I161" s="7771" t="s">
        <v>822</v>
      </c>
    </row>
    <row customHeight="1" ht="11.25">
      <c r="A162" s="7771" t="s">
        <v>2266</v>
      </c>
      <c r="B162" s="7771" t="s">
        <v>16</v>
      </c>
      <c r="C162" s="7771" t="s">
        <v>2918</v>
      </c>
      <c r="D162" s="7771" t="s">
        <v>2919</v>
      </c>
      <c r="E162" s="7771" t="s">
        <v>2920</v>
      </c>
      <c r="F162" s="7771" t="s">
        <v>2921</v>
      </c>
      <c r="G162" s="7771" t="s">
        <v>2922</v>
      </c>
      <c r="H162" s="7771" t="s">
        <v>28</v>
      </c>
      <c r="I162" s="7771" t="s">
        <v>822</v>
      </c>
    </row>
    <row customHeight="1" ht="11.25">
      <c r="A163" s="7771" t="s">
        <v>2266</v>
      </c>
      <c r="B163" s="7771" t="s">
        <v>16</v>
      </c>
      <c r="C163" s="7771" t="s">
        <v>2923</v>
      </c>
      <c r="D163" s="7771" t="s">
        <v>2924</v>
      </c>
      <c r="E163" s="7771" t="s">
        <v>2925</v>
      </c>
      <c r="F163" s="7771" t="s">
        <v>2430</v>
      </c>
      <c r="G163" s="7771" t="s">
        <v>28</v>
      </c>
      <c r="H163" s="7771" t="s">
        <v>28</v>
      </c>
      <c r="I163" s="7771" t="s">
        <v>822</v>
      </c>
    </row>
    <row customHeight="1" ht="11.25">
      <c r="A164" s="7771" t="s">
        <v>2266</v>
      </c>
      <c r="B164" s="7771" t="s">
        <v>16</v>
      </c>
      <c r="C164" s="7771" t="s">
        <v>2926</v>
      </c>
      <c r="D164" s="7771" t="s">
        <v>2927</v>
      </c>
      <c r="E164" s="7771" t="s">
        <v>2928</v>
      </c>
      <c r="F164" s="7771" t="s">
        <v>2451</v>
      </c>
      <c r="G164" s="7771" t="s">
        <v>2929</v>
      </c>
      <c r="H164" s="7771" t="s">
        <v>28</v>
      </c>
      <c r="I164" s="7771" t="s">
        <v>822</v>
      </c>
    </row>
    <row customHeight="1" ht="11.25">
      <c r="A165" s="7771" t="s">
        <v>2266</v>
      </c>
      <c r="B165" s="7771" t="s">
        <v>16</v>
      </c>
      <c r="C165" s="7771" t="s">
        <v>2930</v>
      </c>
      <c r="D165" s="7771" t="s">
        <v>2931</v>
      </c>
      <c r="E165" s="7771" t="s">
        <v>2932</v>
      </c>
      <c r="F165" s="7771" t="s">
        <v>2933</v>
      </c>
      <c r="G165" s="7771" t="s">
        <v>28</v>
      </c>
      <c r="H165" s="7771" t="s">
        <v>28</v>
      </c>
      <c r="I165" s="7771" t="s">
        <v>822</v>
      </c>
    </row>
    <row customHeight="1" ht="11.25">
      <c r="A166" s="7771" t="s">
        <v>2266</v>
      </c>
      <c r="B166" s="7771" t="s">
        <v>16</v>
      </c>
      <c r="C166" s="7771" t="s">
        <v>2934</v>
      </c>
      <c r="D166" s="7771" t="s">
        <v>2935</v>
      </c>
      <c r="E166" s="7771" t="s">
        <v>2936</v>
      </c>
      <c r="F166" s="7771" t="s">
        <v>2629</v>
      </c>
      <c r="G166" s="7771" t="s">
        <v>2937</v>
      </c>
      <c r="H166" s="7771" t="s">
        <v>28</v>
      </c>
      <c r="I166" s="7771" t="s">
        <v>822</v>
      </c>
    </row>
    <row customHeight="1" ht="11.25">
      <c r="A167" s="7771" t="s">
        <v>2266</v>
      </c>
      <c r="B167" s="7771" t="s">
        <v>16</v>
      </c>
      <c r="C167" s="7771" t="s">
        <v>2938</v>
      </c>
      <c r="D167" s="7771" t="s">
        <v>2939</v>
      </c>
      <c r="E167" s="7771" t="s">
        <v>2940</v>
      </c>
      <c r="F167" s="7771" t="s">
        <v>2399</v>
      </c>
      <c r="G167" s="7771" t="s">
        <v>2941</v>
      </c>
      <c r="H167" s="7771" t="s">
        <v>28</v>
      </c>
      <c r="I167" s="7771" t="s">
        <v>822</v>
      </c>
    </row>
    <row customHeight="1" ht="11.25">
      <c r="A168" s="7771" t="s">
        <v>2266</v>
      </c>
      <c r="B168" s="7771" t="s">
        <v>16</v>
      </c>
      <c r="C168" s="7771" t="s">
        <v>2942</v>
      </c>
      <c r="D168" s="7771" t="s">
        <v>2943</v>
      </c>
      <c r="E168" s="7771" t="s">
        <v>2944</v>
      </c>
      <c r="F168" s="7771" t="s">
        <v>2945</v>
      </c>
      <c r="G168" s="7771" t="s">
        <v>28</v>
      </c>
      <c r="H168" s="7771" t="s">
        <v>28</v>
      </c>
      <c r="I168" s="7771" t="s">
        <v>822</v>
      </c>
    </row>
    <row customHeight="1" ht="11.25">
      <c r="A169" s="7771" t="s">
        <v>2266</v>
      </c>
      <c r="B169" s="7771" t="s">
        <v>16</v>
      </c>
      <c r="C169" s="7771" t="s">
        <v>2946</v>
      </c>
      <c r="D169" s="7771" t="s">
        <v>2947</v>
      </c>
      <c r="E169" s="7771" t="s">
        <v>2944</v>
      </c>
      <c r="F169" s="7771" t="s">
        <v>2948</v>
      </c>
      <c r="G169" s="7771" t="s">
        <v>28</v>
      </c>
      <c r="H169" s="7771" t="s">
        <v>28</v>
      </c>
      <c r="I169" s="7771" t="s">
        <v>822</v>
      </c>
    </row>
    <row customHeight="1" ht="11.25">
      <c r="A170" s="7771" t="s">
        <v>2266</v>
      </c>
      <c r="B170" s="7771" t="s">
        <v>16</v>
      </c>
      <c r="C170" s="7771" t="s">
        <v>2949</v>
      </c>
      <c r="D170" s="7771" t="s">
        <v>2950</v>
      </c>
      <c r="E170" s="7771" t="s">
        <v>2951</v>
      </c>
      <c r="F170" s="7771" t="s">
        <v>2952</v>
      </c>
      <c r="G170" s="7771" t="s">
        <v>28</v>
      </c>
      <c r="H170" s="7771" t="s">
        <v>28</v>
      </c>
      <c r="I170" s="7771" t="s">
        <v>822</v>
      </c>
    </row>
    <row customHeight="1" ht="11.25">
      <c r="A171" s="7771" t="s">
        <v>2266</v>
      </c>
      <c r="B171" s="7771" t="s">
        <v>16</v>
      </c>
      <c r="C171" s="7771" t="s">
        <v>2953</v>
      </c>
      <c r="D171" s="7771" t="s">
        <v>2954</v>
      </c>
      <c r="E171" s="7771" t="s">
        <v>2955</v>
      </c>
      <c r="F171" s="7771" t="s">
        <v>2300</v>
      </c>
      <c r="G171" s="7771" t="s">
        <v>2956</v>
      </c>
      <c r="H171" s="7771" t="s">
        <v>28</v>
      </c>
      <c r="I171" s="7771" t="s">
        <v>822</v>
      </c>
    </row>
    <row customHeight="1" ht="11.25">
      <c r="A172" s="7771" t="s">
        <v>2266</v>
      </c>
      <c r="B172" s="7771" t="s">
        <v>16</v>
      </c>
      <c r="C172" s="7771" t="s">
        <v>2957</v>
      </c>
      <c r="D172" s="7771" t="s">
        <v>2958</v>
      </c>
      <c r="E172" s="7771" t="s">
        <v>2959</v>
      </c>
      <c r="F172" s="7771" t="s">
        <v>2285</v>
      </c>
      <c r="G172" s="7771" t="s">
        <v>28</v>
      </c>
      <c r="H172" s="7771" t="s">
        <v>28</v>
      </c>
      <c r="I172" s="7771" t="s">
        <v>822</v>
      </c>
    </row>
    <row customHeight="1" ht="11.25">
      <c r="A173" s="7771" t="s">
        <v>2266</v>
      </c>
      <c r="B173" s="7771" t="s">
        <v>16</v>
      </c>
      <c r="C173" s="7771" t="s">
        <v>2960</v>
      </c>
      <c r="D173" s="7771" t="s">
        <v>2961</v>
      </c>
      <c r="E173" s="7771" t="s">
        <v>2962</v>
      </c>
      <c r="F173" s="7771" t="s">
        <v>2813</v>
      </c>
      <c r="G173" s="7771" t="s">
        <v>2963</v>
      </c>
      <c r="H173" s="7771" t="s">
        <v>28</v>
      </c>
      <c r="I173" s="7771" t="s">
        <v>822</v>
      </c>
    </row>
    <row customHeight="1" ht="11.25">
      <c r="A174" s="7771" t="s">
        <v>2266</v>
      </c>
      <c r="B174" s="7771" t="s">
        <v>16</v>
      </c>
      <c r="C174" s="7771" t="s">
        <v>2964</v>
      </c>
      <c r="D174" s="7771" t="s">
        <v>2965</v>
      </c>
      <c r="E174" s="7771" t="s">
        <v>2966</v>
      </c>
      <c r="F174" s="7771" t="s">
        <v>2280</v>
      </c>
      <c r="G174" s="7771" t="s">
        <v>2967</v>
      </c>
      <c r="H174" s="7771" t="s">
        <v>28</v>
      </c>
      <c r="I174" s="7771" t="s">
        <v>822</v>
      </c>
    </row>
    <row customHeight="1" ht="11.25">
      <c r="A175" s="7771" t="s">
        <v>2266</v>
      </c>
      <c r="B175" s="7771" t="s">
        <v>16</v>
      </c>
      <c r="C175" s="7771" t="s">
        <v>2968</v>
      </c>
      <c r="D175" s="7771" t="s">
        <v>2969</v>
      </c>
      <c r="E175" s="7771" t="s">
        <v>2970</v>
      </c>
      <c r="F175" s="7771" t="s">
        <v>2813</v>
      </c>
      <c r="G175" s="7771" t="s">
        <v>28</v>
      </c>
      <c r="H175" s="7771" t="s">
        <v>28</v>
      </c>
      <c r="I175" s="7771" t="s">
        <v>822</v>
      </c>
    </row>
    <row customHeight="1" ht="11.25">
      <c r="A176" s="7771" t="s">
        <v>2266</v>
      </c>
      <c r="B176" s="7771" t="s">
        <v>16</v>
      </c>
      <c r="C176" s="7771" t="s">
        <v>2971</v>
      </c>
      <c r="D176" s="7771" t="s">
        <v>2972</v>
      </c>
      <c r="E176" s="7771" t="s">
        <v>2973</v>
      </c>
      <c r="F176" s="7771" t="s">
        <v>2629</v>
      </c>
      <c r="G176" s="7771" t="s">
        <v>2974</v>
      </c>
      <c r="H176" s="7771" t="s">
        <v>28</v>
      </c>
      <c r="I176" s="7771" t="s">
        <v>822</v>
      </c>
    </row>
    <row customHeight="1" ht="11.25">
      <c r="A177" s="7771" t="s">
        <v>2266</v>
      </c>
      <c r="B177" s="7771" t="s">
        <v>16</v>
      </c>
      <c r="C177" s="7771" t="s">
        <v>2975</v>
      </c>
      <c r="D177" s="7771" t="s">
        <v>2976</v>
      </c>
      <c r="E177" s="7771" t="s">
        <v>2977</v>
      </c>
      <c r="F177" s="7771" t="s">
        <v>2468</v>
      </c>
      <c r="G177" s="7771" t="s">
        <v>28</v>
      </c>
      <c r="H177" s="7771" t="s">
        <v>28</v>
      </c>
      <c r="I177" s="7771" t="s">
        <v>822</v>
      </c>
    </row>
    <row customHeight="1" ht="11.25">
      <c r="A178" s="7771" t="s">
        <v>2266</v>
      </c>
      <c r="B178" s="7771" t="s">
        <v>16</v>
      </c>
      <c r="C178" s="7771" t="s">
        <v>2978</v>
      </c>
      <c r="D178" s="7771" t="s">
        <v>2979</v>
      </c>
      <c r="E178" s="7771" t="s">
        <v>2980</v>
      </c>
      <c r="F178" s="7771" t="s">
        <v>2981</v>
      </c>
      <c r="G178" s="7771" t="s">
        <v>28</v>
      </c>
      <c r="H178" s="7771" t="s">
        <v>28</v>
      </c>
      <c r="I178" s="7771" t="s">
        <v>822</v>
      </c>
    </row>
    <row customHeight="1" ht="11.25">
      <c r="A179" s="7771" t="s">
        <v>2266</v>
      </c>
      <c r="B179" s="7771" t="s">
        <v>16</v>
      </c>
      <c r="C179" s="7771" t="s">
        <v>2982</v>
      </c>
      <c r="D179" s="7771" t="s">
        <v>2983</v>
      </c>
      <c r="E179" s="7771" t="s">
        <v>2984</v>
      </c>
      <c r="F179" s="7771" t="s">
        <v>2800</v>
      </c>
      <c r="G179" s="7771" t="s">
        <v>28</v>
      </c>
      <c r="H179" s="7771" t="s">
        <v>28</v>
      </c>
      <c r="I179" s="7771" t="s">
        <v>822</v>
      </c>
    </row>
    <row customHeight="1" ht="11.25">
      <c r="A180" s="7771" t="s">
        <v>2266</v>
      </c>
      <c r="B180" s="7771" t="s">
        <v>16</v>
      </c>
      <c r="C180" s="7771" t="s">
        <v>2985</v>
      </c>
      <c r="D180" s="7771" t="s">
        <v>2986</v>
      </c>
      <c r="E180" s="7771" t="s">
        <v>2987</v>
      </c>
      <c r="F180" s="7771" t="s">
        <v>2988</v>
      </c>
      <c r="G180" s="7771" t="s">
        <v>2989</v>
      </c>
      <c r="H180" s="7771" t="s">
        <v>28</v>
      </c>
      <c r="I180" s="7771" t="s">
        <v>822</v>
      </c>
    </row>
    <row customHeight="1" ht="11.25">
      <c r="A181" s="7771" t="s">
        <v>2266</v>
      </c>
      <c r="B181" s="7771" t="s">
        <v>16</v>
      </c>
      <c r="C181" s="7771" t="s">
        <v>2990</v>
      </c>
      <c r="D181" s="7771" t="s">
        <v>2991</v>
      </c>
      <c r="E181" s="7771" t="s">
        <v>2992</v>
      </c>
      <c r="F181" s="7771" t="s">
        <v>2372</v>
      </c>
      <c r="G181" s="7771" t="s">
        <v>2993</v>
      </c>
      <c r="H181" s="7771" t="s">
        <v>28</v>
      </c>
      <c r="I181" s="7771" t="s">
        <v>822</v>
      </c>
    </row>
    <row customHeight="1" ht="11.25">
      <c r="A182" s="7771" t="s">
        <v>2266</v>
      </c>
      <c r="B182" s="7771" t="s">
        <v>16</v>
      </c>
      <c r="C182" s="7771" t="s">
        <v>2994</v>
      </c>
      <c r="D182" s="7771" t="s">
        <v>2995</v>
      </c>
      <c r="E182" s="7771" t="s">
        <v>2996</v>
      </c>
      <c r="F182" s="7771" t="s">
        <v>2629</v>
      </c>
      <c r="G182" s="7771" t="s">
        <v>28</v>
      </c>
      <c r="H182" s="7771" t="s">
        <v>28</v>
      </c>
      <c r="I182" s="7771" t="s">
        <v>822</v>
      </c>
    </row>
    <row customHeight="1" ht="11.25">
      <c r="A183" s="7771" t="s">
        <v>2266</v>
      </c>
      <c r="B183" s="7771" t="s">
        <v>16</v>
      </c>
      <c r="C183" s="7771" t="s">
        <v>2997</v>
      </c>
      <c r="D183" s="7771" t="s">
        <v>2998</v>
      </c>
      <c r="E183" s="7771" t="s">
        <v>2310</v>
      </c>
      <c r="F183" s="7771" t="s">
        <v>2463</v>
      </c>
      <c r="G183" s="7771" t="s">
        <v>28</v>
      </c>
      <c r="H183" s="7771" t="s">
        <v>28</v>
      </c>
      <c r="I183" s="7771" t="s">
        <v>822</v>
      </c>
    </row>
    <row customHeight="1" ht="11.25">
      <c r="A184" s="7771" t="s">
        <v>2266</v>
      </c>
      <c r="B184" s="7771" t="s">
        <v>16</v>
      </c>
      <c r="C184" s="7771" t="s">
        <v>2999</v>
      </c>
      <c r="D184" s="7771" t="s">
        <v>3000</v>
      </c>
      <c r="E184" s="7771" t="s">
        <v>3001</v>
      </c>
      <c r="F184" s="7771" t="s">
        <v>590</v>
      </c>
      <c r="G184" s="7771" t="s">
        <v>3002</v>
      </c>
      <c r="H184" s="7771" t="s">
        <v>28</v>
      </c>
      <c r="I184" s="7771" t="s">
        <v>822</v>
      </c>
    </row>
    <row customHeight="1" ht="11.25">
      <c r="A185" s="7771" t="s">
        <v>2266</v>
      </c>
      <c r="B185" s="7771" t="s">
        <v>16</v>
      </c>
      <c r="C185" s="7771" t="s">
        <v>3003</v>
      </c>
      <c r="D185" s="7771" t="s">
        <v>3004</v>
      </c>
      <c r="E185" s="7771" t="s">
        <v>3005</v>
      </c>
      <c r="F185" s="7771" t="s">
        <v>590</v>
      </c>
      <c r="G185" s="7771" t="s">
        <v>3006</v>
      </c>
      <c r="H185" s="7771" t="s">
        <v>28</v>
      </c>
      <c r="I185" s="7771" t="s">
        <v>822</v>
      </c>
    </row>
    <row customHeight="1" ht="11.25">
      <c r="A186" s="7771" t="s">
        <v>2266</v>
      </c>
      <c r="B186" s="7771" t="s">
        <v>16</v>
      </c>
      <c r="C186" s="7771" t="s">
        <v>3007</v>
      </c>
      <c r="D186" s="7771" t="s">
        <v>3008</v>
      </c>
      <c r="E186" s="7771" t="s">
        <v>3009</v>
      </c>
      <c r="F186" s="7771" t="s">
        <v>590</v>
      </c>
      <c r="G186" s="7771" t="s">
        <v>3010</v>
      </c>
      <c r="H186" s="7771" t="s">
        <v>28</v>
      </c>
      <c r="I186" s="7771" t="s">
        <v>822</v>
      </c>
    </row>
    <row customHeight="1" ht="11.25">
      <c r="A187" s="7771" t="s">
        <v>2266</v>
      </c>
      <c r="B187" s="7771" t="s">
        <v>16</v>
      </c>
      <c r="C187" s="7771" t="s">
        <v>28</v>
      </c>
      <c r="D187" s="7771" t="s">
        <v>3011</v>
      </c>
      <c r="E187" s="7771" t="s">
        <v>3012</v>
      </c>
      <c r="F187" s="7771" t="s">
        <v>2285</v>
      </c>
      <c r="G187" s="7771" t="s">
        <v>28</v>
      </c>
      <c r="H187" s="7771" t="s">
        <v>28</v>
      </c>
      <c r="I187" s="7771" t="s">
        <v>822</v>
      </c>
    </row>
    <row customHeight="1" ht="11.25">
      <c r="A188" s="7771" t="s">
        <v>2266</v>
      </c>
      <c r="B188" s="7771" t="s">
        <v>16</v>
      </c>
      <c r="C188" s="7771" t="s">
        <v>3013</v>
      </c>
      <c r="D188" s="7771" t="s">
        <v>3014</v>
      </c>
      <c r="E188" s="7771" t="s">
        <v>3015</v>
      </c>
      <c r="F188" s="7771" t="s">
        <v>3016</v>
      </c>
      <c r="G188" s="7771" t="s">
        <v>3017</v>
      </c>
      <c r="H188" s="7771" t="s">
        <v>28</v>
      </c>
      <c r="I188" s="7771" t="s">
        <v>822</v>
      </c>
    </row>
    <row customHeight="1" ht="11.25">
      <c r="A189" s="7771" t="s">
        <v>2266</v>
      </c>
      <c r="B189" s="7771" t="s">
        <v>16</v>
      </c>
      <c r="C189" s="7771" t="s">
        <v>3018</v>
      </c>
      <c r="D189" s="7771" t="s">
        <v>3019</v>
      </c>
      <c r="E189" s="7771" t="s">
        <v>3020</v>
      </c>
      <c r="F189" s="7771" t="s">
        <v>2377</v>
      </c>
      <c r="G189" s="7771" t="s">
        <v>28</v>
      </c>
      <c r="H189" s="7771" t="s">
        <v>28</v>
      </c>
      <c r="I189" s="7771" t="s">
        <v>822</v>
      </c>
    </row>
    <row customHeight="1" ht="11.25">
      <c r="A190" s="7771" t="s">
        <v>2266</v>
      </c>
      <c r="B190" s="7771" t="s">
        <v>16</v>
      </c>
      <c r="C190" s="7771" t="s">
        <v>3021</v>
      </c>
      <c r="D190" s="7771" t="s">
        <v>3022</v>
      </c>
      <c r="E190" s="7771" t="s">
        <v>3023</v>
      </c>
      <c r="F190" s="7771" t="s">
        <v>2425</v>
      </c>
      <c r="G190" s="7771" t="s">
        <v>28</v>
      </c>
      <c r="H190" s="7771" t="s">
        <v>28</v>
      </c>
      <c r="I190" s="7771" t="s">
        <v>822</v>
      </c>
    </row>
    <row customHeight="1" ht="11.25">
      <c r="A191" s="7771" t="s">
        <v>2266</v>
      </c>
      <c r="B191" s="7771" t="s">
        <v>16</v>
      </c>
      <c r="C191" s="7771" t="s">
        <v>3024</v>
      </c>
      <c r="D191" s="7771" t="s">
        <v>3025</v>
      </c>
      <c r="E191" s="7771" t="s">
        <v>3026</v>
      </c>
      <c r="F191" s="7771" t="s">
        <v>3027</v>
      </c>
      <c r="G191" s="7771" t="s">
        <v>3028</v>
      </c>
      <c r="H191" s="7771" t="s">
        <v>28</v>
      </c>
      <c r="I191" s="7771" t="s">
        <v>822</v>
      </c>
    </row>
    <row customHeight="1" ht="11.25">
      <c r="A192" s="7771" t="s">
        <v>2266</v>
      </c>
      <c r="B192" s="7771" t="s">
        <v>16</v>
      </c>
      <c r="C192" s="7771" t="s">
        <v>3029</v>
      </c>
      <c r="D192" s="7771" t="s">
        <v>3030</v>
      </c>
      <c r="E192" s="7771" t="s">
        <v>3031</v>
      </c>
      <c r="F192" s="7771" t="s">
        <v>2441</v>
      </c>
      <c r="G192" s="7771" t="s">
        <v>3032</v>
      </c>
      <c r="H192" s="7771" t="s">
        <v>28</v>
      </c>
      <c r="I192" s="7771" t="s">
        <v>822</v>
      </c>
    </row>
    <row customHeight="1" ht="11.25">
      <c r="A193" s="7771" t="s">
        <v>2266</v>
      </c>
      <c r="B193" s="7771" t="s">
        <v>16</v>
      </c>
      <c r="C193" s="7771" t="s">
        <v>3033</v>
      </c>
      <c r="D193" s="7771" t="s">
        <v>3034</v>
      </c>
      <c r="E193" s="7771" t="s">
        <v>3035</v>
      </c>
      <c r="F193" s="7771" t="s">
        <v>3036</v>
      </c>
      <c r="G193" s="7771" t="s">
        <v>28</v>
      </c>
      <c r="H193" s="7771" t="s">
        <v>28</v>
      </c>
      <c r="I193" s="7771" t="s">
        <v>822</v>
      </c>
    </row>
    <row customHeight="1" ht="11.25">
      <c r="A194" s="7771" t="s">
        <v>2266</v>
      </c>
      <c r="B194" s="7771" t="s">
        <v>16</v>
      </c>
      <c r="C194" s="7771" t="s">
        <v>3037</v>
      </c>
      <c r="D194" s="7771" t="s">
        <v>3038</v>
      </c>
      <c r="E194" s="7771" t="s">
        <v>3039</v>
      </c>
      <c r="F194" s="7771" t="s">
        <v>2829</v>
      </c>
      <c r="G194" s="7771" t="s">
        <v>3040</v>
      </c>
      <c r="H194" s="7771" t="s">
        <v>28</v>
      </c>
      <c r="I194" s="7771" t="s">
        <v>822</v>
      </c>
    </row>
    <row customHeight="1" ht="11.25">
      <c r="A195" s="7771" t="s">
        <v>2266</v>
      </c>
      <c r="B195" s="7771" t="s">
        <v>16</v>
      </c>
      <c r="C195" s="7771" t="s">
        <v>3041</v>
      </c>
      <c r="D195" s="7771" t="s">
        <v>3042</v>
      </c>
      <c r="E195" s="7771" t="s">
        <v>3043</v>
      </c>
      <c r="F195" s="7771" t="s">
        <v>2981</v>
      </c>
      <c r="G195" s="7771" t="s">
        <v>28</v>
      </c>
      <c r="H195" s="7771" t="s">
        <v>28</v>
      </c>
      <c r="I195" s="7771" t="s">
        <v>822</v>
      </c>
    </row>
    <row customHeight="1" ht="11.25">
      <c r="A196" s="7771" t="s">
        <v>2266</v>
      </c>
      <c r="B196" s="7771" t="s">
        <v>16</v>
      </c>
      <c r="C196" s="7771" t="s">
        <v>3044</v>
      </c>
      <c r="D196" s="7771" t="s">
        <v>3045</v>
      </c>
      <c r="E196" s="7771" t="s">
        <v>3046</v>
      </c>
      <c r="F196" s="7771" t="s">
        <v>2360</v>
      </c>
      <c r="G196" s="7771" t="s">
        <v>3047</v>
      </c>
      <c r="H196" s="7771" t="s">
        <v>28</v>
      </c>
      <c r="I196" s="7771" t="s">
        <v>822</v>
      </c>
    </row>
    <row customHeight="1" ht="11.25">
      <c r="A197" s="7771" t="s">
        <v>2266</v>
      </c>
      <c r="B197" s="7771" t="s">
        <v>16</v>
      </c>
      <c r="C197" s="7771" t="s">
        <v>3048</v>
      </c>
      <c r="D197" s="7771" t="s">
        <v>3049</v>
      </c>
      <c r="E197" s="7771" t="s">
        <v>3050</v>
      </c>
      <c r="F197" s="7771" t="s">
        <v>2451</v>
      </c>
      <c r="G197" s="7771" t="s">
        <v>3051</v>
      </c>
      <c r="H197" s="7771" t="s">
        <v>28</v>
      </c>
      <c r="I197" s="7771" t="s">
        <v>822</v>
      </c>
    </row>
    <row customHeight="1" ht="11.25">
      <c r="A198" s="7771" t="s">
        <v>2266</v>
      </c>
      <c r="B198" s="7771" t="s">
        <v>16</v>
      </c>
      <c r="C198" s="7771" t="s">
        <v>3052</v>
      </c>
      <c r="D198" s="7771" t="s">
        <v>3053</v>
      </c>
      <c r="E198" s="7771" t="s">
        <v>3054</v>
      </c>
      <c r="F198" s="7771" t="s">
        <v>2592</v>
      </c>
      <c r="G198" s="7771" t="s">
        <v>3055</v>
      </c>
      <c r="H198" s="7771" t="s">
        <v>28</v>
      </c>
      <c r="I198" s="7771" t="s">
        <v>822</v>
      </c>
    </row>
    <row customHeight="1" ht="11.25">
      <c r="A199" s="7771" t="s">
        <v>2266</v>
      </c>
      <c r="B199" s="7771" t="s">
        <v>16</v>
      </c>
      <c r="C199" s="7771" t="s">
        <v>3056</v>
      </c>
      <c r="D199" s="7771" t="s">
        <v>3057</v>
      </c>
      <c r="E199" s="7771" t="s">
        <v>3058</v>
      </c>
      <c r="F199" s="7771" t="s">
        <v>2360</v>
      </c>
      <c r="G199" s="7771" t="s">
        <v>28</v>
      </c>
      <c r="H199" s="7771" t="s">
        <v>28</v>
      </c>
      <c r="I199" s="7771" t="s">
        <v>822</v>
      </c>
    </row>
    <row customHeight="1" ht="11.25">
      <c r="A200" s="7771" t="s">
        <v>2266</v>
      </c>
      <c r="B200" s="7771" t="s">
        <v>16</v>
      </c>
      <c r="C200" s="7771" t="s">
        <v>3059</v>
      </c>
      <c r="D200" s="7771" t="s">
        <v>3060</v>
      </c>
      <c r="E200" s="7771" t="s">
        <v>3061</v>
      </c>
      <c r="F200" s="7771" t="s">
        <v>2360</v>
      </c>
      <c r="G200" s="7771" t="s">
        <v>3062</v>
      </c>
      <c r="H200" s="7771" t="s">
        <v>28</v>
      </c>
      <c r="I200" s="7771" t="s">
        <v>822</v>
      </c>
    </row>
    <row customHeight="1" ht="11.25">
      <c r="A201" s="7771" t="s">
        <v>2266</v>
      </c>
      <c r="B201" s="7771" t="s">
        <v>16</v>
      </c>
      <c r="C201" s="7771" t="s">
        <v>3063</v>
      </c>
      <c r="D201" s="7771" t="s">
        <v>3064</v>
      </c>
      <c r="E201" s="7771" t="s">
        <v>3065</v>
      </c>
      <c r="F201" s="7771" t="s">
        <v>3066</v>
      </c>
      <c r="G201" s="7771" t="s">
        <v>28</v>
      </c>
      <c r="H201" s="7771" t="s">
        <v>28</v>
      </c>
      <c r="I201" s="7771" t="s">
        <v>822</v>
      </c>
    </row>
    <row customHeight="1" ht="11.25">
      <c r="A202" s="7771" t="s">
        <v>2266</v>
      </c>
      <c r="B202" s="7771" t="s">
        <v>16</v>
      </c>
      <c r="C202" s="7771" t="s">
        <v>3067</v>
      </c>
      <c r="D202" s="7771" t="s">
        <v>3068</v>
      </c>
      <c r="E202" s="7771" t="s">
        <v>3069</v>
      </c>
      <c r="F202" s="7771" t="s">
        <v>2451</v>
      </c>
      <c r="G202" s="7771" t="s">
        <v>2825</v>
      </c>
      <c r="H202" s="7771" t="s">
        <v>28</v>
      </c>
      <c r="I202" s="7771" t="s">
        <v>822</v>
      </c>
    </row>
    <row customHeight="1" ht="11.25">
      <c r="A203" s="7771" t="s">
        <v>2266</v>
      </c>
      <c r="B203" s="7771" t="s">
        <v>16</v>
      </c>
      <c r="C203" s="7771" t="s">
        <v>3070</v>
      </c>
      <c r="D203" s="7771" t="s">
        <v>3071</v>
      </c>
      <c r="E203" s="7771" t="s">
        <v>3072</v>
      </c>
      <c r="F203" s="7771" t="s">
        <v>2473</v>
      </c>
      <c r="G203" s="7771" t="s">
        <v>3073</v>
      </c>
      <c r="H203" s="7771" t="s">
        <v>28</v>
      </c>
      <c r="I203" s="7771" t="s">
        <v>822</v>
      </c>
    </row>
    <row customHeight="1" ht="11.25">
      <c r="A204" s="7771" t="s">
        <v>2266</v>
      </c>
      <c r="B204" s="7771" t="s">
        <v>16</v>
      </c>
      <c r="C204" s="7771" t="s">
        <v>3074</v>
      </c>
      <c r="D204" s="7771" t="s">
        <v>3075</v>
      </c>
      <c r="E204" s="7771" t="s">
        <v>3076</v>
      </c>
      <c r="F204" s="7771" t="s">
        <v>2330</v>
      </c>
      <c r="G204" s="7771" t="s">
        <v>3077</v>
      </c>
      <c r="H204" s="7771" t="s">
        <v>28</v>
      </c>
      <c r="I204" s="7771" t="s">
        <v>822</v>
      </c>
    </row>
    <row customHeight="1" ht="11.25">
      <c r="A205" s="7771" t="s">
        <v>2266</v>
      </c>
      <c r="B205" s="7771" t="s">
        <v>16</v>
      </c>
      <c r="C205" s="7771" t="s">
        <v>3078</v>
      </c>
      <c r="D205" s="7771" t="s">
        <v>3079</v>
      </c>
      <c r="E205" s="7771" t="s">
        <v>3080</v>
      </c>
      <c r="F205" s="7771" t="s">
        <v>2280</v>
      </c>
      <c r="G205" s="7771" t="s">
        <v>3081</v>
      </c>
      <c r="H205" s="7771" t="s">
        <v>28</v>
      </c>
      <c r="I205" s="7771" t="s">
        <v>822</v>
      </c>
    </row>
    <row customHeight="1" ht="11.25">
      <c r="A206" s="7771" t="s">
        <v>2266</v>
      </c>
      <c r="B206" s="7771" t="s">
        <v>16</v>
      </c>
      <c r="C206" s="7771" t="s">
        <v>3082</v>
      </c>
      <c r="D206" s="7771" t="s">
        <v>3083</v>
      </c>
      <c r="E206" s="7771" t="s">
        <v>3084</v>
      </c>
      <c r="F206" s="7771" t="s">
        <v>2280</v>
      </c>
      <c r="G206" s="7771" t="s">
        <v>28</v>
      </c>
      <c r="H206" s="7771" t="s">
        <v>28</v>
      </c>
      <c r="I206" s="7771" t="s">
        <v>822</v>
      </c>
    </row>
    <row customHeight="1" ht="11.25">
      <c r="A207" s="7771" t="s">
        <v>2266</v>
      </c>
      <c r="B207" s="7771" t="s">
        <v>16</v>
      </c>
      <c r="C207" s="7771" t="s">
        <v>3085</v>
      </c>
      <c r="D207" s="7771" t="s">
        <v>3086</v>
      </c>
      <c r="E207" s="7771" t="s">
        <v>3087</v>
      </c>
      <c r="F207" s="7771" t="s">
        <v>2468</v>
      </c>
      <c r="G207" s="7771" t="s">
        <v>3088</v>
      </c>
      <c r="H207" s="7771" t="s">
        <v>28</v>
      </c>
      <c r="I207" s="7771" t="s">
        <v>822</v>
      </c>
    </row>
    <row customHeight="1" ht="11.25">
      <c r="A208" s="7771" t="s">
        <v>2266</v>
      </c>
      <c r="B208" s="7771" t="s">
        <v>16</v>
      </c>
      <c r="C208" s="7771" t="s">
        <v>3089</v>
      </c>
      <c r="D208" s="7771" t="s">
        <v>3090</v>
      </c>
      <c r="E208" s="7771" t="s">
        <v>3091</v>
      </c>
      <c r="F208" s="7771" t="s">
        <v>2425</v>
      </c>
      <c r="G208" s="7771" t="s">
        <v>3092</v>
      </c>
      <c r="H208" s="7771" t="s">
        <v>28</v>
      </c>
      <c r="I208" s="7771" t="s">
        <v>822</v>
      </c>
    </row>
    <row customHeight="1" ht="11.25">
      <c r="A209" s="7771" t="s">
        <v>2266</v>
      </c>
      <c r="B209" s="7771" t="s">
        <v>16</v>
      </c>
      <c r="C209" s="7771" t="s">
        <v>3093</v>
      </c>
      <c r="D209" s="7771" t="s">
        <v>3094</v>
      </c>
      <c r="E209" s="7771" t="s">
        <v>3095</v>
      </c>
      <c r="F209" s="7771" t="s">
        <v>2412</v>
      </c>
      <c r="G209" s="7771" t="s">
        <v>3096</v>
      </c>
      <c r="H209" s="7771" t="s">
        <v>28</v>
      </c>
      <c r="I209" s="7771" t="s">
        <v>822</v>
      </c>
    </row>
    <row customHeight="1" ht="11.25">
      <c r="A210" s="7771" t="s">
        <v>2266</v>
      </c>
      <c r="B210" s="7771" t="s">
        <v>16</v>
      </c>
      <c r="C210" s="7771" t="s">
        <v>3097</v>
      </c>
      <c r="D210" s="7771" t="s">
        <v>3098</v>
      </c>
      <c r="E210" s="7771" t="s">
        <v>3099</v>
      </c>
      <c r="F210" s="7771" t="s">
        <v>2399</v>
      </c>
      <c r="G210" s="7771" t="s">
        <v>28</v>
      </c>
      <c r="H210" s="7771" t="s">
        <v>28</v>
      </c>
      <c r="I210" s="7771" t="s">
        <v>822</v>
      </c>
    </row>
    <row customHeight="1" ht="11.25">
      <c r="A211" s="7771" t="s">
        <v>2266</v>
      </c>
      <c r="B211" s="7771" t="s">
        <v>16</v>
      </c>
      <c r="C211" s="7771" t="s">
        <v>3100</v>
      </c>
      <c r="D211" s="7771" t="s">
        <v>3101</v>
      </c>
      <c r="E211" s="7771" t="s">
        <v>3102</v>
      </c>
      <c r="F211" s="7771" t="s">
        <v>2372</v>
      </c>
      <c r="G211" s="7771" t="s">
        <v>3103</v>
      </c>
      <c r="H211" s="7771" t="s">
        <v>28</v>
      </c>
      <c r="I211" s="7771" t="s">
        <v>822</v>
      </c>
    </row>
    <row customHeight="1" ht="11.25">
      <c r="A212" s="7771" t="s">
        <v>2266</v>
      </c>
      <c r="B212" s="7771" t="s">
        <v>16</v>
      </c>
      <c r="C212" s="7771" t="s">
        <v>3104</v>
      </c>
      <c r="D212" s="7771" t="s">
        <v>3105</v>
      </c>
      <c r="E212" s="7771" t="s">
        <v>3106</v>
      </c>
      <c r="F212" s="7771" t="s">
        <v>2347</v>
      </c>
      <c r="G212" s="7771" t="s">
        <v>3107</v>
      </c>
      <c r="H212" s="7771" t="s">
        <v>28</v>
      </c>
      <c r="I212" s="7771" t="s">
        <v>822</v>
      </c>
    </row>
    <row customHeight="1" ht="11.25">
      <c r="A213" s="7771" t="s">
        <v>2266</v>
      </c>
      <c r="B213" s="7771" t="s">
        <v>16</v>
      </c>
      <c r="C213" s="7771" t="s">
        <v>3108</v>
      </c>
      <c r="D213" s="7771" t="s">
        <v>3109</v>
      </c>
      <c r="E213" s="7771" t="s">
        <v>3110</v>
      </c>
      <c r="F213" s="7771" t="s">
        <v>3111</v>
      </c>
      <c r="G213" s="7771" t="s">
        <v>3112</v>
      </c>
      <c r="H213" s="7771" t="s">
        <v>28</v>
      </c>
      <c r="I213" s="7771" t="s">
        <v>822</v>
      </c>
    </row>
    <row customHeight="1" ht="11.25">
      <c r="A214" s="7771" t="s">
        <v>2266</v>
      </c>
      <c r="B214" s="7771" t="s">
        <v>16</v>
      </c>
      <c r="C214" s="7771" t="s">
        <v>3113</v>
      </c>
      <c r="D214" s="7771" t="s">
        <v>3114</v>
      </c>
      <c r="E214" s="7771" t="s">
        <v>3115</v>
      </c>
      <c r="F214" s="7771" t="s">
        <v>2280</v>
      </c>
      <c r="G214" s="7771" t="s">
        <v>3116</v>
      </c>
      <c r="H214" s="7771" t="s">
        <v>28</v>
      </c>
      <c r="I214" s="7771" t="s">
        <v>822</v>
      </c>
    </row>
    <row customHeight="1" ht="11.25">
      <c r="A215" s="7771" t="s">
        <v>2266</v>
      </c>
      <c r="B215" s="7771" t="s">
        <v>16</v>
      </c>
      <c r="C215" s="7771" t="s">
        <v>3117</v>
      </c>
      <c r="D215" s="7771" t="s">
        <v>3118</v>
      </c>
      <c r="E215" s="7771" t="s">
        <v>3119</v>
      </c>
      <c r="F215" s="7771" t="s">
        <v>3120</v>
      </c>
      <c r="G215" s="7771" t="s">
        <v>3121</v>
      </c>
      <c r="H215" s="7771" t="s">
        <v>28</v>
      </c>
      <c r="I215" s="7771" t="s">
        <v>822</v>
      </c>
    </row>
    <row customHeight="1" ht="11.25">
      <c r="A216" s="7771" t="s">
        <v>2266</v>
      </c>
      <c r="B216" s="7771" t="s">
        <v>16</v>
      </c>
      <c r="C216" s="7771" t="s">
        <v>3122</v>
      </c>
      <c r="D216" s="7771" t="s">
        <v>3123</v>
      </c>
      <c r="E216" s="7771" t="s">
        <v>3124</v>
      </c>
      <c r="F216" s="7771" t="s">
        <v>3125</v>
      </c>
      <c r="G216" s="7771" t="s">
        <v>3126</v>
      </c>
      <c r="H216" s="7771" t="s">
        <v>28</v>
      </c>
      <c r="I216" s="7771" t="s">
        <v>822</v>
      </c>
    </row>
    <row customHeight="1" ht="11.25">
      <c r="A217" s="7771" t="s">
        <v>2266</v>
      </c>
      <c r="B217" s="7771" t="s">
        <v>16</v>
      </c>
      <c r="C217" s="7771" t="s">
        <v>3127</v>
      </c>
      <c r="D217" s="7771" t="s">
        <v>3128</v>
      </c>
      <c r="E217" s="7771" t="s">
        <v>3129</v>
      </c>
      <c r="F217" s="7771" t="s">
        <v>2655</v>
      </c>
      <c r="G217" s="7771" t="s">
        <v>3130</v>
      </c>
      <c r="H217" s="7771" t="s">
        <v>28</v>
      </c>
      <c r="I217" s="7771" t="s">
        <v>822</v>
      </c>
    </row>
    <row customHeight="1" ht="11.25">
      <c r="A218" s="7771" t="s">
        <v>2266</v>
      </c>
      <c r="B218" s="7771" t="s">
        <v>16</v>
      </c>
      <c r="C218" s="7771" t="s">
        <v>3131</v>
      </c>
      <c r="D218" s="7771" t="s">
        <v>3132</v>
      </c>
      <c r="E218" s="7771" t="s">
        <v>3133</v>
      </c>
      <c r="F218" s="7771" t="s">
        <v>2377</v>
      </c>
      <c r="G218" s="7771" t="s">
        <v>3134</v>
      </c>
      <c r="H218" s="7771" t="s">
        <v>28</v>
      </c>
      <c r="I218" s="7771" t="s">
        <v>822</v>
      </c>
    </row>
    <row customHeight="1" ht="11.25">
      <c r="A219" s="7771" t="s">
        <v>2266</v>
      </c>
      <c r="B219" s="7771" t="s">
        <v>16</v>
      </c>
      <c r="C219" s="7771" t="s">
        <v>3135</v>
      </c>
      <c r="D219" s="7771" t="s">
        <v>3136</v>
      </c>
      <c r="E219" s="7771" t="s">
        <v>3137</v>
      </c>
      <c r="F219" s="7771" t="s">
        <v>2655</v>
      </c>
      <c r="G219" s="7771" t="s">
        <v>3138</v>
      </c>
      <c r="H219" s="7771" t="s">
        <v>28</v>
      </c>
      <c r="I219" s="7771" t="s">
        <v>822</v>
      </c>
    </row>
    <row customHeight="1" ht="11.25">
      <c r="A220" s="7771" t="s">
        <v>2266</v>
      </c>
      <c r="B220" s="7771" t="s">
        <v>16</v>
      </c>
      <c r="C220" s="7771" t="s">
        <v>3139</v>
      </c>
      <c r="D220" s="7771" t="s">
        <v>3140</v>
      </c>
      <c r="E220" s="7771" t="s">
        <v>3141</v>
      </c>
      <c r="F220" s="7771" t="s">
        <v>2320</v>
      </c>
      <c r="G220" s="7771" t="s">
        <v>28</v>
      </c>
      <c r="H220" s="7771" t="s">
        <v>28</v>
      </c>
      <c r="I220" s="7771" t="s">
        <v>822</v>
      </c>
    </row>
    <row customHeight="1" ht="11.25">
      <c r="A221" s="7771" t="s">
        <v>2266</v>
      </c>
      <c r="B221" s="7771" t="s">
        <v>16</v>
      </c>
      <c r="C221" s="7771" t="s">
        <v>3142</v>
      </c>
      <c r="D221" s="7771" t="s">
        <v>3143</v>
      </c>
      <c r="E221" s="7771" t="s">
        <v>3144</v>
      </c>
      <c r="F221" s="7771" t="s">
        <v>2399</v>
      </c>
      <c r="G221" s="7771" t="s">
        <v>3145</v>
      </c>
      <c r="H221" s="7771" t="s">
        <v>28</v>
      </c>
      <c r="I221" s="7771" t="s">
        <v>822</v>
      </c>
    </row>
    <row customHeight="1" ht="11.25">
      <c r="A222" s="7771" t="s">
        <v>2266</v>
      </c>
      <c r="B222" s="7771" t="s">
        <v>16</v>
      </c>
      <c r="C222" s="7771" t="s">
        <v>3146</v>
      </c>
      <c r="D222" s="7771" t="s">
        <v>3147</v>
      </c>
      <c r="E222" s="7771" t="s">
        <v>3148</v>
      </c>
      <c r="F222" s="7771" t="s">
        <v>2629</v>
      </c>
      <c r="G222" s="7771" t="s">
        <v>3149</v>
      </c>
      <c r="H222" s="7771" t="s">
        <v>28</v>
      </c>
      <c r="I222" s="7771" t="s">
        <v>822</v>
      </c>
    </row>
    <row customHeight="1" ht="11.25">
      <c r="A223" s="7771" t="s">
        <v>2266</v>
      </c>
      <c r="B223" s="7771" t="s">
        <v>16</v>
      </c>
      <c r="C223" s="7771" t="s">
        <v>3150</v>
      </c>
      <c r="D223" s="7771" t="s">
        <v>3151</v>
      </c>
      <c r="E223" s="7771" t="s">
        <v>3152</v>
      </c>
      <c r="F223" s="7771" t="s">
        <v>2412</v>
      </c>
      <c r="G223" s="7771" t="s">
        <v>3153</v>
      </c>
      <c r="H223" s="7771" t="s">
        <v>28</v>
      </c>
      <c r="I223" s="7771" t="s">
        <v>822</v>
      </c>
    </row>
    <row customHeight="1" ht="11.25">
      <c r="A224" s="7771" t="s">
        <v>2266</v>
      </c>
      <c r="B224" s="7771" t="s">
        <v>16</v>
      </c>
      <c r="C224" s="7771" t="s">
        <v>3154</v>
      </c>
      <c r="D224" s="7771" t="s">
        <v>3155</v>
      </c>
      <c r="E224" s="7771" t="s">
        <v>3156</v>
      </c>
      <c r="F224" s="7771" t="s">
        <v>3157</v>
      </c>
      <c r="G224" s="7771" t="s">
        <v>3158</v>
      </c>
      <c r="H224" s="7771" t="s">
        <v>28</v>
      </c>
      <c r="I224" s="7771" t="s">
        <v>822</v>
      </c>
    </row>
    <row customHeight="1" ht="11.25">
      <c r="A225" s="7771" t="s">
        <v>2266</v>
      </c>
      <c r="B225" s="7771" t="s">
        <v>16</v>
      </c>
      <c r="C225" s="7771" t="s">
        <v>3159</v>
      </c>
      <c r="D225" s="7771" t="s">
        <v>3160</v>
      </c>
      <c r="E225" s="7771" t="s">
        <v>3161</v>
      </c>
      <c r="F225" s="7771" t="s">
        <v>2655</v>
      </c>
      <c r="G225" s="7771" t="s">
        <v>3162</v>
      </c>
      <c r="H225" s="7771" t="s">
        <v>28</v>
      </c>
      <c r="I225" s="7771" t="s">
        <v>822</v>
      </c>
    </row>
    <row customHeight="1" ht="11.25">
      <c r="A226" s="7771" t="s">
        <v>2266</v>
      </c>
      <c r="B226" s="7771" t="s">
        <v>16</v>
      </c>
      <c r="C226" s="7771" t="s">
        <v>3163</v>
      </c>
      <c r="D226" s="7771" t="s">
        <v>3164</v>
      </c>
      <c r="E226" s="7771" t="s">
        <v>3165</v>
      </c>
      <c r="F226" s="7771" t="s">
        <v>2655</v>
      </c>
      <c r="G226" s="7771" t="s">
        <v>3166</v>
      </c>
      <c r="H226" s="7771" t="s">
        <v>28</v>
      </c>
      <c r="I226" s="7771" t="s">
        <v>822</v>
      </c>
    </row>
    <row customHeight="1" ht="11.25">
      <c r="A227" s="7771" t="s">
        <v>2266</v>
      </c>
      <c r="B227" s="7771" t="s">
        <v>16</v>
      </c>
      <c r="C227" s="7771" t="s">
        <v>3167</v>
      </c>
      <c r="D227" s="7771" t="s">
        <v>3168</v>
      </c>
      <c r="E227" s="7771" t="s">
        <v>3169</v>
      </c>
      <c r="F227" s="7771" t="s">
        <v>3170</v>
      </c>
      <c r="G227" s="7771" t="s">
        <v>3171</v>
      </c>
      <c r="H227" s="7771" t="s">
        <v>28</v>
      </c>
      <c r="I227" s="7771" t="s">
        <v>822</v>
      </c>
    </row>
    <row customHeight="1" ht="11.25">
      <c r="A228" s="7771" t="s">
        <v>2266</v>
      </c>
      <c r="B228" s="7771" t="s">
        <v>16</v>
      </c>
      <c r="C228" s="7771" t="s">
        <v>3172</v>
      </c>
      <c r="D228" s="7771" t="s">
        <v>3173</v>
      </c>
      <c r="E228" s="7771" t="s">
        <v>3174</v>
      </c>
      <c r="F228" s="7771" t="s">
        <v>2486</v>
      </c>
      <c r="G228" s="7771" t="s">
        <v>3175</v>
      </c>
      <c r="H228" s="7771" t="s">
        <v>28</v>
      </c>
      <c r="I228" s="7771" t="s">
        <v>822</v>
      </c>
    </row>
    <row customHeight="1" ht="11.25">
      <c r="A229" s="7771" t="s">
        <v>2266</v>
      </c>
      <c r="B229" s="7771" t="s">
        <v>16</v>
      </c>
      <c r="C229" s="7771" t="s">
        <v>3176</v>
      </c>
      <c r="D229" s="7771" t="s">
        <v>3177</v>
      </c>
      <c r="E229" s="7771" t="s">
        <v>3178</v>
      </c>
      <c r="F229" s="7771" t="s">
        <v>3179</v>
      </c>
      <c r="G229" s="7771" t="s">
        <v>28</v>
      </c>
      <c r="H229" s="7771" t="s">
        <v>28</v>
      </c>
      <c r="I229" s="7771" t="s">
        <v>822</v>
      </c>
    </row>
    <row customHeight="1" ht="11.25">
      <c r="A230" s="7771" t="s">
        <v>2266</v>
      </c>
      <c r="B230" s="7771" t="s">
        <v>16</v>
      </c>
      <c r="C230" s="7771" t="s">
        <v>3180</v>
      </c>
      <c r="D230" s="7771" t="s">
        <v>3181</v>
      </c>
      <c r="E230" s="7771" t="s">
        <v>3182</v>
      </c>
      <c r="F230" s="7771" t="s">
        <v>2503</v>
      </c>
      <c r="G230" s="7771" t="s">
        <v>3183</v>
      </c>
      <c r="H230" s="7771" t="s">
        <v>28</v>
      </c>
      <c r="I230" s="7771" t="s">
        <v>822</v>
      </c>
    </row>
    <row customHeight="1" ht="11.25">
      <c r="A231" s="7771" t="s">
        <v>2266</v>
      </c>
      <c r="B231" s="7771" t="s">
        <v>16</v>
      </c>
      <c r="C231" s="7771" t="s">
        <v>3184</v>
      </c>
      <c r="D231" s="7771" t="s">
        <v>3185</v>
      </c>
      <c r="E231" s="7771" t="s">
        <v>3186</v>
      </c>
      <c r="F231" s="7771" t="s">
        <v>2385</v>
      </c>
      <c r="G231" s="7771" t="s">
        <v>28</v>
      </c>
      <c r="H231" s="7771" t="s">
        <v>28</v>
      </c>
      <c r="I231" s="7771" t="s">
        <v>822</v>
      </c>
    </row>
    <row customHeight="1" ht="11.25">
      <c r="A232" s="7771" t="s">
        <v>2266</v>
      </c>
      <c r="B232" s="7771" t="s">
        <v>16</v>
      </c>
      <c r="C232" s="7771" t="s">
        <v>3187</v>
      </c>
      <c r="D232" s="7771" t="s">
        <v>3188</v>
      </c>
      <c r="E232" s="7771" t="s">
        <v>3189</v>
      </c>
      <c r="F232" s="7771" t="s">
        <v>3190</v>
      </c>
      <c r="G232" s="7771" t="s">
        <v>28</v>
      </c>
      <c r="H232" s="7771" t="s">
        <v>28</v>
      </c>
      <c r="I232" s="7771" t="s">
        <v>822</v>
      </c>
    </row>
    <row customHeight="1" ht="11.25">
      <c r="A233" s="7771" t="s">
        <v>2266</v>
      </c>
      <c r="B233" s="7771" t="s">
        <v>16</v>
      </c>
      <c r="C233" s="7771" t="s">
        <v>3191</v>
      </c>
      <c r="D233" s="7771" t="s">
        <v>3192</v>
      </c>
      <c r="E233" s="7771" t="s">
        <v>3193</v>
      </c>
      <c r="F233" s="7771" t="s">
        <v>2295</v>
      </c>
      <c r="G233" s="7771" t="s">
        <v>28</v>
      </c>
      <c r="H233" s="7771" t="s">
        <v>28</v>
      </c>
      <c r="I233" s="7771" t="s">
        <v>822</v>
      </c>
    </row>
    <row customHeight="1" ht="11.25">
      <c r="A234" s="7771" t="s">
        <v>2266</v>
      </c>
      <c r="B234" s="7771" t="s">
        <v>16</v>
      </c>
      <c r="C234" s="7771" t="s">
        <v>3194</v>
      </c>
      <c r="D234" s="7771" t="s">
        <v>3195</v>
      </c>
      <c r="E234" s="7771" t="s">
        <v>3196</v>
      </c>
      <c r="F234" s="7771" t="s">
        <v>2320</v>
      </c>
      <c r="G234" s="7771" t="s">
        <v>3197</v>
      </c>
      <c r="H234" s="7771" t="s">
        <v>28</v>
      </c>
      <c r="I234" s="7771" t="s">
        <v>822</v>
      </c>
    </row>
    <row customHeight="1" ht="11.25">
      <c r="A235" s="7771" t="s">
        <v>2266</v>
      </c>
      <c r="B235" s="7771" t="s">
        <v>16</v>
      </c>
      <c r="C235" s="7771" t="s">
        <v>3198</v>
      </c>
      <c r="D235" s="7771" t="s">
        <v>3199</v>
      </c>
      <c r="E235" s="7771" t="s">
        <v>3200</v>
      </c>
      <c r="F235" s="7771" t="s">
        <v>2451</v>
      </c>
      <c r="G235" s="7771" t="s">
        <v>28</v>
      </c>
      <c r="H235" s="7771" t="s">
        <v>28</v>
      </c>
      <c r="I235" s="7771" t="s">
        <v>822</v>
      </c>
    </row>
    <row customHeight="1" ht="11.25">
      <c r="A236" s="7771" t="s">
        <v>2266</v>
      </c>
      <c r="B236" s="7771" t="s">
        <v>16</v>
      </c>
      <c r="C236" s="7771" t="s">
        <v>3201</v>
      </c>
      <c r="D236" s="7771" t="s">
        <v>3202</v>
      </c>
      <c r="E236" s="7771" t="s">
        <v>3203</v>
      </c>
      <c r="F236" s="7771" t="s">
        <v>2800</v>
      </c>
      <c r="G236" s="7771" t="s">
        <v>28</v>
      </c>
      <c r="H236" s="7771" t="s">
        <v>28</v>
      </c>
      <c r="I236" s="7771" t="s">
        <v>822</v>
      </c>
    </row>
    <row customHeight="1" ht="11.25">
      <c r="A237" s="7771" t="s">
        <v>2266</v>
      </c>
      <c r="B237" s="7771" t="s">
        <v>16</v>
      </c>
      <c r="C237" s="7771" t="s">
        <v>3204</v>
      </c>
      <c r="D237" s="7771" t="s">
        <v>3205</v>
      </c>
      <c r="E237" s="7771" t="s">
        <v>3206</v>
      </c>
      <c r="F237" s="7771" t="s">
        <v>3207</v>
      </c>
      <c r="G237" s="7771" t="s">
        <v>28</v>
      </c>
      <c r="H237" s="7771" t="s">
        <v>28</v>
      </c>
      <c r="I237" s="7771" t="s">
        <v>822</v>
      </c>
    </row>
    <row customHeight="1" ht="11.25">
      <c r="A238" s="7771" t="s">
        <v>2266</v>
      </c>
      <c r="B238" s="7771" t="s">
        <v>16</v>
      </c>
      <c r="C238" s="7771" t="s">
        <v>3208</v>
      </c>
      <c r="D238" s="7771" t="s">
        <v>3209</v>
      </c>
      <c r="E238" s="7771" t="s">
        <v>3210</v>
      </c>
      <c r="F238" s="7771" t="s">
        <v>3211</v>
      </c>
      <c r="G238" s="7771" t="s">
        <v>28</v>
      </c>
      <c r="H238" s="7771" t="s">
        <v>28</v>
      </c>
      <c r="I238" s="7771" t="s">
        <v>822</v>
      </c>
    </row>
    <row customHeight="1" ht="11.25">
      <c r="A239" s="7771" t="s">
        <v>2266</v>
      </c>
      <c r="B239" s="7771" t="s">
        <v>16</v>
      </c>
      <c r="C239" s="7771" t="s">
        <v>3212</v>
      </c>
      <c r="D239" s="7771" t="s">
        <v>3213</v>
      </c>
      <c r="E239" s="7771" t="s">
        <v>3214</v>
      </c>
      <c r="F239" s="7771" t="s">
        <v>2360</v>
      </c>
      <c r="G239" s="7771" t="s">
        <v>28</v>
      </c>
      <c r="H239" s="7771" t="s">
        <v>28</v>
      </c>
      <c r="I239" s="7771" t="s">
        <v>822</v>
      </c>
    </row>
    <row customHeight="1" ht="11.25">
      <c r="A240" s="7771" t="s">
        <v>2266</v>
      </c>
      <c r="B240" s="7771" t="s">
        <v>16</v>
      </c>
      <c r="C240" s="7771" t="s">
        <v>3215</v>
      </c>
      <c r="D240" s="7771" t="s">
        <v>3216</v>
      </c>
      <c r="E240" s="7771" t="s">
        <v>3217</v>
      </c>
      <c r="F240" s="7771" t="s">
        <v>2360</v>
      </c>
      <c r="G240" s="7771" t="s">
        <v>3218</v>
      </c>
      <c r="H240" s="7771" t="s">
        <v>28</v>
      </c>
      <c r="I240" s="7771" t="s">
        <v>822</v>
      </c>
    </row>
    <row customHeight="1" ht="11.25">
      <c r="A241" s="7771" t="s">
        <v>2266</v>
      </c>
      <c r="B241" s="7771" t="s">
        <v>16</v>
      </c>
      <c r="C241" s="7771" t="s">
        <v>3219</v>
      </c>
      <c r="D241" s="7771" t="s">
        <v>3220</v>
      </c>
      <c r="E241" s="7771" t="s">
        <v>3221</v>
      </c>
      <c r="F241" s="7771" t="s">
        <v>3222</v>
      </c>
      <c r="G241" s="7771" t="s">
        <v>28</v>
      </c>
      <c r="H241" s="7771" t="s">
        <v>28</v>
      </c>
      <c r="I241" s="7771" t="s">
        <v>822</v>
      </c>
    </row>
    <row customHeight="1" ht="11.25">
      <c r="A242" s="7771" t="s">
        <v>2266</v>
      </c>
      <c r="B242" s="7771" t="s">
        <v>16</v>
      </c>
      <c r="C242" s="7771" t="s">
        <v>3223</v>
      </c>
      <c r="D242" s="7771" t="s">
        <v>3224</v>
      </c>
      <c r="E242" s="7771" t="s">
        <v>3225</v>
      </c>
      <c r="F242" s="7771" t="s">
        <v>3226</v>
      </c>
      <c r="G242" s="7771" t="s">
        <v>28</v>
      </c>
      <c r="H242" s="7771" t="s">
        <v>28</v>
      </c>
      <c r="I242" s="7771" t="s">
        <v>822</v>
      </c>
    </row>
    <row customHeight="1" ht="11.25">
      <c r="A243" s="7771" t="s">
        <v>2266</v>
      </c>
      <c r="B243" s="7771" t="s">
        <v>16</v>
      </c>
      <c r="C243" s="7771" t="s">
        <v>3227</v>
      </c>
      <c r="D243" s="7771" t="s">
        <v>3228</v>
      </c>
      <c r="E243" s="7771" t="s">
        <v>2913</v>
      </c>
      <c r="F243" s="7771" t="s">
        <v>3229</v>
      </c>
      <c r="G243" s="7771" t="s">
        <v>28</v>
      </c>
      <c r="H243" s="7771" t="s">
        <v>28</v>
      </c>
      <c r="I243" s="7771" t="s">
        <v>822</v>
      </c>
    </row>
    <row customHeight="1" ht="11.25">
      <c r="A244" s="7771" t="s">
        <v>2266</v>
      </c>
      <c r="B244" s="7771" t="s">
        <v>16</v>
      </c>
      <c r="C244" s="7771" t="s">
        <v>3230</v>
      </c>
      <c r="D244" s="7771" t="s">
        <v>3231</v>
      </c>
      <c r="E244" s="7771" t="s">
        <v>2913</v>
      </c>
      <c r="F244" s="7771" t="s">
        <v>3232</v>
      </c>
      <c r="G244" s="7771" t="s">
        <v>3233</v>
      </c>
      <c r="H244" s="7771" t="s">
        <v>28</v>
      </c>
      <c r="I244" s="7771" t="s">
        <v>822</v>
      </c>
    </row>
    <row customHeight="1" ht="11.25">
      <c r="A245" s="7771" t="s">
        <v>2266</v>
      </c>
      <c r="B245" s="7771" t="s">
        <v>16</v>
      </c>
      <c r="C245" s="7771" t="s">
        <v>3234</v>
      </c>
      <c r="D245" s="7771" t="s">
        <v>3235</v>
      </c>
      <c r="E245" s="7771" t="s">
        <v>3236</v>
      </c>
      <c r="F245" s="7771" t="s">
        <v>3237</v>
      </c>
      <c r="G245" s="7771" t="s">
        <v>28</v>
      </c>
      <c r="H245" s="7771" t="s">
        <v>28</v>
      </c>
      <c r="I245" s="7771" t="s">
        <v>822</v>
      </c>
    </row>
    <row customHeight="1" ht="11.25">
      <c r="A246" s="7771" t="s">
        <v>2266</v>
      </c>
      <c r="B246" s="7771" t="s">
        <v>16</v>
      </c>
      <c r="C246" s="7771" t="s">
        <v>3238</v>
      </c>
      <c r="D246" s="7771" t="s">
        <v>3239</v>
      </c>
      <c r="E246" s="7771" t="s">
        <v>3240</v>
      </c>
      <c r="F246" s="7771" t="s">
        <v>2578</v>
      </c>
      <c r="G246" s="7771" t="s">
        <v>3241</v>
      </c>
      <c r="H246" s="7771" t="s">
        <v>28</v>
      </c>
      <c r="I246" s="7771" t="s">
        <v>822</v>
      </c>
    </row>
    <row customHeight="1" ht="11.25">
      <c r="A247" s="7771" t="s">
        <v>2266</v>
      </c>
      <c r="B247" s="7771" t="s">
        <v>16</v>
      </c>
      <c r="C247" s="7771" t="s">
        <v>3242</v>
      </c>
      <c r="D247" s="7771" t="s">
        <v>3243</v>
      </c>
      <c r="E247" s="7771" t="s">
        <v>3244</v>
      </c>
      <c r="F247" s="7771" t="s">
        <v>2468</v>
      </c>
      <c r="G247" s="7771" t="s">
        <v>2691</v>
      </c>
      <c r="H247" s="7771" t="s">
        <v>28</v>
      </c>
      <c r="I247" s="7771" t="s">
        <v>822</v>
      </c>
    </row>
    <row customHeight="1" ht="11.25">
      <c r="A248" s="7771" t="s">
        <v>2266</v>
      </c>
      <c r="B248" s="7771" t="s">
        <v>16</v>
      </c>
      <c r="C248" s="7771" t="s">
        <v>3245</v>
      </c>
      <c r="D248" s="7771" t="s">
        <v>3246</v>
      </c>
      <c r="E248" s="7771" t="s">
        <v>3247</v>
      </c>
      <c r="F248" s="7771" t="s">
        <v>3248</v>
      </c>
      <c r="G248" s="7771" t="s">
        <v>28</v>
      </c>
      <c r="H248" s="7771" t="s">
        <v>28</v>
      </c>
      <c r="I248" s="7771" t="s">
        <v>822</v>
      </c>
    </row>
    <row customHeight="1" ht="11.25">
      <c r="A249" s="7771" t="s">
        <v>2266</v>
      </c>
      <c r="B249" s="7771" t="s">
        <v>16</v>
      </c>
      <c r="C249" s="7771" t="s">
        <v>3249</v>
      </c>
      <c r="D249" s="7771" t="s">
        <v>3250</v>
      </c>
      <c r="E249" s="7771" t="s">
        <v>3251</v>
      </c>
      <c r="F249" s="7771" t="s">
        <v>2300</v>
      </c>
      <c r="G249" s="7771" t="s">
        <v>28</v>
      </c>
      <c r="H249" s="7771" t="s">
        <v>28</v>
      </c>
      <c r="I249" s="7771" t="s">
        <v>822</v>
      </c>
    </row>
    <row customHeight="1" ht="11.25">
      <c r="A250" s="7771" t="s">
        <v>2266</v>
      </c>
      <c r="B250" s="7771" t="s">
        <v>16</v>
      </c>
      <c r="C250" s="7771" t="s">
        <v>3252</v>
      </c>
      <c r="D250" s="7771" t="s">
        <v>3253</v>
      </c>
      <c r="E250" s="7771" t="s">
        <v>3254</v>
      </c>
      <c r="F250" s="7771" t="s">
        <v>2412</v>
      </c>
      <c r="G250" s="7771" t="s">
        <v>28</v>
      </c>
      <c r="H250" s="7771" t="s">
        <v>28</v>
      </c>
      <c r="I250" s="7771" t="s">
        <v>822</v>
      </c>
    </row>
    <row customHeight="1" ht="11.25">
      <c r="A251" s="7771" t="s">
        <v>2266</v>
      </c>
      <c r="B251" s="7771" t="s">
        <v>16</v>
      </c>
      <c r="C251" s="7771" t="s">
        <v>3255</v>
      </c>
      <c r="D251" s="7771" t="s">
        <v>3256</v>
      </c>
      <c r="E251" s="7771" t="s">
        <v>3257</v>
      </c>
      <c r="F251" s="7771" t="s">
        <v>2412</v>
      </c>
      <c r="G251" s="7771" t="s">
        <v>28</v>
      </c>
      <c r="H251" s="7771" t="s">
        <v>28</v>
      </c>
      <c r="I251" s="7771" t="s">
        <v>822</v>
      </c>
    </row>
    <row customHeight="1" ht="11.25">
      <c r="A252" s="7771" t="s">
        <v>2266</v>
      </c>
      <c r="B252" s="7771" t="s">
        <v>16</v>
      </c>
      <c r="C252" s="7771" t="s">
        <v>3258</v>
      </c>
      <c r="D252" s="7771" t="s">
        <v>3259</v>
      </c>
      <c r="E252" s="7771" t="s">
        <v>3260</v>
      </c>
      <c r="F252" s="7771" t="s">
        <v>2518</v>
      </c>
      <c r="G252" s="7771" t="s">
        <v>28</v>
      </c>
      <c r="H252" s="7771" t="s">
        <v>28</v>
      </c>
      <c r="I252" s="7771" t="s">
        <v>822</v>
      </c>
    </row>
    <row customHeight="1" ht="11.25">
      <c r="A253" s="7771" t="s">
        <v>2266</v>
      </c>
      <c r="B253" s="7771" t="s">
        <v>16</v>
      </c>
      <c r="C253" s="7771" t="s">
        <v>3261</v>
      </c>
      <c r="D253" s="7771" t="s">
        <v>3262</v>
      </c>
      <c r="E253" s="7771" t="s">
        <v>3263</v>
      </c>
      <c r="F253" s="7771" t="s">
        <v>2330</v>
      </c>
      <c r="G253" s="7771" t="s">
        <v>28</v>
      </c>
      <c r="H253" s="7771" t="s">
        <v>28</v>
      </c>
      <c r="I253" s="7771" t="s">
        <v>822</v>
      </c>
    </row>
    <row customHeight="1" ht="11.25">
      <c r="A254" s="7771" t="s">
        <v>2266</v>
      </c>
      <c r="B254" s="7771" t="s">
        <v>16</v>
      </c>
      <c r="C254" s="7771" t="s">
        <v>3264</v>
      </c>
      <c r="D254" s="7771" t="s">
        <v>3265</v>
      </c>
      <c r="E254" s="7771" t="s">
        <v>3266</v>
      </c>
      <c r="F254" s="7771" t="s">
        <v>2280</v>
      </c>
      <c r="G254" s="7771" t="s">
        <v>3267</v>
      </c>
      <c r="H254" s="7771" t="s">
        <v>28</v>
      </c>
      <c r="I254" s="7771" t="s">
        <v>822</v>
      </c>
    </row>
    <row customHeight="1" ht="11.25">
      <c r="A255" s="7771" t="s">
        <v>2266</v>
      </c>
      <c r="B255" s="7771" t="s">
        <v>16</v>
      </c>
      <c r="C255" s="7771" t="s">
        <v>3268</v>
      </c>
      <c r="D255" s="7771" t="s">
        <v>3269</v>
      </c>
      <c r="E255" s="7771" t="s">
        <v>3270</v>
      </c>
      <c r="F255" s="7771" t="s">
        <v>3222</v>
      </c>
      <c r="G255" s="7771" t="s">
        <v>28</v>
      </c>
      <c r="H255" s="7771" t="s">
        <v>28</v>
      </c>
      <c r="I255" s="7771" t="s">
        <v>822</v>
      </c>
    </row>
    <row customHeight="1" ht="11.25">
      <c r="A256" s="7771" t="s">
        <v>2266</v>
      </c>
      <c r="B256" s="7771" t="s">
        <v>16</v>
      </c>
      <c r="C256" s="7771" t="s">
        <v>3271</v>
      </c>
      <c r="D256" s="7771" t="s">
        <v>3272</v>
      </c>
      <c r="E256" s="7771" t="s">
        <v>3273</v>
      </c>
      <c r="F256" s="7771" t="s">
        <v>3274</v>
      </c>
      <c r="G256" s="7771" t="s">
        <v>28</v>
      </c>
      <c r="H256" s="7771" t="s">
        <v>28</v>
      </c>
      <c r="I256" s="7771" t="s">
        <v>822</v>
      </c>
    </row>
    <row customHeight="1" ht="11.25">
      <c r="A257" s="7771" t="s">
        <v>2266</v>
      </c>
      <c r="B257" s="7771" t="s">
        <v>16</v>
      </c>
      <c r="C257" s="7771" t="s">
        <v>3275</v>
      </c>
      <c r="D257" s="7771" t="s">
        <v>3276</v>
      </c>
      <c r="E257" s="7771" t="s">
        <v>3277</v>
      </c>
      <c r="F257" s="7771" t="s">
        <v>2723</v>
      </c>
      <c r="G257" s="7771" t="s">
        <v>28</v>
      </c>
      <c r="H257" s="7771" t="s">
        <v>28</v>
      </c>
      <c r="I257" s="7771" t="s">
        <v>822</v>
      </c>
    </row>
    <row customHeight="1" ht="11.25">
      <c r="A258" s="7771" t="s">
        <v>2266</v>
      </c>
      <c r="B258" s="7771" t="s">
        <v>16</v>
      </c>
      <c r="C258" s="7771" t="s">
        <v>3278</v>
      </c>
      <c r="D258" s="7771" t="s">
        <v>3279</v>
      </c>
      <c r="E258" s="7771" t="s">
        <v>3280</v>
      </c>
      <c r="F258" s="7771" t="s">
        <v>2295</v>
      </c>
      <c r="G258" s="7771" t="s">
        <v>28</v>
      </c>
      <c r="H258" s="7771" t="s">
        <v>28</v>
      </c>
      <c r="I258" s="7771" t="s">
        <v>822</v>
      </c>
    </row>
    <row customHeight="1" ht="11.25">
      <c r="A259" s="7771" t="s">
        <v>2266</v>
      </c>
      <c r="B259" s="7771" t="s">
        <v>16</v>
      </c>
      <c r="C259" s="7771" t="s">
        <v>3281</v>
      </c>
      <c r="D259" s="7771" t="s">
        <v>3282</v>
      </c>
      <c r="E259" s="7771" t="s">
        <v>3283</v>
      </c>
      <c r="F259" s="7771" t="s">
        <v>2894</v>
      </c>
      <c r="G259" s="7771" t="s">
        <v>3284</v>
      </c>
      <c r="H259" s="7771" t="s">
        <v>28</v>
      </c>
      <c r="I259" s="7771" t="s">
        <v>822</v>
      </c>
    </row>
    <row customHeight="1" ht="11.25">
      <c r="A260" s="7771" t="s">
        <v>2266</v>
      </c>
      <c r="B260" s="7771" t="s">
        <v>16</v>
      </c>
      <c r="C260" s="7771" t="s">
        <v>3285</v>
      </c>
      <c r="D260" s="7771" t="s">
        <v>3286</v>
      </c>
      <c r="E260" s="7771" t="s">
        <v>3287</v>
      </c>
      <c r="F260" s="7771" t="s">
        <v>3288</v>
      </c>
      <c r="G260" s="7771" t="s">
        <v>28</v>
      </c>
      <c r="H260" s="7771" t="s">
        <v>28</v>
      </c>
      <c r="I260" s="7771" t="s">
        <v>822</v>
      </c>
    </row>
    <row customHeight="1" ht="11.25">
      <c r="A261" s="7771" t="s">
        <v>2266</v>
      </c>
      <c r="B261" s="7771" t="s">
        <v>16</v>
      </c>
      <c r="C261" s="7771" t="s">
        <v>3289</v>
      </c>
      <c r="D261" s="7771" t="s">
        <v>3290</v>
      </c>
      <c r="E261" s="7771" t="s">
        <v>3291</v>
      </c>
      <c r="F261" s="7771" t="s">
        <v>2451</v>
      </c>
      <c r="G261" s="7771" t="s">
        <v>3292</v>
      </c>
      <c r="H261" s="7771" t="s">
        <v>28</v>
      </c>
      <c r="I261" s="7771" t="s">
        <v>822</v>
      </c>
    </row>
    <row customHeight="1" ht="11.25">
      <c r="A262" s="7771" t="s">
        <v>2266</v>
      </c>
      <c r="B262" s="7771" t="s">
        <v>16</v>
      </c>
      <c r="C262" s="7771" t="s">
        <v>3293</v>
      </c>
      <c r="D262" s="7771" t="s">
        <v>3294</v>
      </c>
      <c r="E262" s="7771" t="s">
        <v>3295</v>
      </c>
      <c r="F262" s="7771" t="s">
        <v>3296</v>
      </c>
      <c r="G262" s="7771" t="s">
        <v>28</v>
      </c>
      <c r="H262" s="7771" t="s">
        <v>28</v>
      </c>
      <c r="I262" s="7771" t="s">
        <v>822</v>
      </c>
    </row>
    <row customHeight="1" ht="11.25">
      <c r="A263" s="7771" t="s">
        <v>2266</v>
      </c>
      <c r="B263" s="7771" t="s">
        <v>16</v>
      </c>
      <c r="C263" s="7771" t="s">
        <v>3297</v>
      </c>
      <c r="D263" s="7771" t="s">
        <v>3298</v>
      </c>
      <c r="E263" s="7771" t="s">
        <v>3299</v>
      </c>
      <c r="F263" s="7771" t="s">
        <v>3300</v>
      </c>
      <c r="G263" s="7771" t="s">
        <v>28</v>
      </c>
      <c r="H263" s="7771" t="s">
        <v>28</v>
      </c>
      <c r="I263" s="7771" t="s">
        <v>822</v>
      </c>
    </row>
    <row customHeight="1" ht="11.25">
      <c r="A264" s="7771" t="s">
        <v>2266</v>
      </c>
      <c r="B264" s="7771" t="s">
        <v>16</v>
      </c>
      <c r="C264" s="7771" t="s">
        <v>3301</v>
      </c>
      <c r="D264" s="7771" t="s">
        <v>3302</v>
      </c>
      <c r="E264" s="7771" t="s">
        <v>3303</v>
      </c>
      <c r="F264" s="7771" t="s">
        <v>2629</v>
      </c>
      <c r="G264" s="7771" t="s">
        <v>3304</v>
      </c>
      <c r="H264" s="7771" t="s">
        <v>28</v>
      </c>
      <c r="I264" s="7771" t="s">
        <v>822</v>
      </c>
    </row>
    <row customHeight="1" ht="11.25">
      <c r="A265" s="7771" t="s">
        <v>2266</v>
      </c>
      <c r="B265" s="7771" t="s">
        <v>16</v>
      </c>
      <c r="C265" s="7771" t="s">
        <v>3305</v>
      </c>
      <c r="D265" s="7771" t="s">
        <v>3306</v>
      </c>
      <c r="E265" s="7771" t="s">
        <v>3307</v>
      </c>
      <c r="F265" s="7771" t="s">
        <v>2295</v>
      </c>
      <c r="G265" s="7771" t="s">
        <v>28</v>
      </c>
      <c r="H265" s="7771" t="s">
        <v>28</v>
      </c>
      <c r="I265" s="7771" t="s">
        <v>822</v>
      </c>
    </row>
    <row customHeight="1" ht="11.25">
      <c r="A266" s="7771" t="s">
        <v>2266</v>
      </c>
      <c r="B266" s="7771" t="s">
        <v>16</v>
      </c>
      <c r="C266" s="7771" t="s">
        <v>3308</v>
      </c>
      <c r="D266" s="7771" t="s">
        <v>3309</v>
      </c>
      <c r="E266" s="7771" t="s">
        <v>3310</v>
      </c>
      <c r="F266" s="7771" t="s">
        <v>2295</v>
      </c>
      <c r="G266" s="7771" t="s">
        <v>28</v>
      </c>
      <c r="H266" s="7771" t="s">
        <v>28</v>
      </c>
      <c r="I266" s="7771" t="s">
        <v>822</v>
      </c>
    </row>
    <row customHeight="1" ht="11.25">
      <c r="A267" s="7771" t="s">
        <v>2266</v>
      </c>
      <c r="B267" s="7771" t="s">
        <v>16</v>
      </c>
      <c r="C267" s="7771" t="s">
        <v>3311</v>
      </c>
      <c r="D267" s="7771" t="s">
        <v>3312</v>
      </c>
      <c r="E267" s="7771" t="s">
        <v>3313</v>
      </c>
      <c r="F267" s="7771" t="s">
        <v>2468</v>
      </c>
      <c r="G267" s="7771" t="s">
        <v>28</v>
      </c>
      <c r="H267" s="7771" t="s">
        <v>28</v>
      </c>
      <c r="I267" s="7771" t="s">
        <v>822</v>
      </c>
    </row>
    <row customHeight="1" ht="11.25">
      <c r="A268" s="7771" t="s">
        <v>2266</v>
      </c>
      <c r="B268" s="7771" t="s">
        <v>16</v>
      </c>
      <c r="C268" s="7771" t="s">
        <v>3314</v>
      </c>
      <c r="D268" s="7771" t="s">
        <v>3315</v>
      </c>
      <c r="E268" s="7771" t="s">
        <v>3316</v>
      </c>
      <c r="F268" s="7771" t="s">
        <v>2295</v>
      </c>
      <c r="G268" s="7771" t="s">
        <v>28</v>
      </c>
      <c r="H268" s="7771" t="s">
        <v>28</v>
      </c>
      <c r="I268" s="7771" t="s">
        <v>822</v>
      </c>
    </row>
    <row customHeight="1" ht="11.25">
      <c r="A269" s="7771" t="s">
        <v>2266</v>
      </c>
      <c r="B269" s="7771" t="s">
        <v>16</v>
      </c>
      <c r="C269" s="7771" t="s">
        <v>3317</v>
      </c>
      <c r="D269" s="7771" t="s">
        <v>3318</v>
      </c>
      <c r="E269" s="7771" t="s">
        <v>3319</v>
      </c>
      <c r="F269" s="7771" t="s">
        <v>2372</v>
      </c>
      <c r="G269" s="7771" t="s">
        <v>3320</v>
      </c>
      <c r="H269" s="7771" t="s">
        <v>28</v>
      </c>
      <c r="I269" s="7771" t="s">
        <v>822</v>
      </c>
    </row>
    <row customHeight="1" ht="11.25">
      <c r="A270" s="7771" t="s">
        <v>2266</v>
      </c>
      <c r="B270" s="7771" t="s">
        <v>16</v>
      </c>
      <c r="C270" s="7771" t="s">
        <v>3321</v>
      </c>
      <c r="D270" s="7771" t="s">
        <v>3322</v>
      </c>
      <c r="E270" s="7771" t="s">
        <v>3323</v>
      </c>
      <c r="F270" s="7771" t="s">
        <v>2430</v>
      </c>
      <c r="G270" s="7771" t="s">
        <v>28</v>
      </c>
      <c r="H270" s="7771" t="s">
        <v>28</v>
      </c>
      <c r="I270" s="7771" t="s">
        <v>822</v>
      </c>
    </row>
    <row customHeight="1" ht="11.25">
      <c r="A271" s="7771" t="s">
        <v>2266</v>
      </c>
      <c r="B271" s="7771" t="s">
        <v>16</v>
      </c>
      <c r="C271" s="7771" t="s">
        <v>3324</v>
      </c>
      <c r="D271" s="7771" t="s">
        <v>3325</v>
      </c>
      <c r="E271" s="7771" t="s">
        <v>3326</v>
      </c>
      <c r="F271" s="7771" t="s">
        <v>3120</v>
      </c>
      <c r="G271" s="7771" t="s">
        <v>28</v>
      </c>
      <c r="H271" s="7771" t="s">
        <v>28</v>
      </c>
      <c r="I271" s="7771" t="s">
        <v>822</v>
      </c>
    </row>
    <row customHeight="1" ht="11.25">
      <c r="A272" s="7771" t="s">
        <v>2266</v>
      </c>
      <c r="B272" s="7771" t="s">
        <v>16</v>
      </c>
      <c r="C272" s="7771" t="s">
        <v>3327</v>
      </c>
      <c r="D272" s="7771" t="s">
        <v>3328</v>
      </c>
      <c r="E272" s="7771" t="s">
        <v>3329</v>
      </c>
      <c r="F272" s="7771" t="s">
        <v>2280</v>
      </c>
      <c r="G272" s="7771" t="s">
        <v>28</v>
      </c>
      <c r="H272" s="7771" t="s">
        <v>28</v>
      </c>
      <c r="I272" s="7771" t="s">
        <v>822</v>
      </c>
    </row>
    <row customHeight="1" ht="11.25">
      <c r="A273" s="7771" t="s">
        <v>2266</v>
      </c>
      <c r="B273" s="7771" t="s">
        <v>16</v>
      </c>
      <c r="C273" s="7771" t="s">
        <v>3330</v>
      </c>
      <c r="D273" s="7771" t="s">
        <v>3331</v>
      </c>
      <c r="E273" s="7771" t="s">
        <v>3332</v>
      </c>
      <c r="F273" s="7771" t="s">
        <v>3333</v>
      </c>
      <c r="G273" s="7771" t="s">
        <v>28</v>
      </c>
      <c r="H273" s="7771" t="s">
        <v>28</v>
      </c>
      <c r="I273" s="7771" t="s">
        <v>822</v>
      </c>
    </row>
    <row customHeight="1" ht="11.25">
      <c r="A274" s="7771" t="s">
        <v>2266</v>
      </c>
      <c r="B274" s="7771" t="s">
        <v>16</v>
      </c>
      <c r="C274" s="7771" t="s">
        <v>3334</v>
      </c>
      <c r="D274" s="7771" t="s">
        <v>3335</v>
      </c>
      <c r="E274" s="7771" t="s">
        <v>3323</v>
      </c>
      <c r="F274" s="7771" t="s">
        <v>2723</v>
      </c>
      <c r="G274" s="7771" t="s">
        <v>28</v>
      </c>
      <c r="H274" s="7771" t="s">
        <v>28</v>
      </c>
      <c r="I274" s="7771" t="s">
        <v>822</v>
      </c>
    </row>
    <row customHeight="1" ht="11.25">
      <c r="A275" s="7771" t="s">
        <v>2266</v>
      </c>
      <c r="B275" s="7771" t="s">
        <v>16</v>
      </c>
      <c r="C275" s="7771" t="s">
        <v>3336</v>
      </c>
      <c r="D275" s="7771" t="s">
        <v>3337</v>
      </c>
      <c r="E275" s="7771" t="s">
        <v>3338</v>
      </c>
      <c r="F275" s="7771" t="s">
        <v>2399</v>
      </c>
      <c r="G275" s="7771" t="s">
        <v>28</v>
      </c>
      <c r="H275" s="7771" t="s">
        <v>28</v>
      </c>
      <c r="I275" s="7771" t="s">
        <v>822</v>
      </c>
    </row>
    <row customHeight="1" ht="11.25">
      <c r="A276" s="7771" t="s">
        <v>2266</v>
      </c>
      <c r="B276" s="7771" t="s">
        <v>16</v>
      </c>
      <c r="C276" s="7771" t="s">
        <v>3339</v>
      </c>
      <c r="D276" s="7771" t="s">
        <v>3340</v>
      </c>
      <c r="E276" s="7771" t="s">
        <v>3341</v>
      </c>
      <c r="F276" s="7771" t="s">
        <v>3342</v>
      </c>
      <c r="G276" s="7771" t="s">
        <v>28</v>
      </c>
      <c r="H276" s="7771" t="s">
        <v>28</v>
      </c>
      <c r="I276" s="7771" t="s">
        <v>822</v>
      </c>
    </row>
    <row customHeight="1" ht="11.25">
      <c r="A277" s="7771" t="s">
        <v>2266</v>
      </c>
      <c r="B277" s="7771" t="s">
        <v>16</v>
      </c>
      <c r="C277" s="7771" t="s">
        <v>3343</v>
      </c>
      <c r="D277" s="7771" t="s">
        <v>3344</v>
      </c>
      <c r="E277" s="7771" t="s">
        <v>3345</v>
      </c>
      <c r="F277" s="7771" t="s">
        <v>2377</v>
      </c>
      <c r="G277" s="7771" t="s">
        <v>3346</v>
      </c>
      <c r="H277" s="7771" t="s">
        <v>28</v>
      </c>
      <c r="I277" s="7771" t="s">
        <v>822</v>
      </c>
    </row>
    <row customHeight="1" ht="11.25">
      <c r="A278" s="7771" t="s">
        <v>2266</v>
      </c>
      <c r="B278" s="7771" t="s">
        <v>16</v>
      </c>
      <c r="C278" s="7771" t="s">
        <v>3347</v>
      </c>
      <c r="D278" s="7771" t="s">
        <v>3348</v>
      </c>
      <c r="E278" s="7771" t="s">
        <v>3349</v>
      </c>
      <c r="F278" s="7771" t="s">
        <v>2377</v>
      </c>
      <c r="G278" s="7771" t="s">
        <v>28</v>
      </c>
      <c r="H278" s="7771" t="s">
        <v>28</v>
      </c>
      <c r="I278" s="7771" t="s">
        <v>822</v>
      </c>
    </row>
    <row customHeight="1" ht="11.25">
      <c r="A279" s="7771" t="s">
        <v>2266</v>
      </c>
      <c r="B279" s="7771" t="s">
        <v>16</v>
      </c>
      <c r="C279" s="7771" t="s">
        <v>3350</v>
      </c>
      <c r="D279" s="7771" t="s">
        <v>3351</v>
      </c>
      <c r="E279" s="7771" t="s">
        <v>2913</v>
      </c>
      <c r="F279" s="7771" t="s">
        <v>3352</v>
      </c>
      <c r="G279" s="7771" t="s">
        <v>28</v>
      </c>
      <c r="H279" s="7771" t="s">
        <v>28</v>
      </c>
      <c r="I279" s="7771" t="s">
        <v>822</v>
      </c>
    </row>
    <row customHeight="1" ht="11.25">
      <c r="A280" s="7771" t="s">
        <v>2266</v>
      </c>
      <c r="B280" s="7771" t="s">
        <v>16</v>
      </c>
      <c r="C280" s="7771" t="s">
        <v>3353</v>
      </c>
      <c r="D280" s="7771" t="s">
        <v>3354</v>
      </c>
      <c r="E280" s="7771" t="s">
        <v>3355</v>
      </c>
      <c r="F280" s="7771" t="s">
        <v>2342</v>
      </c>
      <c r="G280" s="7771" t="s">
        <v>3356</v>
      </c>
      <c r="H280" s="7771" t="s">
        <v>28</v>
      </c>
      <c r="I280" s="7771" t="s">
        <v>822</v>
      </c>
    </row>
    <row customHeight="1" ht="11.25">
      <c r="A281" s="7771" t="s">
        <v>2266</v>
      </c>
      <c r="B281" s="7771" t="s">
        <v>16</v>
      </c>
      <c r="C281" s="7771" t="s">
        <v>3357</v>
      </c>
      <c r="D281" s="7771" t="s">
        <v>3358</v>
      </c>
      <c r="E281" s="7771" t="s">
        <v>3359</v>
      </c>
      <c r="F281" s="7771" t="s">
        <v>2468</v>
      </c>
      <c r="G281" s="7771" t="s">
        <v>3360</v>
      </c>
      <c r="H281" s="7771" t="s">
        <v>28</v>
      </c>
      <c r="I281" s="7771" t="s">
        <v>822</v>
      </c>
    </row>
    <row customHeight="1" ht="11.25">
      <c r="A282" s="7771" t="s">
        <v>2266</v>
      </c>
      <c r="B282" s="7771" t="s">
        <v>16</v>
      </c>
      <c r="C282" s="7771" t="s">
        <v>3361</v>
      </c>
      <c r="D282" s="7771" t="s">
        <v>3362</v>
      </c>
      <c r="E282" s="7771" t="s">
        <v>3363</v>
      </c>
      <c r="F282" s="7771" t="s">
        <v>2360</v>
      </c>
      <c r="G282" s="7771" t="s">
        <v>28</v>
      </c>
      <c r="H282" s="7771" t="s">
        <v>28</v>
      </c>
      <c r="I282" s="7771" t="s">
        <v>822</v>
      </c>
    </row>
    <row customHeight="1" ht="11.25">
      <c r="A283" s="7771" t="s">
        <v>2266</v>
      </c>
      <c r="B283" s="7771" t="s">
        <v>16</v>
      </c>
      <c r="C283" s="7771" t="s">
        <v>3364</v>
      </c>
      <c r="D283" s="7771" t="s">
        <v>3365</v>
      </c>
      <c r="E283" s="7771" t="s">
        <v>3366</v>
      </c>
      <c r="F283" s="7771" t="s">
        <v>3125</v>
      </c>
      <c r="G283" s="7771" t="s">
        <v>28</v>
      </c>
      <c r="H283" s="7771" t="s">
        <v>28</v>
      </c>
      <c r="I283" s="7771" t="s">
        <v>822</v>
      </c>
    </row>
    <row customHeight="1" ht="11.25">
      <c r="A284" s="7771" t="s">
        <v>2266</v>
      </c>
      <c r="B284" s="7771" t="s">
        <v>16</v>
      </c>
      <c r="C284" s="7771" t="s">
        <v>3367</v>
      </c>
      <c r="D284" s="7771" t="s">
        <v>3368</v>
      </c>
      <c r="E284" s="7771" t="s">
        <v>3369</v>
      </c>
      <c r="F284" s="7771" t="s">
        <v>2330</v>
      </c>
      <c r="G284" s="7771" t="s">
        <v>28</v>
      </c>
      <c r="H284" s="7771" t="s">
        <v>28</v>
      </c>
      <c r="I284" s="7771" t="s">
        <v>822</v>
      </c>
    </row>
    <row customHeight="1" ht="11.25">
      <c r="A285" s="7771" t="s">
        <v>2266</v>
      </c>
      <c r="B285" s="7771" t="s">
        <v>16</v>
      </c>
      <c r="C285" s="7771" t="s">
        <v>3370</v>
      </c>
      <c r="D285" s="7771" t="s">
        <v>3371</v>
      </c>
      <c r="E285" s="7771" t="s">
        <v>3372</v>
      </c>
      <c r="F285" s="7771" t="s">
        <v>2642</v>
      </c>
      <c r="G285" s="7771" t="s">
        <v>28</v>
      </c>
      <c r="H285" s="7771" t="s">
        <v>28</v>
      </c>
      <c r="I285" s="7771" t="s">
        <v>822</v>
      </c>
    </row>
    <row customHeight="1" ht="11.25">
      <c r="A286" s="7771" t="s">
        <v>2266</v>
      </c>
      <c r="B286" s="7771" t="s">
        <v>16</v>
      </c>
      <c r="C286" s="7771" t="s">
        <v>3373</v>
      </c>
      <c r="D286" s="7771" t="s">
        <v>3374</v>
      </c>
      <c r="E286" s="7771" t="s">
        <v>3375</v>
      </c>
      <c r="F286" s="7771" t="s">
        <v>2446</v>
      </c>
      <c r="G286" s="7771" t="s">
        <v>3376</v>
      </c>
      <c r="H286" s="7771" t="s">
        <v>28</v>
      </c>
      <c r="I286" s="7771" t="s">
        <v>822</v>
      </c>
    </row>
    <row customHeight="1" ht="11.25">
      <c r="A287" s="7771" t="s">
        <v>2266</v>
      </c>
      <c r="B287" s="7771" t="s">
        <v>16</v>
      </c>
      <c r="C287" s="7771" t="s">
        <v>3377</v>
      </c>
      <c r="D287" s="7771" t="s">
        <v>3378</v>
      </c>
      <c r="E287" s="7771" t="s">
        <v>3379</v>
      </c>
      <c r="F287" s="7771" t="s">
        <v>2377</v>
      </c>
      <c r="G287" s="7771" t="s">
        <v>3380</v>
      </c>
      <c r="H287" s="7771" t="s">
        <v>28</v>
      </c>
      <c r="I287" s="7771" t="s">
        <v>822</v>
      </c>
    </row>
    <row customHeight="1" ht="11.25">
      <c r="A288" s="7771" t="s">
        <v>2266</v>
      </c>
      <c r="B288" s="7771" t="s">
        <v>16</v>
      </c>
      <c r="C288" s="7771" t="s">
        <v>3381</v>
      </c>
      <c r="D288" s="7771" t="s">
        <v>3382</v>
      </c>
      <c r="E288" s="7771" t="s">
        <v>3383</v>
      </c>
      <c r="F288" s="7771" t="s">
        <v>2360</v>
      </c>
      <c r="G288" s="7771" t="s">
        <v>28</v>
      </c>
      <c r="H288" s="7771" t="s">
        <v>28</v>
      </c>
      <c r="I288" s="7771" t="s">
        <v>822</v>
      </c>
    </row>
    <row customHeight="1" ht="11.25">
      <c r="A289" s="7771" t="s">
        <v>2266</v>
      </c>
      <c r="B289" s="7771" t="s">
        <v>16</v>
      </c>
      <c r="C289" s="7771" t="s">
        <v>3384</v>
      </c>
      <c r="D289" s="7771" t="s">
        <v>3385</v>
      </c>
      <c r="E289" s="7771" t="s">
        <v>3386</v>
      </c>
      <c r="F289" s="7771" t="s">
        <v>2385</v>
      </c>
      <c r="G289" s="7771" t="s">
        <v>28</v>
      </c>
      <c r="H289" s="7771" t="s">
        <v>28</v>
      </c>
      <c r="I289" s="7771" t="s">
        <v>822</v>
      </c>
    </row>
    <row customHeight="1" ht="11.25">
      <c r="A290" s="7771" t="s">
        <v>2266</v>
      </c>
      <c r="B290" s="7771" t="s">
        <v>16</v>
      </c>
      <c r="C290" s="7771" t="s">
        <v>3387</v>
      </c>
      <c r="D290" s="7771" t="s">
        <v>3388</v>
      </c>
      <c r="E290" s="7771" t="s">
        <v>3295</v>
      </c>
      <c r="F290" s="7771" t="s">
        <v>2463</v>
      </c>
      <c r="G290" s="7771" t="s">
        <v>28</v>
      </c>
      <c r="H290" s="7771" t="s">
        <v>28</v>
      </c>
      <c r="I290" s="7771" t="s">
        <v>822</v>
      </c>
    </row>
    <row customHeight="1" ht="11.25">
      <c r="A291" s="7771" t="s">
        <v>2266</v>
      </c>
      <c r="B291" s="7771" t="s">
        <v>16</v>
      </c>
      <c r="C291" s="7771" t="s">
        <v>3389</v>
      </c>
      <c r="D291" s="7771" t="s">
        <v>3390</v>
      </c>
      <c r="E291" s="7771" t="s">
        <v>3391</v>
      </c>
      <c r="F291" s="7771" t="s">
        <v>2463</v>
      </c>
      <c r="G291" s="7771" t="s">
        <v>28</v>
      </c>
      <c r="H291" s="7771" t="s">
        <v>28</v>
      </c>
      <c r="I291" s="7771" t="s">
        <v>822</v>
      </c>
    </row>
    <row customHeight="1" ht="11.25">
      <c r="A292" s="7771" t="s">
        <v>2266</v>
      </c>
      <c r="B292" s="7771" t="s">
        <v>16</v>
      </c>
      <c r="C292" s="7771" t="s">
        <v>3392</v>
      </c>
      <c r="D292" s="7771" t="s">
        <v>3393</v>
      </c>
      <c r="E292" s="7771" t="s">
        <v>3394</v>
      </c>
      <c r="F292" s="7771" t="s">
        <v>2280</v>
      </c>
      <c r="G292" s="7771" t="s">
        <v>28</v>
      </c>
      <c r="H292" s="7771" t="s">
        <v>28</v>
      </c>
      <c r="I292" s="7771" t="s">
        <v>822</v>
      </c>
    </row>
    <row customHeight="1" ht="11.25">
      <c r="A293" s="7771" t="s">
        <v>2266</v>
      </c>
      <c r="B293" s="7771" t="s">
        <v>16</v>
      </c>
      <c r="C293" s="7771" t="s">
        <v>3395</v>
      </c>
      <c r="D293" s="7771" t="s">
        <v>3396</v>
      </c>
      <c r="E293" s="7771" t="s">
        <v>3397</v>
      </c>
      <c r="F293" s="7771" t="s">
        <v>3398</v>
      </c>
      <c r="G293" s="7771" t="s">
        <v>28</v>
      </c>
      <c r="H293" s="7771" t="s">
        <v>28</v>
      </c>
      <c r="I293" s="7771" t="s">
        <v>822</v>
      </c>
    </row>
    <row customHeight="1" ht="11.25">
      <c r="A294" s="7771" t="s">
        <v>2266</v>
      </c>
      <c r="B294" s="7771" t="s">
        <v>16</v>
      </c>
      <c r="C294" s="7771" t="s">
        <v>3399</v>
      </c>
      <c r="D294" s="7771" t="s">
        <v>3400</v>
      </c>
      <c r="E294" s="7771" t="s">
        <v>3401</v>
      </c>
      <c r="F294" s="7771" t="s">
        <v>2280</v>
      </c>
      <c r="G294" s="7771" t="s">
        <v>3402</v>
      </c>
      <c r="H294" s="7771" t="s">
        <v>28</v>
      </c>
      <c r="I294" s="7771" t="s">
        <v>822</v>
      </c>
    </row>
    <row customHeight="1" ht="11.25">
      <c r="A295" s="7771" t="s">
        <v>2266</v>
      </c>
      <c r="B295" s="7771" t="s">
        <v>16</v>
      </c>
      <c r="C295" s="7771" t="s">
        <v>3403</v>
      </c>
      <c r="D295" s="7771" t="s">
        <v>3404</v>
      </c>
      <c r="E295" s="7771" t="s">
        <v>3405</v>
      </c>
      <c r="F295" s="7771" t="s">
        <v>2300</v>
      </c>
      <c r="G295" s="7771" t="s">
        <v>28</v>
      </c>
      <c r="H295" s="7771" t="s">
        <v>28</v>
      </c>
      <c r="I295" s="7771" t="s">
        <v>822</v>
      </c>
    </row>
    <row customHeight="1" ht="11.25">
      <c r="A296" s="7771" t="s">
        <v>2266</v>
      </c>
      <c r="B296" s="7771" t="s">
        <v>16</v>
      </c>
      <c r="C296" s="7771" t="s">
        <v>3406</v>
      </c>
      <c r="D296" s="7771" t="s">
        <v>3407</v>
      </c>
      <c r="E296" s="7771" t="s">
        <v>3408</v>
      </c>
      <c r="F296" s="7771" t="s">
        <v>2518</v>
      </c>
      <c r="G296" s="7771" t="s">
        <v>2584</v>
      </c>
      <c r="H296" s="7771" t="s">
        <v>28</v>
      </c>
      <c r="I296" s="7771" t="s">
        <v>822</v>
      </c>
    </row>
    <row customHeight="1" ht="11.25">
      <c r="A297" s="7771" t="s">
        <v>2266</v>
      </c>
      <c r="B297" s="7771" t="s">
        <v>16</v>
      </c>
      <c r="C297" s="7771" t="s">
        <v>3409</v>
      </c>
      <c r="D297" s="7771" t="s">
        <v>3410</v>
      </c>
      <c r="E297" s="7771" t="s">
        <v>3411</v>
      </c>
      <c r="F297" s="7771" t="s">
        <v>2770</v>
      </c>
      <c r="G297" s="7771" t="s">
        <v>3412</v>
      </c>
      <c r="H297" s="7771" t="s">
        <v>28</v>
      </c>
      <c r="I297" s="7771" t="s">
        <v>822</v>
      </c>
    </row>
    <row customHeight="1" ht="11.25">
      <c r="A298" s="7771" t="s">
        <v>2266</v>
      </c>
      <c r="B298" s="7771" t="s">
        <v>16</v>
      </c>
      <c r="C298" s="7771" t="s">
        <v>3413</v>
      </c>
      <c r="D298" s="7771" t="s">
        <v>3414</v>
      </c>
      <c r="E298" s="7771" t="s">
        <v>3415</v>
      </c>
      <c r="F298" s="7771" t="s">
        <v>2347</v>
      </c>
      <c r="G298" s="7771" t="s">
        <v>3416</v>
      </c>
      <c r="H298" s="7771" t="s">
        <v>28</v>
      </c>
      <c r="I298" s="7771" t="s">
        <v>822</v>
      </c>
    </row>
    <row customHeight="1" ht="11.25">
      <c r="A299" s="7771" t="s">
        <v>2266</v>
      </c>
      <c r="B299" s="7771" t="s">
        <v>16</v>
      </c>
      <c r="C299" s="7771" t="s">
        <v>3417</v>
      </c>
      <c r="D299" s="7771" t="s">
        <v>3418</v>
      </c>
      <c r="E299" s="7771" t="s">
        <v>3419</v>
      </c>
      <c r="F299" s="7771" t="s">
        <v>2280</v>
      </c>
      <c r="G299" s="7771" t="s">
        <v>3420</v>
      </c>
      <c r="H299" s="7771" t="s">
        <v>28</v>
      </c>
      <c r="I299" s="7771" t="s">
        <v>822</v>
      </c>
    </row>
    <row customHeight="1" ht="11.25">
      <c r="A300" s="7771" t="s">
        <v>2266</v>
      </c>
      <c r="B300" s="7771" t="s">
        <v>16</v>
      </c>
      <c r="C300" s="7771" t="s">
        <v>3421</v>
      </c>
      <c r="D300" s="7771" t="s">
        <v>3422</v>
      </c>
      <c r="E300" s="7771" t="s">
        <v>3423</v>
      </c>
      <c r="F300" s="7771" t="s">
        <v>2390</v>
      </c>
      <c r="G300" s="7771" t="s">
        <v>28</v>
      </c>
      <c r="H300" s="7771" t="s">
        <v>28</v>
      </c>
      <c r="I300" s="7771" t="s">
        <v>822</v>
      </c>
    </row>
    <row customHeight="1" ht="11.25">
      <c r="A301" s="7771" t="s">
        <v>2266</v>
      </c>
      <c r="B301" s="7771" t="s">
        <v>16</v>
      </c>
      <c r="C301" s="7771" t="s">
        <v>3424</v>
      </c>
      <c r="D301" s="7771" t="s">
        <v>3425</v>
      </c>
      <c r="E301" s="7771" t="s">
        <v>3426</v>
      </c>
      <c r="F301" s="7771" t="s">
        <v>3427</v>
      </c>
      <c r="G301" s="7771" t="s">
        <v>3428</v>
      </c>
      <c r="H301" s="7771" t="s">
        <v>28</v>
      </c>
      <c r="I301" s="7771" t="s">
        <v>822</v>
      </c>
    </row>
    <row customHeight="1" ht="11.25">
      <c r="A302" s="7771" t="s">
        <v>2266</v>
      </c>
      <c r="B302" s="7771" t="s">
        <v>16</v>
      </c>
      <c r="C302" s="7771" t="s">
        <v>3429</v>
      </c>
      <c r="D302" s="7771" t="s">
        <v>3430</v>
      </c>
      <c r="E302" s="7771" t="s">
        <v>3431</v>
      </c>
      <c r="F302" s="7771" t="s">
        <v>2518</v>
      </c>
      <c r="G302" s="7771" t="s">
        <v>3432</v>
      </c>
      <c r="H302" s="7771" t="s">
        <v>28</v>
      </c>
      <c r="I302" s="7771" t="s">
        <v>822</v>
      </c>
    </row>
    <row customHeight="1" ht="11.25">
      <c r="A303" s="7771" t="s">
        <v>2266</v>
      </c>
      <c r="B303" s="7771" t="s">
        <v>16</v>
      </c>
      <c r="C303" s="7771" t="s">
        <v>3433</v>
      </c>
      <c r="D303" s="7771" t="s">
        <v>3434</v>
      </c>
      <c r="E303" s="7771" t="s">
        <v>3435</v>
      </c>
      <c r="F303" s="7771" t="s">
        <v>2320</v>
      </c>
      <c r="G303" s="7771" t="s">
        <v>28</v>
      </c>
      <c r="H303" s="7771" t="s">
        <v>28</v>
      </c>
      <c r="I303" s="7771" t="s">
        <v>822</v>
      </c>
    </row>
    <row customHeight="1" ht="11.25">
      <c r="A304" s="7771" t="s">
        <v>2266</v>
      </c>
      <c r="B304" s="7771" t="s">
        <v>16</v>
      </c>
      <c r="C304" s="7771" t="s">
        <v>3436</v>
      </c>
      <c r="D304" s="7771" t="s">
        <v>3437</v>
      </c>
      <c r="E304" s="7771" t="s">
        <v>3438</v>
      </c>
      <c r="F304" s="7771" t="s">
        <v>2285</v>
      </c>
      <c r="G304" s="7771" t="s">
        <v>3439</v>
      </c>
      <c r="H304" s="7771" t="s">
        <v>28</v>
      </c>
      <c r="I304" s="7771" t="s">
        <v>822</v>
      </c>
    </row>
    <row customHeight="1" ht="11.25">
      <c r="A305" s="7771" t="s">
        <v>2266</v>
      </c>
      <c r="B305" s="7771" t="s">
        <v>16</v>
      </c>
      <c r="C305" s="7771" t="s">
        <v>3440</v>
      </c>
      <c r="D305" s="7771" t="s">
        <v>3441</v>
      </c>
      <c r="E305" s="7771" t="s">
        <v>3442</v>
      </c>
      <c r="F305" s="7771" t="s">
        <v>2503</v>
      </c>
      <c r="G305" s="7771" t="s">
        <v>28</v>
      </c>
      <c r="H305" s="7771" t="s">
        <v>28</v>
      </c>
      <c r="I305" s="7771" t="s">
        <v>822</v>
      </c>
    </row>
    <row customHeight="1" ht="11.25">
      <c r="A306" s="7771" t="s">
        <v>2266</v>
      </c>
      <c r="B306" s="7771" t="s">
        <v>16</v>
      </c>
      <c r="C306" s="7771" t="s">
        <v>3443</v>
      </c>
      <c r="D306" s="7771" t="s">
        <v>3444</v>
      </c>
      <c r="E306" s="7771" t="s">
        <v>3445</v>
      </c>
      <c r="F306" s="7771" t="s">
        <v>2813</v>
      </c>
      <c r="G306" s="7771" t="s">
        <v>3446</v>
      </c>
      <c r="H306" s="7771" t="s">
        <v>28</v>
      </c>
      <c r="I306" s="7771" t="s">
        <v>822</v>
      </c>
    </row>
    <row customHeight="1" ht="11.25">
      <c r="A307" s="7771" t="s">
        <v>2266</v>
      </c>
      <c r="B307" s="7771" t="s">
        <v>16</v>
      </c>
      <c r="C307" s="7771" t="s">
        <v>3447</v>
      </c>
      <c r="D307" s="7771" t="s">
        <v>3448</v>
      </c>
      <c r="E307" s="7771" t="s">
        <v>3449</v>
      </c>
      <c r="F307" s="7771" t="s">
        <v>2347</v>
      </c>
      <c r="G307" s="7771" t="s">
        <v>28</v>
      </c>
      <c r="H307" s="7771" t="s">
        <v>28</v>
      </c>
      <c r="I307" s="7771" t="s">
        <v>822</v>
      </c>
    </row>
    <row customHeight="1" ht="11.25">
      <c r="A308" s="7771" t="s">
        <v>2266</v>
      </c>
      <c r="B308" s="7771" t="s">
        <v>16</v>
      </c>
      <c r="C308" s="7771" t="s">
        <v>3450</v>
      </c>
      <c r="D308" s="7771" t="s">
        <v>3451</v>
      </c>
      <c r="E308" s="7771" t="s">
        <v>3452</v>
      </c>
      <c r="F308" s="7771" t="s">
        <v>2800</v>
      </c>
      <c r="G308" s="7771" t="s">
        <v>28</v>
      </c>
      <c r="H308" s="7771" t="s">
        <v>28</v>
      </c>
      <c r="I308" s="7771" t="s">
        <v>822</v>
      </c>
    </row>
    <row customHeight="1" ht="11.25">
      <c r="A309" s="7771" t="s">
        <v>2266</v>
      </c>
      <c r="B309" s="7771" t="s">
        <v>16</v>
      </c>
      <c r="C309" s="7771" t="s">
        <v>3453</v>
      </c>
      <c r="D309" s="7771" t="s">
        <v>3454</v>
      </c>
      <c r="E309" s="7771" t="s">
        <v>3455</v>
      </c>
      <c r="F309" s="7771" t="s">
        <v>2295</v>
      </c>
      <c r="G309" s="7771" t="s">
        <v>28</v>
      </c>
      <c r="H309" s="7771" t="s">
        <v>28</v>
      </c>
      <c r="I309" s="7771" t="s">
        <v>822</v>
      </c>
    </row>
    <row customHeight="1" ht="11.25">
      <c r="A310" s="7771" t="s">
        <v>2266</v>
      </c>
      <c r="B310" s="7771" t="s">
        <v>16</v>
      </c>
      <c r="C310" s="7771" t="s">
        <v>3456</v>
      </c>
      <c r="D310" s="7771" t="s">
        <v>3454</v>
      </c>
      <c r="E310" s="7771" t="s">
        <v>3455</v>
      </c>
      <c r="F310" s="7771" t="s">
        <v>3457</v>
      </c>
      <c r="G310" s="7771" t="s">
        <v>3458</v>
      </c>
      <c r="H310" s="7771" t="s">
        <v>28</v>
      </c>
      <c r="I310" s="7771" t="s">
        <v>822</v>
      </c>
    </row>
    <row customHeight="1" ht="11.25">
      <c r="A311" s="7771" t="s">
        <v>2266</v>
      </c>
      <c r="B311" s="7771" t="s">
        <v>16</v>
      </c>
      <c r="C311" s="7771" t="s">
        <v>3459</v>
      </c>
      <c r="D311" s="7771" t="s">
        <v>3460</v>
      </c>
      <c r="E311" s="7771" t="s">
        <v>3461</v>
      </c>
      <c r="F311" s="7771" t="s">
        <v>2295</v>
      </c>
      <c r="G311" s="7771" t="s">
        <v>3462</v>
      </c>
      <c r="H311" s="7771" t="s">
        <v>28</v>
      </c>
      <c r="I311" s="7771" t="s">
        <v>822</v>
      </c>
    </row>
    <row customHeight="1" ht="11.25">
      <c r="A312" s="7771" t="s">
        <v>2266</v>
      </c>
      <c r="B312" s="7771" t="s">
        <v>16</v>
      </c>
      <c r="C312" s="7771" t="s">
        <v>3463</v>
      </c>
      <c r="D312" s="7771" t="s">
        <v>3464</v>
      </c>
      <c r="E312" s="7771" t="s">
        <v>3465</v>
      </c>
      <c r="F312" s="7771" t="s">
        <v>2300</v>
      </c>
      <c r="G312" s="7771" t="s">
        <v>3466</v>
      </c>
      <c r="H312" s="7771" t="s">
        <v>28</v>
      </c>
      <c r="I312" s="7771" t="s">
        <v>822</v>
      </c>
    </row>
    <row customHeight="1" ht="11.25">
      <c r="A313" s="7771" t="s">
        <v>2266</v>
      </c>
      <c r="B313" s="7771" t="s">
        <v>16</v>
      </c>
      <c r="C313" s="7771" t="s">
        <v>3467</v>
      </c>
      <c r="D313" s="7771" t="s">
        <v>3468</v>
      </c>
      <c r="E313" s="7771" t="s">
        <v>3469</v>
      </c>
      <c r="F313" s="7771" t="s">
        <v>2933</v>
      </c>
      <c r="G313" s="7771" t="s">
        <v>3470</v>
      </c>
      <c r="H313" s="7771" t="s">
        <v>28</v>
      </c>
      <c r="I313" s="7771" t="s">
        <v>822</v>
      </c>
    </row>
    <row customHeight="1" ht="11.25">
      <c r="A314" s="7771" t="s">
        <v>2266</v>
      </c>
      <c r="B314" s="7771" t="s">
        <v>16</v>
      </c>
      <c r="C314" s="7771" t="s">
        <v>3471</v>
      </c>
      <c r="D314" s="7771" t="s">
        <v>3472</v>
      </c>
      <c r="E314" s="7771" t="s">
        <v>3473</v>
      </c>
      <c r="F314" s="7771" t="s">
        <v>2280</v>
      </c>
      <c r="G314" s="7771" t="s">
        <v>28</v>
      </c>
      <c r="H314" s="7771" t="s">
        <v>28</v>
      </c>
      <c r="I314" s="7771" t="s">
        <v>822</v>
      </c>
    </row>
    <row customHeight="1" ht="11.25">
      <c r="A315" s="7771" t="s">
        <v>2266</v>
      </c>
      <c r="B315" s="7771" t="s">
        <v>16</v>
      </c>
      <c r="C315" s="7771" t="s">
        <v>3474</v>
      </c>
      <c r="D315" s="7771" t="s">
        <v>3475</v>
      </c>
      <c r="E315" s="7771" t="s">
        <v>3476</v>
      </c>
      <c r="F315" s="7771" t="s">
        <v>2300</v>
      </c>
      <c r="G315" s="7771" t="s">
        <v>28</v>
      </c>
      <c r="H315" s="7771" t="s">
        <v>28</v>
      </c>
      <c r="I315" s="7771" t="s">
        <v>822</v>
      </c>
    </row>
    <row customHeight="1" ht="11.25">
      <c r="A316" s="7771" t="s">
        <v>2266</v>
      </c>
      <c r="B316" s="7771" t="s">
        <v>16</v>
      </c>
      <c r="C316" s="7771" t="s">
        <v>3477</v>
      </c>
      <c r="D316" s="7771" t="s">
        <v>3478</v>
      </c>
      <c r="E316" s="7771" t="s">
        <v>3479</v>
      </c>
      <c r="F316" s="7771" t="s">
        <v>3480</v>
      </c>
      <c r="G316" s="7771" t="s">
        <v>3481</v>
      </c>
      <c r="H316" s="7771" t="s">
        <v>28</v>
      </c>
      <c r="I316" s="7771" t="s">
        <v>822</v>
      </c>
    </row>
    <row customHeight="1" ht="11.25">
      <c r="A317" s="7771" t="s">
        <v>2266</v>
      </c>
      <c r="B317" s="7771" t="s">
        <v>16</v>
      </c>
      <c r="C317" s="7771" t="s">
        <v>3482</v>
      </c>
      <c r="D317" s="7771" t="s">
        <v>3483</v>
      </c>
      <c r="E317" s="7771" t="s">
        <v>3484</v>
      </c>
      <c r="F317" s="7771" t="s">
        <v>2385</v>
      </c>
      <c r="G317" s="7771" t="s">
        <v>28</v>
      </c>
      <c r="H317" s="7771" t="s">
        <v>28</v>
      </c>
      <c r="I317" s="7771" t="s">
        <v>822</v>
      </c>
    </row>
    <row customHeight="1" ht="11.25">
      <c r="A318" s="7771" t="s">
        <v>2266</v>
      </c>
      <c r="B318" s="7771" t="s">
        <v>16</v>
      </c>
      <c r="C318" s="7771" t="s">
        <v>3485</v>
      </c>
      <c r="D318" s="7771" t="s">
        <v>3486</v>
      </c>
      <c r="E318" s="7771" t="s">
        <v>3487</v>
      </c>
      <c r="F318" s="7771" t="s">
        <v>2933</v>
      </c>
      <c r="G318" s="7771" t="s">
        <v>28</v>
      </c>
      <c r="H318" s="7771" t="s">
        <v>28</v>
      </c>
      <c r="I318" s="7771" t="s">
        <v>822</v>
      </c>
    </row>
    <row customHeight="1" ht="11.25">
      <c r="A319" s="7771" t="s">
        <v>2266</v>
      </c>
      <c r="B319" s="7771" t="s">
        <v>16</v>
      </c>
      <c r="C319" s="7771" t="s">
        <v>3488</v>
      </c>
      <c r="D319" s="7771" t="s">
        <v>3489</v>
      </c>
      <c r="E319" s="7771" t="s">
        <v>3490</v>
      </c>
      <c r="F319" s="7771" t="s">
        <v>3491</v>
      </c>
      <c r="G319" s="7771" t="s">
        <v>28</v>
      </c>
      <c r="H319" s="7771" t="s">
        <v>28</v>
      </c>
      <c r="I319" s="7771" t="s">
        <v>822</v>
      </c>
    </row>
    <row customHeight="1" ht="11.25">
      <c r="A320" s="7771" t="s">
        <v>2266</v>
      </c>
      <c r="B320" s="7771" t="s">
        <v>16</v>
      </c>
      <c r="C320" s="7771" t="s">
        <v>3492</v>
      </c>
      <c r="D320" s="7771" t="s">
        <v>3493</v>
      </c>
      <c r="E320" s="7771" t="s">
        <v>3494</v>
      </c>
      <c r="F320" s="7771" t="s">
        <v>2473</v>
      </c>
      <c r="G320" s="7771" t="s">
        <v>28</v>
      </c>
      <c r="H320" s="7771" t="s">
        <v>28</v>
      </c>
      <c r="I320" s="7771" t="s">
        <v>822</v>
      </c>
    </row>
    <row customHeight="1" ht="11.25">
      <c r="A321" s="7771" t="s">
        <v>2266</v>
      </c>
      <c r="B321" s="7771" t="s">
        <v>16</v>
      </c>
      <c r="C321" s="7771" t="s">
        <v>3495</v>
      </c>
      <c r="D321" s="7771" t="s">
        <v>3496</v>
      </c>
      <c r="E321" s="7771" t="s">
        <v>3497</v>
      </c>
      <c r="F321" s="7771" t="s">
        <v>2377</v>
      </c>
      <c r="G321" s="7771" t="s">
        <v>3498</v>
      </c>
      <c r="H321" s="7771" t="s">
        <v>28</v>
      </c>
      <c r="I321" s="7771" t="s">
        <v>822</v>
      </c>
    </row>
    <row customHeight="1" ht="11.25">
      <c r="A322" s="7771" t="s">
        <v>2266</v>
      </c>
      <c r="B322" s="7771" t="s">
        <v>16</v>
      </c>
      <c r="C322" s="7771" t="s">
        <v>3499</v>
      </c>
      <c r="D322" s="7771" t="s">
        <v>3500</v>
      </c>
      <c r="E322" s="7771" t="s">
        <v>3501</v>
      </c>
      <c r="F322" s="7771" t="s">
        <v>3502</v>
      </c>
      <c r="G322" s="7771" t="s">
        <v>28</v>
      </c>
      <c r="H322" s="7771" t="s">
        <v>28</v>
      </c>
      <c r="I322" s="7771" t="s">
        <v>822</v>
      </c>
    </row>
    <row customHeight="1" ht="11.25">
      <c r="A323" s="7771" t="s">
        <v>2266</v>
      </c>
      <c r="B323" s="7771" t="s">
        <v>16</v>
      </c>
      <c r="C323" s="7771" t="s">
        <v>3503</v>
      </c>
      <c r="D323" s="7771" t="s">
        <v>3504</v>
      </c>
      <c r="E323" s="7771" t="s">
        <v>3505</v>
      </c>
      <c r="F323" s="7771" t="s">
        <v>2285</v>
      </c>
      <c r="G323" s="7771" t="s">
        <v>28</v>
      </c>
      <c r="H323" s="7771" t="s">
        <v>28</v>
      </c>
      <c r="I323" s="7771" t="s">
        <v>822</v>
      </c>
    </row>
    <row customHeight="1" ht="11.25">
      <c r="A324" s="7771" t="s">
        <v>2266</v>
      </c>
      <c r="B324" s="7771" t="s">
        <v>16</v>
      </c>
      <c r="C324" s="7771" t="s">
        <v>3506</v>
      </c>
      <c r="D324" s="7771" t="s">
        <v>3507</v>
      </c>
      <c r="E324" s="7771" t="s">
        <v>3508</v>
      </c>
      <c r="F324" s="7771" t="s">
        <v>2430</v>
      </c>
      <c r="G324" s="7771" t="s">
        <v>3509</v>
      </c>
      <c r="H324" s="7771" t="s">
        <v>28</v>
      </c>
      <c r="I324" s="7771" t="s">
        <v>822</v>
      </c>
    </row>
    <row customHeight="1" ht="11.25">
      <c r="A325" s="7771" t="s">
        <v>2266</v>
      </c>
      <c r="B325" s="7771" t="s">
        <v>16</v>
      </c>
      <c r="C325" s="7771" t="s">
        <v>3510</v>
      </c>
      <c r="D325" s="7771" t="s">
        <v>3511</v>
      </c>
      <c r="E325" s="7771" t="s">
        <v>3512</v>
      </c>
      <c r="F325" s="7771" t="s">
        <v>2446</v>
      </c>
      <c r="G325" s="7771" t="s">
        <v>3513</v>
      </c>
      <c r="H325" s="7771" t="s">
        <v>28</v>
      </c>
      <c r="I325" s="7771" t="s">
        <v>822</v>
      </c>
    </row>
    <row customHeight="1" ht="11.25">
      <c r="A326" s="7771" t="s">
        <v>2266</v>
      </c>
      <c r="B326" s="7771" t="s">
        <v>16</v>
      </c>
      <c r="C326" s="7771" t="s">
        <v>3514</v>
      </c>
      <c r="D326" s="7771" t="s">
        <v>3515</v>
      </c>
      <c r="E326" s="7771" t="s">
        <v>3516</v>
      </c>
      <c r="F326" s="7771" t="s">
        <v>2300</v>
      </c>
      <c r="G326" s="7771" t="s">
        <v>28</v>
      </c>
      <c r="H326" s="7771" t="s">
        <v>28</v>
      </c>
      <c r="I326" s="7771" t="s">
        <v>822</v>
      </c>
    </row>
    <row customHeight="1" ht="11.25">
      <c r="A327" s="7771" t="s">
        <v>2266</v>
      </c>
      <c r="B327" s="7771" t="s">
        <v>16</v>
      </c>
      <c r="C327" s="7771" t="s">
        <v>3517</v>
      </c>
      <c r="D327" s="7771" t="s">
        <v>3518</v>
      </c>
      <c r="E327" s="7771" t="s">
        <v>3519</v>
      </c>
      <c r="F327" s="7771" t="s">
        <v>2300</v>
      </c>
      <c r="G327" s="7771" t="s">
        <v>3520</v>
      </c>
      <c r="H327" s="7771" t="s">
        <v>28</v>
      </c>
      <c r="I327" s="7771" t="s">
        <v>822</v>
      </c>
    </row>
    <row customHeight="1" ht="11.25">
      <c r="A328" s="7771" t="s">
        <v>2266</v>
      </c>
      <c r="B328" s="7771" t="s">
        <v>16</v>
      </c>
      <c r="C328" s="7771" t="s">
        <v>3521</v>
      </c>
      <c r="D328" s="7771" t="s">
        <v>3522</v>
      </c>
      <c r="E328" s="7771" t="s">
        <v>3523</v>
      </c>
      <c r="F328" s="7771" t="s">
        <v>2486</v>
      </c>
      <c r="G328" s="7771" t="s">
        <v>3524</v>
      </c>
      <c r="H328" s="7771" t="s">
        <v>28</v>
      </c>
      <c r="I328" s="7771" t="s">
        <v>822</v>
      </c>
    </row>
    <row customHeight="1" ht="11.25">
      <c r="A329" s="7771" t="s">
        <v>2266</v>
      </c>
      <c r="B329" s="7771" t="s">
        <v>16</v>
      </c>
      <c r="C329" s="7771" t="s">
        <v>3525</v>
      </c>
      <c r="D329" s="7771" t="s">
        <v>3526</v>
      </c>
      <c r="E329" s="7771" t="s">
        <v>3527</v>
      </c>
      <c r="F329" s="7771" t="s">
        <v>3528</v>
      </c>
      <c r="G329" s="7771" t="s">
        <v>28</v>
      </c>
      <c r="H329" s="7771" t="s">
        <v>28</v>
      </c>
      <c r="I329" s="7771" t="s">
        <v>822</v>
      </c>
    </row>
    <row customHeight="1" ht="11.25">
      <c r="A330" s="7771" t="s">
        <v>2266</v>
      </c>
      <c r="B330" s="7771" t="s">
        <v>16</v>
      </c>
      <c r="C330" s="7771" t="s">
        <v>3529</v>
      </c>
      <c r="D330" s="7771" t="s">
        <v>3530</v>
      </c>
      <c r="E330" s="7771" t="s">
        <v>3531</v>
      </c>
      <c r="F330" s="7771" t="s">
        <v>2347</v>
      </c>
      <c r="G330" s="7771" t="s">
        <v>28</v>
      </c>
      <c r="H330" s="7771" t="s">
        <v>28</v>
      </c>
      <c r="I330" s="7771" t="s">
        <v>822</v>
      </c>
    </row>
    <row customHeight="1" ht="11.25">
      <c r="A331" s="7771" t="s">
        <v>2266</v>
      </c>
      <c r="B331" s="7771" t="s">
        <v>16</v>
      </c>
      <c r="C331" s="7771" t="s">
        <v>3532</v>
      </c>
      <c r="D331" s="7771" t="s">
        <v>3533</v>
      </c>
      <c r="E331" s="7771" t="s">
        <v>3534</v>
      </c>
      <c r="F331" s="7771" t="s">
        <v>2385</v>
      </c>
      <c r="G331" s="7771" t="s">
        <v>3535</v>
      </c>
      <c r="H331" s="7771" t="s">
        <v>28</v>
      </c>
      <c r="I331" s="7771" t="s">
        <v>822</v>
      </c>
    </row>
    <row customHeight="1" ht="11.25">
      <c r="A332" s="7771" t="s">
        <v>2266</v>
      </c>
      <c r="B332" s="7771" t="s">
        <v>16</v>
      </c>
      <c r="C332" s="7771" t="s">
        <v>3536</v>
      </c>
      <c r="D332" s="7771" t="s">
        <v>3537</v>
      </c>
      <c r="E332" s="7771" t="s">
        <v>3538</v>
      </c>
      <c r="F332" s="7771" t="s">
        <v>2629</v>
      </c>
      <c r="G332" s="7771" t="s">
        <v>28</v>
      </c>
      <c r="H332" s="7771" t="s">
        <v>28</v>
      </c>
      <c r="I332" s="7771" t="s">
        <v>822</v>
      </c>
    </row>
    <row customHeight="1" ht="11.25">
      <c r="A333" s="7771" t="s">
        <v>2266</v>
      </c>
      <c r="B333" s="7771" t="s">
        <v>16</v>
      </c>
      <c r="C333" s="7771" t="s">
        <v>3539</v>
      </c>
      <c r="D333" s="7771" t="s">
        <v>3540</v>
      </c>
      <c r="E333" s="7771" t="s">
        <v>3541</v>
      </c>
      <c r="F333" s="7771" t="s">
        <v>2399</v>
      </c>
      <c r="G333" s="7771" t="s">
        <v>28</v>
      </c>
      <c r="H333" s="7771" t="s">
        <v>28</v>
      </c>
      <c r="I333" s="7771" t="s">
        <v>822</v>
      </c>
    </row>
    <row customHeight="1" ht="11.25">
      <c r="A334" s="7771" t="s">
        <v>2266</v>
      </c>
      <c r="B334" s="7771" t="s">
        <v>16</v>
      </c>
      <c r="C334" s="7771" t="s">
        <v>3542</v>
      </c>
      <c r="D334" s="7771" t="s">
        <v>3543</v>
      </c>
      <c r="E334" s="7771" t="s">
        <v>3544</v>
      </c>
      <c r="F334" s="7771" t="s">
        <v>2347</v>
      </c>
      <c r="G334" s="7771" t="s">
        <v>3545</v>
      </c>
      <c r="H334" s="7771" t="s">
        <v>28</v>
      </c>
      <c r="I334" s="7771" t="s">
        <v>822</v>
      </c>
    </row>
    <row customHeight="1" ht="11.25">
      <c r="A335" s="7771" t="s">
        <v>2266</v>
      </c>
      <c r="B335" s="7771" t="s">
        <v>16</v>
      </c>
      <c r="C335" s="7771" t="s">
        <v>3546</v>
      </c>
      <c r="D335" s="7771" t="s">
        <v>3547</v>
      </c>
      <c r="E335" s="7771" t="s">
        <v>3548</v>
      </c>
      <c r="F335" s="7771" t="s">
        <v>2385</v>
      </c>
      <c r="G335" s="7771" t="s">
        <v>3549</v>
      </c>
      <c r="H335" s="7771" t="s">
        <v>28</v>
      </c>
      <c r="I335" s="7771" t="s">
        <v>822</v>
      </c>
    </row>
    <row customHeight="1" ht="11.25">
      <c r="A336" s="7771" t="s">
        <v>2266</v>
      </c>
      <c r="B336" s="7771" t="s">
        <v>16</v>
      </c>
      <c r="C336" s="7771" t="s">
        <v>3550</v>
      </c>
      <c r="D336" s="7771" t="s">
        <v>3551</v>
      </c>
      <c r="E336" s="7771" t="s">
        <v>3552</v>
      </c>
      <c r="F336" s="7771" t="s">
        <v>3125</v>
      </c>
      <c r="G336" s="7771" t="s">
        <v>3553</v>
      </c>
      <c r="H336" s="7771" t="s">
        <v>28</v>
      </c>
      <c r="I336" s="7771" t="s">
        <v>822</v>
      </c>
    </row>
    <row customHeight="1" ht="11.25">
      <c r="A337" s="7771" t="s">
        <v>2266</v>
      </c>
      <c r="B337" s="7771" t="s">
        <v>16</v>
      </c>
      <c r="C337" s="7771" t="s">
        <v>3554</v>
      </c>
      <c r="D337" s="7771" t="s">
        <v>3555</v>
      </c>
      <c r="E337" s="7771" t="s">
        <v>3556</v>
      </c>
      <c r="F337" s="7771" t="s">
        <v>3557</v>
      </c>
      <c r="G337" s="7771" t="s">
        <v>3558</v>
      </c>
      <c r="H337" s="7771" t="s">
        <v>28</v>
      </c>
      <c r="I337" s="7771" t="s">
        <v>822</v>
      </c>
    </row>
    <row customHeight="1" ht="11.25">
      <c r="A338" s="7771" t="s">
        <v>2266</v>
      </c>
      <c r="B338" s="7771" t="s">
        <v>16</v>
      </c>
      <c r="C338" s="7771" t="s">
        <v>3559</v>
      </c>
      <c r="D338" s="7771" t="s">
        <v>3560</v>
      </c>
      <c r="E338" s="7771" t="s">
        <v>3561</v>
      </c>
      <c r="F338" s="7771" t="s">
        <v>2377</v>
      </c>
      <c r="G338" s="7771" t="s">
        <v>3562</v>
      </c>
      <c r="H338" s="7771" t="s">
        <v>28</v>
      </c>
      <c r="I338" s="7771" t="s">
        <v>822</v>
      </c>
    </row>
    <row customHeight="1" ht="11.25">
      <c r="A339" s="7771" t="s">
        <v>2266</v>
      </c>
      <c r="B339" s="7771" t="s">
        <v>16</v>
      </c>
      <c r="C339" s="7771" t="s">
        <v>3563</v>
      </c>
      <c r="D339" s="7771" t="s">
        <v>3564</v>
      </c>
      <c r="E339" s="7771" t="s">
        <v>3565</v>
      </c>
      <c r="F339" s="7771" t="s">
        <v>2800</v>
      </c>
      <c r="G339" s="7771" t="s">
        <v>28</v>
      </c>
      <c r="H339" s="7771" t="s">
        <v>28</v>
      </c>
      <c r="I339" s="7771" t="s">
        <v>822</v>
      </c>
    </row>
    <row customHeight="1" ht="11.25">
      <c r="A340" s="7771" t="s">
        <v>2266</v>
      </c>
      <c r="B340" s="7771" t="s">
        <v>16</v>
      </c>
      <c r="C340" s="7771" t="s">
        <v>3566</v>
      </c>
      <c r="D340" s="7771" t="s">
        <v>3567</v>
      </c>
      <c r="E340" s="7771" t="s">
        <v>3568</v>
      </c>
      <c r="F340" s="7771" t="s">
        <v>2280</v>
      </c>
      <c r="G340" s="7771" t="s">
        <v>3569</v>
      </c>
      <c r="H340" s="7771" t="s">
        <v>28</v>
      </c>
      <c r="I340" s="7771" t="s">
        <v>822</v>
      </c>
    </row>
    <row customHeight="1" ht="11.25">
      <c r="A341" s="7771" t="s">
        <v>2266</v>
      </c>
      <c r="B341" s="7771" t="s">
        <v>16</v>
      </c>
      <c r="C341" s="7771" t="s">
        <v>3570</v>
      </c>
      <c r="D341" s="7771" t="s">
        <v>3571</v>
      </c>
      <c r="E341" s="7771" t="s">
        <v>3572</v>
      </c>
      <c r="F341" s="7771" t="s">
        <v>3573</v>
      </c>
      <c r="G341" s="7771" t="s">
        <v>3481</v>
      </c>
      <c r="H341" s="7771" t="s">
        <v>28</v>
      </c>
      <c r="I341" s="7771" t="s">
        <v>822</v>
      </c>
    </row>
    <row customHeight="1" ht="11.25">
      <c r="A342" s="7771" t="s">
        <v>2266</v>
      </c>
      <c r="B342" s="7771" t="s">
        <v>16</v>
      </c>
      <c r="C342" s="7771" t="s">
        <v>3574</v>
      </c>
      <c r="D342" s="7771" t="s">
        <v>3575</v>
      </c>
      <c r="E342" s="7771" t="s">
        <v>3576</v>
      </c>
      <c r="F342" s="7771" t="s">
        <v>2655</v>
      </c>
      <c r="G342" s="7771" t="s">
        <v>28</v>
      </c>
      <c r="H342" s="7771" t="s">
        <v>28</v>
      </c>
      <c r="I342" s="7771" t="s">
        <v>822</v>
      </c>
    </row>
    <row customHeight="1" ht="11.25">
      <c r="A343" s="7771" t="s">
        <v>2266</v>
      </c>
      <c r="B343" s="7771" t="s">
        <v>16</v>
      </c>
      <c r="C343" s="7771" t="s">
        <v>3577</v>
      </c>
      <c r="D343" s="7771" t="s">
        <v>3578</v>
      </c>
      <c r="E343" s="7771" t="s">
        <v>3579</v>
      </c>
      <c r="F343" s="7771" t="s">
        <v>2655</v>
      </c>
      <c r="G343" s="7771" t="s">
        <v>3580</v>
      </c>
      <c r="H343" s="7771" t="s">
        <v>28</v>
      </c>
      <c r="I343" s="7771" t="s">
        <v>822</v>
      </c>
    </row>
    <row customHeight="1" ht="11.25">
      <c r="A344" s="7771" t="s">
        <v>2266</v>
      </c>
      <c r="B344" s="7771" t="s">
        <v>16</v>
      </c>
      <c r="C344" s="7771" t="s">
        <v>3581</v>
      </c>
      <c r="D344" s="7771" t="s">
        <v>3582</v>
      </c>
      <c r="E344" s="7771" t="s">
        <v>3583</v>
      </c>
      <c r="F344" s="7771" t="s">
        <v>2503</v>
      </c>
      <c r="G344" s="7771" t="s">
        <v>28</v>
      </c>
      <c r="H344" s="7771" t="s">
        <v>28</v>
      </c>
      <c r="I344" s="7771" t="s">
        <v>822</v>
      </c>
    </row>
    <row customHeight="1" ht="11.25">
      <c r="A345" s="7771" t="s">
        <v>2266</v>
      </c>
      <c r="B345" s="7771" t="s">
        <v>16</v>
      </c>
      <c r="C345" s="7771" t="s">
        <v>3584</v>
      </c>
      <c r="D345" s="7771" t="s">
        <v>3585</v>
      </c>
      <c r="E345" s="7771" t="s">
        <v>3586</v>
      </c>
      <c r="F345" s="7771" t="s">
        <v>2441</v>
      </c>
      <c r="G345" s="7771" t="s">
        <v>3587</v>
      </c>
      <c r="H345" s="7771" t="s">
        <v>28</v>
      </c>
      <c r="I345" s="7771" t="s">
        <v>822</v>
      </c>
    </row>
    <row customHeight="1" ht="11.25">
      <c r="A346" s="7771" t="s">
        <v>2266</v>
      </c>
      <c r="B346" s="7771" t="s">
        <v>16</v>
      </c>
      <c r="C346" s="7771" t="s">
        <v>3588</v>
      </c>
      <c r="D346" s="7771" t="s">
        <v>3589</v>
      </c>
      <c r="E346" s="7771" t="s">
        <v>3590</v>
      </c>
      <c r="F346" s="7771" t="s">
        <v>2412</v>
      </c>
      <c r="G346" s="7771" t="s">
        <v>28</v>
      </c>
      <c r="H346" s="7771" t="s">
        <v>28</v>
      </c>
      <c r="I346" s="7771" t="s">
        <v>822</v>
      </c>
    </row>
    <row customHeight="1" ht="11.25">
      <c r="A347" s="7771" t="s">
        <v>2266</v>
      </c>
      <c r="B347" s="7771" t="s">
        <v>16</v>
      </c>
      <c r="C347" s="7771" t="s">
        <v>3591</v>
      </c>
      <c r="D347" s="7771" t="s">
        <v>3592</v>
      </c>
      <c r="E347" s="7771" t="s">
        <v>3593</v>
      </c>
      <c r="F347" s="7771" t="s">
        <v>2800</v>
      </c>
      <c r="G347" s="7771" t="s">
        <v>28</v>
      </c>
      <c r="H347" s="7771" t="s">
        <v>28</v>
      </c>
      <c r="I347" s="7771" t="s">
        <v>822</v>
      </c>
    </row>
    <row customHeight="1" ht="11.25">
      <c r="A348" s="7771" t="s">
        <v>2266</v>
      </c>
      <c r="B348" s="7771" t="s">
        <v>16</v>
      </c>
      <c r="C348" s="7771" t="s">
        <v>3594</v>
      </c>
      <c r="D348" s="7771" t="s">
        <v>3595</v>
      </c>
      <c r="E348" s="7771" t="s">
        <v>3596</v>
      </c>
      <c r="F348" s="7771" t="s">
        <v>2486</v>
      </c>
      <c r="G348" s="7771" t="s">
        <v>28</v>
      </c>
      <c r="H348" s="7771" t="s">
        <v>28</v>
      </c>
      <c r="I348" s="7771" t="s">
        <v>822</v>
      </c>
    </row>
    <row customHeight="1" ht="11.25">
      <c r="A349" s="7771" t="s">
        <v>2266</v>
      </c>
      <c r="B349" s="7771" t="s">
        <v>16</v>
      </c>
      <c r="C349" s="7771" t="s">
        <v>3597</v>
      </c>
      <c r="D349" s="7771" t="s">
        <v>3598</v>
      </c>
      <c r="E349" s="7771" t="s">
        <v>3599</v>
      </c>
      <c r="F349" s="7771" t="s">
        <v>2280</v>
      </c>
      <c r="G349" s="7771" t="s">
        <v>3600</v>
      </c>
      <c r="H349" s="7771" t="s">
        <v>28</v>
      </c>
      <c r="I349" s="7771" t="s">
        <v>822</v>
      </c>
    </row>
    <row customHeight="1" ht="11.25">
      <c r="A350" s="7771" t="s">
        <v>2266</v>
      </c>
      <c r="B350" s="7771" t="s">
        <v>16</v>
      </c>
      <c r="C350" s="7771" t="s">
        <v>3601</v>
      </c>
      <c r="D350" s="7771" t="s">
        <v>3602</v>
      </c>
      <c r="E350" s="7771" t="s">
        <v>3603</v>
      </c>
      <c r="F350" s="7771" t="s">
        <v>2372</v>
      </c>
      <c r="G350" s="7771" t="s">
        <v>28</v>
      </c>
      <c r="H350" s="7771" t="s">
        <v>28</v>
      </c>
      <c r="I350" s="7771" t="s">
        <v>822</v>
      </c>
    </row>
    <row customHeight="1" ht="11.25">
      <c r="A351" s="7771" t="s">
        <v>2266</v>
      </c>
      <c r="B351" s="7771" t="s">
        <v>16</v>
      </c>
      <c r="C351" s="7771" t="s">
        <v>3604</v>
      </c>
      <c r="D351" s="7771" t="s">
        <v>3605</v>
      </c>
      <c r="E351" s="7771" t="s">
        <v>3606</v>
      </c>
      <c r="F351" s="7771" t="s">
        <v>2425</v>
      </c>
      <c r="G351" s="7771" t="s">
        <v>3607</v>
      </c>
      <c r="H351" s="7771" t="s">
        <v>28</v>
      </c>
      <c r="I351" s="7771" t="s">
        <v>822</v>
      </c>
    </row>
    <row customHeight="1" ht="11.25">
      <c r="A352" s="7771" t="s">
        <v>2266</v>
      </c>
      <c r="B352" s="7771" t="s">
        <v>16</v>
      </c>
      <c r="C352" s="7771" t="s">
        <v>3608</v>
      </c>
      <c r="D352" s="7771" t="s">
        <v>3609</v>
      </c>
      <c r="E352" s="7771" t="s">
        <v>3610</v>
      </c>
      <c r="F352" s="7771" t="s">
        <v>2473</v>
      </c>
      <c r="G352" s="7771" t="s">
        <v>3611</v>
      </c>
      <c r="H352" s="7771" t="s">
        <v>28</v>
      </c>
      <c r="I352" s="7771" t="s">
        <v>822</v>
      </c>
    </row>
    <row customHeight="1" ht="11.25">
      <c r="A353" s="7771" t="s">
        <v>2266</v>
      </c>
      <c r="B353" s="7771" t="s">
        <v>16</v>
      </c>
      <c r="C353" s="7771" t="s">
        <v>3612</v>
      </c>
      <c r="D353" s="7771" t="s">
        <v>3613</v>
      </c>
      <c r="E353" s="7771" t="s">
        <v>3614</v>
      </c>
      <c r="F353" s="7771" t="s">
        <v>2377</v>
      </c>
      <c r="G353" s="7771" t="s">
        <v>3615</v>
      </c>
      <c r="H353" s="7771" t="s">
        <v>28</v>
      </c>
      <c r="I353" s="7771" t="s">
        <v>822</v>
      </c>
    </row>
    <row customHeight="1" ht="11.25">
      <c r="A354" s="7771" t="s">
        <v>2266</v>
      </c>
      <c r="B354" s="7771" t="s">
        <v>16</v>
      </c>
      <c r="C354" s="7771" t="s">
        <v>3616</v>
      </c>
      <c r="D354" s="7771" t="s">
        <v>3617</v>
      </c>
      <c r="E354" s="7771" t="s">
        <v>3618</v>
      </c>
      <c r="F354" s="7771" t="s">
        <v>2723</v>
      </c>
      <c r="G354" s="7771" t="s">
        <v>3619</v>
      </c>
      <c r="H354" s="7771" t="s">
        <v>28</v>
      </c>
      <c r="I354" s="7771" t="s">
        <v>822</v>
      </c>
    </row>
    <row customHeight="1" ht="11.25">
      <c r="A355" s="7771" t="s">
        <v>2266</v>
      </c>
      <c r="B355" s="7771" t="s">
        <v>16</v>
      </c>
      <c r="C355" s="7771" t="s">
        <v>3620</v>
      </c>
      <c r="D355" s="7771" t="s">
        <v>3621</v>
      </c>
      <c r="E355" s="7771" t="s">
        <v>3622</v>
      </c>
      <c r="F355" s="7771" t="s">
        <v>2846</v>
      </c>
      <c r="G355" s="7771" t="s">
        <v>28</v>
      </c>
      <c r="H355" s="7771" t="s">
        <v>28</v>
      </c>
      <c r="I355" s="7771" t="s">
        <v>822</v>
      </c>
    </row>
    <row customHeight="1" ht="11.25">
      <c r="A356" s="7771" t="s">
        <v>2266</v>
      </c>
      <c r="B356" s="7771" t="s">
        <v>16</v>
      </c>
      <c r="C356" s="7771" t="s">
        <v>3623</v>
      </c>
      <c r="D356" s="7771" t="s">
        <v>3624</v>
      </c>
      <c r="E356" s="7771" t="s">
        <v>3625</v>
      </c>
      <c r="F356" s="7771" t="s">
        <v>3626</v>
      </c>
      <c r="G356" s="7771" t="s">
        <v>28</v>
      </c>
      <c r="H356" s="7771" t="s">
        <v>28</v>
      </c>
      <c r="I356" s="7771" t="s">
        <v>822</v>
      </c>
    </row>
    <row customHeight="1" ht="11.25">
      <c r="A357" s="7771" t="s">
        <v>2266</v>
      </c>
      <c r="B357" s="7771" t="s">
        <v>16</v>
      </c>
      <c r="C357" s="7771" t="s">
        <v>3627</v>
      </c>
      <c r="D357" s="7771" t="s">
        <v>3628</v>
      </c>
      <c r="E357" s="7771" t="s">
        <v>3629</v>
      </c>
      <c r="F357" s="7771" t="s">
        <v>2441</v>
      </c>
      <c r="G357" s="7771" t="s">
        <v>28</v>
      </c>
      <c r="H357" s="7771" t="s">
        <v>28</v>
      </c>
      <c r="I357" s="7771" t="s">
        <v>822</v>
      </c>
    </row>
    <row customHeight="1" ht="11.25">
      <c r="A358" s="7771" t="s">
        <v>2266</v>
      </c>
      <c r="B358" s="7771" t="s">
        <v>16</v>
      </c>
      <c r="C358" s="7771" t="s">
        <v>3630</v>
      </c>
      <c r="D358" s="7771" t="s">
        <v>3631</v>
      </c>
      <c r="E358" s="7771" t="s">
        <v>3632</v>
      </c>
      <c r="F358" s="7771" t="s">
        <v>2377</v>
      </c>
      <c r="G358" s="7771" t="s">
        <v>3633</v>
      </c>
      <c r="H358" s="7771" t="s">
        <v>28</v>
      </c>
      <c r="I358" s="7771" t="s">
        <v>822</v>
      </c>
    </row>
    <row customHeight="1" ht="11.25">
      <c r="A359" s="7771" t="s">
        <v>2266</v>
      </c>
      <c r="B359" s="7771" t="s">
        <v>16</v>
      </c>
      <c r="C359" s="7771" t="s">
        <v>3634</v>
      </c>
      <c r="D359" s="7771" t="s">
        <v>3635</v>
      </c>
      <c r="E359" s="7771" t="s">
        <v>3636</v>
      </c>
      <c r="F359" s="7771" t="s">
        <v>2629</v>
      </c>
      <c r="G359" s="7771" t="s">
        <v>3637</v>
      </c>
      <c r="H359" s="7771" t="s">
        <v>28</v>
      </c>
      <c r="I359" s="7771" t="s">
        <v>822</v>
      </c>
    </row>
    <row customHeight="1" ht="11.25">
      <c r="A360" s="7771" t="s">
        <v>2266</v>
      </c>
      <c r="B360" s="7771" t="s">
        <v>16</v>
      </c>
      <c r="C360" s="7771" t="s">
        <v>3638</v>
      </c>
      <c r="D360" s="7771" t="s">
        <v>3639</v>
      </c>
      <c r="E360" s="7771" t="s">
        <v>3640</v>
      </c>
      <c r="F360" s="7771" t="s">
        <v>2377</v>
      </c>
      <c r="G360" s="7771" t="s">
        <v>3641</v>
      </c>
      <c r="H360" s="7771" t="s">
        <v>28</v>
      </c>
      <c r="I360" s="7771" t="s">
        <v>822</v>
      </c>
    </row>
    <row customHeight="1" ht="11.25">
      <c r="A361" s="7771" t="s">
        <v>2266</v>
      </c>
      <c r="B361" s="7771" t="s">
        <v>16</v>
      </c>
      <c r="C361" s="7771" t="s">
        <v>3642</v>
      </c>
      <c r="D361" s="7771" t="s">
        <v>3643</v>
      </c>
      <c r="E361" s="7771" t="s">
        <v>3644</v>
      </c>
      <c r="F361" s="7771" t="s">
        <v>2360</v>
      </c>
      <c r="G361" s="7771" t="s">
        <v>3645</v>
      </c>
      <c r="H361" s="7771" t="s">
        <v>28</v>
      </c>
      <c r="I361" s="7771" t="s">
        <v>822</v>
      </c>
    </row>
    <row customHeight="1" ht="11.25">
      <c r="A362" s="7771" t="s">
        <v>2266</v>
      </c>
      <c r="B362" s="7771" t="s">
        <v>16</v>
      </c>
      <c r="C362" s="7771" t="s">
        <v>3646</v>
      </c>
      <c r="D362" s="7771" t="s">
        <v>3647</v>
      </c>
      <c r="E362" s="7771" t="s">
        <v>3648</v>
      </c>
      <c r="F362" s="7771" t="s">
        <v>2629</v>
      </c>
      <c r="G362" s="7771" t="s">
        <v>3649</v>
      </c>
      <c r="H362" s="7771" t="s">
        <v>28</v>
      </c>
      <c r="I362" s="7771" t="s">
        <v>822</v>
      </c>
    </row>
    <row customHeight="1" ht="11.25">
      <c r="A363" s="7771" t="s">
        <v>2266</v>
      </c>
      <c r="B363" s="7771" t="s">
        <v>16</v>
      </c>
      <c r="C363" s="7771" t="s">
        <v>3650</v>
      </c>
      <c r="D363" s="7771" t="s">
        <v>3651</v>
      </c>
      <c r="E363" s="7771" t="s">
        <v>3652</v>
      </c>
      <c r="F363" s="7771" t="s">
        <v>2295</v>
      </c>
      <c r="G363" s="7771" t="s">
        <v>28</v>
      </c>
      <c r="H363" s="7771" t="s">
        <v>28</v>
      </c>
      <c r="I363" s="7771" t="s">
        <v>822</v>
      </c>
    </row>
    <row customHeight="1" ht="11.25">
      <c r="A364" s="7771" t="s">
        <v>2266</v>
      </c>
      <c r="B364" s="7771" t="s">
        <v>16</v>
      </c>
      <c r="C364" s="7771" t="s">
        <v>3653</v>
      </c>
      <c r="D364" s="7771" t="s">
        <v>3654</v>
      </c>
      <c r="E364" s="7771" t="s">
        <v>3655</v>
      </c>
      <c r="F364" s="7771" t="s">
        <v>2280</v>
      </c>
      <c r="G364" s="7771" t="s">
        <v>3656</v>
      </c>
      <c r="H364" s="7771" t="s">
        <v>28</v>
      </c>
      <c r="I364" s="7771" t="s">
        <v>822</v>
      </c>
    </row>
    <row customHeight="1" ht="11.25">
      <c r="A365" s="7771" t="s">
        <v>2266</v>
      </c>
      <c r="B365" s="7771" t="s">
        <v>16</v>
      </c>
      <c r="C365" s="7771" t="s">
        <v>3657</v>
      </c>
      <c r="D365" s="7771" t="s">
        <v>3658</v>
      </c>
      <c r="E365" s="7771" t="s">
        <v>3659</v>
      </c>
      <c r="F365" s="7771" t="s">
        <v>2280</v>
      </c>
      <c r="G365" s="7771" t="s">
        <v>3660</v>
      </c>
      <c r="H365" s="7771" t="s">
        <v>28</v>
      </c>
      <c r="I365" s="7771" t="s">
        <v>822</v>
      </c>
    </row>
    <row customHeight="1" ht="11.25">
      <c r="A366" s="7771" t="s">
        <v>2266</v>
      </c>
      <c r="B366" s="7771" t="s">
        <v>16</v>
      </c>
      <c r="C366" s="7771" t="s">
        <v>3661</v>
      </c>
      <c r="D366" s="7771" t="s">
        <v>3662</v>
      </c>
      <c r="E366" s="7771" t="s">
        <v>3663</v>
      </c>
      <c r="F366" s="7771" t="s">
        <v>2360</v>
      </c>
      <c r="G366" s="7771" t="s">
        <v>3664</v>
      </c>
      <c r="H366" s="7771" t="s">
        <v>28</v>
      </c>
      <c r="I366" s="7771" t="s">
        <v>822</v>
      </c>
    </row>
    <row customHeight="1" ht="11.25">
      <c r="A367" s="7771" t="s">
        <v>2266</v>
      </c>
      <c r="B367" s="7771" t="s">
        <v>16</v>
      </c>
      <c r="C367" s="7771" t="s">
        <v>3665</v>
      </c>
      <c r="D367" s="7771" t="s">
        <v>3666</v>
      </c>
      <c r="E367" s="7771" t="s">
        <v>3667</v>
      </c>
      <c r="F367" s="7771" t="s">
        <v>2347</v>
      </c>
      <c r="G367" s="7771" t="s">
        <v>3668</v>
      </c>
      <c r="H367" s="7771" t="s">
        <v>28</v>
      </c>
      <c r="I367" s="7771" t="s">
        <v>822</v>
      </c>
    </row>
    <row customHeight="1" ht="11.25">
      <c r="A368" s="7771" t="s">
        <v>2266</v>
      </c>
      <c r="B368" s="7771" t="s">
        <v>16</v>
      </c>
      <c r="C368" s="7771" t="s">
        <v>3669</v>
      </c>
      <c r="D368" s="7771" t="s">
        <v>3670</v>
      </c>
      <c r="E368" s="7771" t="s">
        <v>3671</v>
      </c>
      <c r="F368" s="7771" t="s">
        <v>3125</v>
      </c>
      <c r="G368" s="7771" t="s">
        <v>28</v>
      </c>
      <c r="H368" s="7771" t="s">
        <v>28</v>
      </c>
      <c r="I368" s="7771" t="s">
        <v>822</v>
      </c>
    </row>
    <row customHeight="1" ht="11.25">
      <c r="A369" s="7771" t="s">
        <v>2266</v>
      </c>
      <c r="B369" s="7771" t="s">
        <v>16</v>
      </c>
      <c r="C369" s="7771" t="s">
        <v>3672</v>
      </c>
      <c r="D369" s="7771" t="s">
        <v>3673</v>
      </c>
      <c r="E369" s="7771" t="s">
        <v>3674</v>
      </c>
      <c r="F369" s="7771" t="s">
        <v>2425</v>
      </c>
      <c r="G369" s="7771" t="s">
        <v>3675</v>
      </c>
      <c r="H369" s="7771" t="s">
        <v>28</v>
      </c>
      <c r="I369" s="7771" t="s">
        <v>822</v>
      </c>
    </row>
    <row customHeight="1" ht="11.25">
      <c r="A370" s="7771" t="s">
        <v>2266</v>
      </c>
      <c r="B370" s="7771" t="s">
        <v>16</v>
      </c>
      <c r="C370" s="7771" t="s">
        <v>3676</v>
      </c>
      <c r="D370" s="7771" t="s">
        <v>3677</v>
      </c>
      <c r="E370" s="7771" t="s">
        <v>3678</v>
      </c>
      <c r="F370" s="7771" t="s">
        <v>3679</v>
      </c>
      <c r="G370" s="7771" t="s">
        <v>3680</v>
      </c>
      <c r="H370" s="7771" t="s">
        <v>28</v>
      </c>
      <c r="I370" s="7771" t="s">
        <v>822</v>
      </c>
    </row>
    <row customHeight="1" ht="11.25">
      <c r="A371" s="7771" t="s">
        <v>2266</v>
      </c>
      <c r="B371" s="7771" t="s">
        <v>16</v>
      </c>
      <c r="C371" s="7771" t="s">
        <v>3681</v>
      </c>
      <c r="D371" s="7771" t="s">
        <v>3682</v>
      </c>
      <c r="E371" s="7771" t="s">
        <v>3683</v>
      </c>
      <c r="F371" s="7771" t="s">
        <v>2723</v>
      </c>
      <c r="G371" s="7771" t="s">
        <v>28</v>
      </c>
      <c r="H371" s="7771" t="s">
        <v>28</v>
      </c>
      <c r="I371" s="7771" t="s">
        <v>822</v>
      </c>
    </row>
    <row customHeight="1" ht="11.25">
      <c r="A372" s="7771" t="s">
        <v>2266</v>
      </c>
      <c r="B372" s="7771" t="s">
        <v>16</v>
      </c>
      <c r="C372" s="7771" t="s">
        <v>3684</v>
      </c>
      <c r="D372" s="7771" t="s">
        <v>3685</v>
      </c>
      <c r="E372" s="7771" t="s">
        <v>3686</v>
      </c>
      <c r="F372" s="7771" t="s">
        <v>2629</v>
      </c>
      <c r="G372" s="7771" t="s">
        <v>3687</v>
      </c>
      <c r="H372" s="7771" t="s">
        <v>28</v>
      </c>
      <c r="I372" s="7771" t="s">
        <v>822</v>
      </c>
    </row>
    <row customHeight="1" ht="11.25">
      <c r="A373" s="7771" t="s">
        <v>2266</v>
      </c>
      <c r="B373" s="7771" t="s">
        <v>16</v>
      </c>
      <c r="C373" s="7771" t="s">
        <v>3688</v>
      </c>
      <c r="D373" s="7771" t="s">
        <v>3689</v>
      </c>
      <c r="E373" s="7771" t="s">
        <v>3690</v>
      </c>
      <c r="F373" s="7771" t="s">
        <v>2280</v>
      </c>
      <c r="G373" s="7771" t="s">
        <v>3691</v>
      </c>
      <c r="H373" s="7771" t="s">
        <v>28</v>
      </c>
      <c r="I373" s="7771" t="s">
        <v>822</v>
      </c>
    </row>
    <row customHeight="1" ht="11.25">
      <c r="A374" s="7771" t="s">
        <v>2266</v>
      </c>
      <c r="B374" s="7771" t="s">
        <v>16</v>
      </c>
      <c r="C374" s="7771" t="s">
        <v>3692</v>
      </c>
      <c r="D374" s="7771" t="s">
        <v>3693</v>
      </c>
      <c r="E374" s="7771" t="s">
        <v>3694</v>
      </c>
      <c r="F374" s="7771" t="s">
        <v>2592</v>
      </c>
      <c r="G374" s="7771" t="s">
        <v>3695</v>
      </c>
      <c r="H374" s="7771" t="s">
        <v>28</v>
      </c>
      <c r="I374" s="7771" t="s">
        <v>822</v>
      </c>
    </row>
    <row customHeight="1" ht="11.25">
      <c r="A375" s="7771" t="s">
        <v>2266</v>
      </c>
      <c r="B375" s="7771" t="s">
        <v>16</v>
      </c>
      <c r="C375" s="7771" t="s">
        <v>3696</v>
      </c>
      <c r="D375" s="7771" t="s">
        <v>3697</v>
      </c>
      <c r="E375" s="7771" t="s">
        <v>3698</v>
      </c>
      <c r="F375" s="7771" t="s">
        <v>2468</v>
      </c>
      <c r="G375" s="7771" t="s">
        <v>28</v>
      </c>
      <c r="H375" s="7771" t="s">
        <v>28</v>
      </c>
      <c r="I375" s="7771" t="s">
        <v>822</v>
      </c>
    </row>
    <row customHeight="1" ht="11.25">
      <c r="A376" s="7771" t="s">
        <v>2266</v>
      </c>
      <c r="B376" s="7771" t="s">
        <v>16</v>
      </c>
      <c r="C376" s="7771" t="s">
        <v>3699</v>
      </c>
      <c r="D376" s="7771" t="s">
        <v>3700</v>
      </c>
      <c r="E376" s="7771" t="s">
        <v>3701</v>
      </c>
      <c r="F376" s="7771" t="s">
        <v>2390</v>
      </c>
      <c r="G376" s="7771" t="s">
        <v>28</v>
      </c>
      <c r="H376" s="7771" t="s">
        <v>28</v>
      </c>
      <c r="I376" s="7771" t="s">
        <v>822</v>
      </c>
    </row>
    <row customHeight="1" ht="11.25">
      <c r="A377" s="7771" t="s">
        <v>2266</v>
      </c>
      <c r="B377" s="7771" t="s">
        <v>16</v>
      </c>
      <c r="C377" s="7771" t="s">
        <v>3702</v>
      </c>
      <c r="D377" s="7771" t="s">
        <v>3703</v>
      </c>
      <c r="E377" s="7771" t="s">
        <v>3704</v>
      </c>
      <c r="F377" s="7771" t="s">
        <v>3705</v>
      </c>
      <c r="G377" s="7771" t="s">
        <v>28</v>
      </c>
      <c r="H377" s="7771" t="s">
        <v>28</v>
      </c>
      <c r="I377" s="7771" t="s">
        <v>822</v>
      </c>
    </row>
    <row customHeight="1" ht="11.25">
      <c r="A378" s="7771" t="s">
        <v>2266</v>
      </c>
      <c r="B378" s="7771" t="s">
        <v>16</v>
      </c>
      <c r="C378" s="7771" t="s">
        <v>3706</v>
      </c>
      <c r="D378" s="7771" t="s">
        <v>3707</v>
      </c>
      <c r="E378" s="7771" t="s">
        <v>3708</v>
      </c>
      <c r="F378" s="7771" t="s">
        <v>2518</v>
      </c>
      <c r="G378" s="7771" t="s">
        <v>28</v>
      </c>
      <c r="H378" s="7771" t="s">
        <v>28</v>
      </c>
      <c r="I378" s="7771" t="s">
        <v>822</v>
      </c>
    </row>
    <row customHeight="1" ht="11.25">
      <c r="A379" s="7771" t="s">
        <v>2266</v>
      </c>
      <c r="B379" s="7771" t="s">
        <v>16</v>
      </c>
      <c r="C379" s="7771" t="s">
        <v>3709</v>
      </c>
      <c r="D379" s="7771" t="s">
        <v>3710</v>
      </c>
      <c r="E379" s="7771" t="s">
        <v>3711</v>
      </c>
      <c r="F379" s="7771" t="s">
        <v>2829</v>
      </c>
      <c r="G379" s="7771" t="s">
        <v>28</v>
      </c>
      <c r="H379" s="7771" t="s">
        <v>28</v>
      </c>
      <c r="I379" s="7771" t="s">
        <v>822</v>
      </c>
    </row>
    <row customHeight="1" ht="11.25">
      <c r="A380" s="7771" t="s">
        <v>2266</v>
      </c>
      <c r="B380" s="7771" t="s">
        <v>16</v>
      </c>
      <c r="C380" s="7771" t="s">
        <v>3712</v>
      </c>
      <c r="D380" s="7771" t="s">
        <v>3713</v>
      </c>
      <c r="E380" s="7771" t="s">
        <v>3714</v>
      </c>
      <c r="F380" s="7771" t="s">
        <v>3036</v>
      </c>
      <c r="G380" s="7771" t="s">
        <v>28</v>
      </c>
      <c r="H380" s="7771" t="s">
        <v>28</v>
      </c>
      <c r="I380" s="7771" t="s">
        <v>822</v>
      </c>
    </row>
    <row customHeight="1" ht="11.25">
      <c r="A381" s="7771" t="s">
        <v>2266</v>
      </c>
      <c r="B381" s="7771" t="s">
        <v>16</v>
      </c>
      <c r="C381" s="7771" t="s">
        <v>3715</v>
      </c>
      <c r="D381" s="7771" t="s">
        <v>3716</v>
      </c>
      <c r="E381" s="7771" t="s">
        <v>3717</v>
      </c>
      <c r="F381" s="7771" t="s">
        <v>2441</v>
      </c>
      <c r="G381" s="7771" t="s">
        <v>3718</v>
      </c>
      <c r="H381" s="7771" t="s">
        <v>28</v>
      </c>
      <c r="I381" s="7771" t="s">
        <v>822</v>
      </c>
    </row>
    <row customHeight="1" ht="11.25">
      <c r="A382" s="7771" t="s">
        <v>2266</v>
      </c>
      <c r="B382" s="7771" t="s">
        <v>16</v>
      </c>
      <c r="C382" s="7771" t="s">
        <v>3719</v>
      </c>
      <c r="D382" s="7771" t="s">
        <v>3720</v>
      </c>
      <c r="E382" s="7771" t="s">
        <v>3721</v>
      </c>
      <c r="F382" s="7771" t="s">
        <v>2451</v>
      </c>
      <c r="G382" s="7771" t="s">
        <v>3722</v>
      </c>
      <c r="H382" s="7771" t="s">
        <v>28</v>
      </c>
      <c r="I382" s="7771" t="s">
        <v>822</v>
      </c>
    </row>
    <row customHeight="1" ht="11.25">
      <c r="A383" s="7771" t="s">
        <v>2266</v>
      </c>
      <c r="B383" s="7771" t="s">
        <v>16</v>
      </c>
      <c r="C383" s="7771" t="s">
        <v>3723</v>
      </c>
      <c r="D383" s="7771" t="s">
        <v>3724</v>
      </c>
      <c r="E383" s="7771" t="s">
        <v>3725</v>
      </c>
      <c r="F383" s="7771" t="s">
        <v>3726</v>
      </c>
      <c r="G383" s="7771" t="s">
        <v>28</v>
      </c>
      <c r="H383" s="7771" t="s">
        <v>28</v>
      </c>
      <c r="I383" s="7771" t="s">
        <v>822</v>
      </c>
    </row>
    <row customHeight="1" ht="11.25">
      <c r="A384" s="7771" t="s">
        <v>2266</v>
      </c>
      <c r="B384" s="7771" t="s">
        <v>16</v>
      </c>
      <c r="C384" s="7771" t="s">
        <v>3727</v>
      </c>
      <c r="D384" s="7771" t="s">
        <v>3728</v>
      </c>
      <c r="E384" s="7771" t="s">
        <v>3729</v>
      </c>
      <c r="F384" s="7771" t="s">
        <v>2451</v>
      </c>
      <c r="G384" s="7771" t="s">
        <v>28</v>
      </c>
      <c r="H384" s="7771" t="s">
        <v>28</v>
      </c>
      <c r="I384" s="7771" t="s">
        <v>822</v>
      </c>
    </row>
    <row customHeight="1" ht="11.25">
      <c r="A385" s="7771" t="s">
        <v>2266</v>
      </c>
      <c r="B385" s="7771" t="s">
        <v>16</v>
      </c>
      <c r="C385" s="7771" t="s">
        <v>3730</v>
      </c>
      <c r="D385" s="7771" t="s">
        <v>3731</v>
      </c>
      <c r="E385" s="7771" t="s">
        <v>3732</v>
      </c>
      <c r="F385" s="7771" t="s">
        <v>2451</v>
      </c>
      <c r="G385" s="7771" t="s">
        <v>3733</v>
      </c>
      <c r="H385" s="7771" t="s">
        <v>28</v>
      </c>
      <c r="I385" s="7771" t="s">
        <v>822</v>
      </c>
    </row>
    <row customHeight="1" ht="11.25">
      <c r="A386" s="7771" t="s">
        <v>2266</v>
      </c>
      <c r="B386" s="7771" t="s">
        <v>16</v>
      </c>
      <c r="C386" s="7771" t="s">
        <v>3734</v>
      </c>
      <c r="D386" s="7771" t="s">
        <v>3735</v>
      </c>
      <c r="E386" s="7771" t="s">
        <v>3736</v>
      </c>
      <c r="F386" s="7771" t="s">
        <v>2280</v>
      </c>
      <c r="G386" s="7771" t="s">
        <v>3737</v>
      </c>
      <c r="H386" s="7771" t="s">
        <v>28</v>
      </c>
      <c r="I386" s="7771" t="s">
        <v>822</v>
      </c>
    </row>
    <row customHeight="1" ht="11.25">
      <c r="A387" s="7771" t="s">
        <v>2266</v>
      </c>
      <c r="B387" s="7771" t="s">
        <v>16</v>
      </c>
      <c r="C387" s="7771" t="s">
        <v>3738</v>
      </c>
      <c r="D387" s="7771" t="s">
        <v>3739</v>
      </c>
      <c r="E387" s="7771" t="s">
        <v>3740</v>
      </c>
      <c r="F387" s="7771" t="s">
        <v>2285</v>
      </c>
      <c r="G387" s="7771" t="s">
        <v>3741</v>
      </c>
      <c r="H387" s="7771" t="s">
        <v>28</v>
      </c>
      <c r="I387" s="7771" t="s">
        <v>822</v>
      </c>
    </row>
    <row customHeight="1" ht="11.25">
      <c r="A388" s="7771" t="s">
        <v>2266</v>
      </c>
      <c r="B388" s="7771" t="s">
        <v>16</v>
      </c>
      <c r="C388" s="7771" t="s">
        <v>3742</v>
      </c>
      <c r="D388" s="7771" t="s">
        <v>3743</v>
      </c>
      <c r="E388" s="7771" t="s">
        <v>3725</v>
      </c>
      <c r="F388" s="7771" t="s">
        <v>3744</v>
      </c>
      <c r="G388" s="7771" t="s">
        <v>3745</v>
      </c>
      <c r="H388" s="7771" t="s">
        <v>28</v>
      </c>
      <c r="I388" s="7771" t="s">
        <v>822</v>
      </c>
    </row>
    <row customHeight="1" ht="11.25">
      <c r="A389" s="7771" t="s">
        <v>2266</v>
      </c>
      <c r="B389" s="7771" t="s">
        <v>16</v>
      </c>
      <c r="C389" s="7771" t="s">
        <v>3746</v>
      </c>
      <c r="D389" s="7771" t="s">
        <v>3747</v>
      </c>
      <c r="E389" s="7771" t="s">
        <v>3748</v>
      </c>
      <c r="F389" s="7771" t="s">
        <v>3749</v>
      </c>
      <c r="G389" s="7771" t="s">
        <v>3750</v>
      </c>
      <c r="H389" s="7771" t="s">
        <v>28</v>
      </c>
      <c r="I389" s="7771" t="s">
        <v>822</v>
      </c>
    </row>
    <row customHeight="1" ht="11.25">
      <c r="A390" s="7771" t="s">
        <v>2266</v>
      </c>
      <c r="B390" s="7771" t="s">
        <v>16</v>
      </c>
      <c r="C390" s="7771" t="s">
        <v>3751</v>
      </c>
      <c r="D390" s="7771" t="s">
        <v>3752</v>
      </c>
      <c r="E390" s="7771" t="s">
        <v>3753</v>
      </c>
      <c r="F390" s="7771" t="s">
        <v>3754</v>
      </c>
      <c r="G390" s="7771" t="s">
        <v>3755</v>
      </c>
      <c r="H390" s="7771" t="s">
        <v>28</v>
      </c>
      <c r="I390" s="7771" t="s">
        <v>822</v>
      </c>
    </row>
    <row customHeight="1" ht="11.25">
      <c r="A391" s="7771" t="s">
        <v>2266</v>
      </c>
      <c r="B391" s="7771" t="s">
        <v>16</v>
      </c>
      <c r="C391" s="7771" t="s">
        <v>3756</v>
      </c>
      <c r="D391" s="7771" t="s">
        <v>3757</v>
      </c>
      <c r="E391" s="7771" t="s">
        <v>3758</v>
      </c>
      <c r="F391" s="7771" t="s">
        <v>2280</v>
      </c>
      <c r="G391" s="7771" t="s">
        <v>28</v>
      </c>
      <c r="H391" s="7771" t="s">
        <v>28</v>
      </c>
      <c r="I391" s="7771" t="s">
        <v>822</v>
      </c>
    </row>
    <row customHeight="1" ht="11.25">
      <c r="A392" s="7771" t="s">
        <v>2266</v>
      </c>
      <c r="B392" s="7771" t="s">
        <v>16</v>
      </c>
      <c r="C392" s="7771" t="s">
        <v>3759</v>
      </c>
      <c r="D392" s="7771" t="s">
        <v>3760</v>
      </c>
      <c r="E392" s="7771" t="s">
        <v>3761</v>
      </c>
      <c r="F392" s="7771" t="s">
        <v>2446</v>
      </c>
      <c r="G392" s="7771" t="s">
        <v>3762</v>
      </c>
      <c r="H392" s="7771" t="s">
        <v>28</v>
      </c>
      <c r="I392" s="7771" t="s">
        <v>822</v>
      </c>
    </row>
    <row customHeight="1" ht="11.25">
      <c r="A393" s="7771" t="s">
        <v>2266</v>
      </c>
      <c r="B393" s="7771" t="s">
        <v>16</v>
      </c>
      <c r="C393" s="7771" t="s">
        <v>3763</v>
      </c>
      <c r="D393" s="7771" t="s">
        <v>3764</v>
      </c>
      <c r="E393" s="7771" t="s">
        <v>3765</v>
      </c>
      <c r="F393" s="7771" t="s">
        <v>2503</v>
      </c>
      <c r="G393" s="7771" t="s">
        <v>3766</v>
      </c>
      <c r="H393" s="7771" t="s">
        <v>28</v>
      </c>
      <c r="I393" s="7771" t="s">
        <v>822</v>
      </c>
    </row>
    <row customHeight="1" ht="11.25">
      <c r="A394" s="7771" t="s">
        <v>2266</v>
      </c>
      <c r="B394" s="7771" t="s">
        <v>16</v>
      </c>
      <c r="C394" s="7771" t="s">
        <v>3767</v>
      </c>
      <c r="D394" s="7771" t="s">
        <v>3768</v>
      </c>
      <c r="E394" s="7771" t="s">
        <v>3769</v>
      </c>
      <c r="F394" s="7771" t="s">
        <v>2285</v>
      </c>
      <c r="G394" s="7771" t="s">
        <v>3770</v>
      </c>
      <c r="H394" s="7771" t="s">
        <v>28</v>
      </c>
      <c r="I394" s="7771" t="s">
        <v>822</v>
      </c>
    </row>
    <row customHeight="1" ht="11.25">
      <c r="A395" s="7771" t="s">
        <v>2266</v>
      </c>
      <c r="B395" s="7771" t="s">
        <v>16</v>
      </c>
      <c r="C395" s="7771" t="s">
        <v>3771</v>
      </c>
      <c r="D395" s="7771" t="s">
        <v>3772</v>
      </c>
      <c r="E395" s="7771" t="s">
        <v>3773</v>
      </c>
      <c r="F395" s="7771" t="s">
        <v>2399</v>
      </c>
      <c r="G395" s="7771" t="s">
        <v>28</v>
      </c>
      <c r="H395" s="7771" t="s">
        <v>28</v>
      </c>
      <c r="I395" s="7771" t="s">
        <v>822</v>
      </c>
    </row>
    <row customHeight="1" ht="11.25">
      <c r="A396" s="7771" t="s">
        <v>2266</v>
      </c>
      <c r="B396" s="7771" t="s">
        <v>16</v>
      </c>
      <c r="C396" s="7771" t="s">
        <v>3774</v>
      </c>
      <c r="D396" s="7771" t="s">
        <v>3775</v>
      </c>
      <c r="E396" s="7771" t="s">
        <v>3776</v>
      </c>
      <c r="F396" s="7771" t="s">
        <v>2295</v>
      </c>
      <c r="G396" s="7771" t="s">
        <v>28</v>
      </c>
      <c r="H396" s="7771" t="s">
        <v>28</v>
      </c>
      <c r="I396" s="7771" t="s">
        <v>822</v>
      </c>
    </row>
    <row customHeight="1" ht="11.25">
      <c r="A397" s="7771" t="s">
        <v>2266</v>
      </c>
      <c r="B397" s="7771" t="s">
        <v>16</v>
      </c>
      <c r="C397" s="7771" t="s">
        <v>3777</v>
      </c>
      <c r="D397" s="7771" t="s">
        <v>3778</v>
      </c>
      <c r="E397" s="7771" t="s">
        <v>3779</v>
      </c>
      <c r="F397" s="7771" t="s">
        <v>2377</v>
      </c>
      <c r="G397" s="7771" t="s">
        <v>3780</v>
      </c>
      <c r="H397" s="7771" t="s">
        <v>28</v>
      </c>
      <c r="I397" s="7771" t="s">
        <v>822</v>
      </c>
    </row>
    <row customHeight="1" ht="11.25">
      <c r="A398" s="7771" t="s">
        <v>2266</v>
      </c>
      <c r="B398" s="7771" t="s">
        <v>16</v>
      </c>
      <c r="C398" s="7771" t="s">
        <v>3781</v>
      </c>
      <c r="D398" s="7771" t="s">
        <v>3782</v>
      </c>
      <c r="E398" s="7771" t="s">
        <v>3783</v>
      </c>
      <c r="F398" s="7771" t="s">
        <v>2629</v>
      </c>
      <c r="G398" s="7771" t="s">
        <v>3784</v>
      </c>
      <c r="H398" s="7771" t="s">
        <v>28</v>
      </c>
      <c r="I398" s="7771" t="s">
        <v>822</v>
      </c>
    </row>
    <row customHeight="1" ht="11.25">
      <c r="A399" s="7771" t="s">
        <v>2266</v>
      </c>
      <c r="B399" s="7771" t="s">
        <v>16</v>
      </c>
      <c r="C399" s="7771" t="s">
        <v>3785</v>
      </c>
      <c r="D399" s="7771" t="s">
        <v>3786</v>
      </c>
      <c r="E399" s="7771" t="s">
        <v>3787</v>
      </c>
      <c r="F399" s="7771" t="s">
        <v>2446</v>
      </c>
      <c r="G399" s="7771" t="s">
        <v>3788</v>
      </c>
      <c r="H399" s="7771" t="s">
        <v>28</v>
      </c>
      <c r="I399" s="7771" t="s">
        <v>822</v>
      </c>
    </row>
    <row customHeight="1" ht="11.25">
      <c r="A400" s="7771" t="s">
        <v>2266</v>
      </c>
      <c r="B400" s="7771" t="s">
        <v>16</v>
      </c>
      <c r="C400" s="7771" t="s">
        <v>3789</v>
      </c>
      <c r="D400" s="7771" t="s">
        <v>3790</v>
      </c>
      <c r="E400" s="7771" t="s">
        <v>3791</v>
      </c>
      <c r="F400" s="7771" t="s">
        <v>2320</v>
      </c>
      <c r="G400" s="7771" t="s">
        <v>28</v>
      </c>
      <c r="H400" s="7771" t="s">
        <v>28</v>
      </c>
      <c r="I400" s="7771" t="s">
        <v>822</v>
      </c>
    </row>
    <row customHeight="1" ht="11.25">
      <c r="A401" s="7771" t="s">
        <v>2266</v>
      </c>
      <c r="B401" s="7771" t="s">
        <v>16</v>
      </c>
      <c r="C401" s="7771" t="s">
        <v>3792</v>
      </c>
      <c r="D401" s="7771" t="s">
        <v>3793</v>
      </c>
      <c r="E401" s="7771" t="s">
        <v>3794</v>
      </c>
      <c r="F401" s="7771" t="s">
        <v>2342</v>
      </c>
      <c r="G401" s="7771" t="s">
        <v>2404</v>
      </c>
      <c r="H401" s="7771" t="s">
        <v>28</v>
      </c>
      <c r="I401" s="7771" t="s">
        <v>822</v>
      </c>
    </row>
    <row customHeight="1" ht="11.25">
      <c r="A402" s="7771" t="s">
        <v>2266</v>
      </c>
      <c r="B402" s="7771" t="s">
        <v>16</v>
      </c>
      <c r="C402" s="7771" t="s">
        <v>3795</v>
      </c>
      <c r="D402" s="7771" t="s">
        <v>3796</v>
      </c>
      <c r="E402" s="7771" t="s">
        <v>3797</v>
      </c>
      <c r="F402" s="7771" t="s">
        <v>2538</v>
      </c>
      <c r="G402" s="7771" t="s">
        <v>3798</v>
      </c>
      <c r="H402" s="7771" t="s">
        <v>28</v>
      </c>
      <c r="I402" s="7771" t="s">
        <v>822</v>
      </c>
    </row>
    <row customHeight="1" ht="11.25">
      <c r="A403" s="7771" t="s">
        <v>2266</v>
      </c>
      <c r="B403" s="7771" t="s">
        <v>16</v>
      </c>
      <c r="C403" s="7771" t="s">
        <v>3799</v>
      </c>
      <c r="D403" s="7771" t="s">
        <v>3800</v>
      </c>
      <c r="E403" s="7771" t="s">
        <v>3801</v>
      </c>
      <c r="F403" s="7771" t="s">
        <v>2642</v>
      </c>
      <c r="G403" s="7771" t="s">
        <v>3802</v>
      </c>
      <c r="H403" s="7771" t="s">
        <v>28</v>
      </c>
      <c r="I403" s="7771" t="s">
        <v>822</v>
      </c>
    </row>
    <row customHeight="1" ht="11.25">
      <c r="A404" s="7771" t="s">
        <v>2266</v>
      </c>
      <c r="B404" s="7771" t="s">
        <v>16</v>
      </c>
      <c r="C404" s="7771" t="s">
        <v>3803</v>
      </c>
      <c r="D404" s="7771" t="s">
        <v>3804</v>
      </c>
      <c r="E404" s="7771" t="s">
        <v>3805</v>
      </c>
      <c r="F404" s="7771" t="s">
        <v>2538</v>
      </c>
      <c r="G404" s="7771" t="s">
        <v>28</v>
      </c>
      <c r="H404" s="7771" t="s">
        <v>28</v>
      </c>
      <c r="I404" s="7771" t="s">
        <v>822</v>
      </c>
    </row>
    <row customHeight="1" ht="11.25">
      <c r="A405" s="7771" t="s">
        <v>2266</v>
      </c>
      <c r="B405" s="7771" t="s">
        <v>16</v>
      </c>
      <c r="C405" s="7771" t="s">
        <v>3806</v>
      </c>
      <c r="D405" s="7771" t="s">
        <v>3807</v>
      </c>
      <c r="E405" s="7771" t="s">
        <v>3808</v>
      </c>
      <c r="F405" s="7771" t="s">
        <v>3222</v>
      </c>
      <c r="G405" s="7771" t="s">
        <v>3809</v>
      </c>
      <c r="H405" s="7771" t="s">
        <v>28</v>
      </c>
      <c r="I405" s="7771" t="s">
        <v>822</v>
      </c>
    </row>
    <row customHeight="1" ht="11.25">
      <c r="A406" s="7771" t="s">
        <v>2266</v>
      </c>
      <c r="B406" s="7771" t="s">
        <v>16</v>
      </c>
      <c r="C406" s="7771" t="s">
        <v>3810</v>
      </c>
      <c r="D406" s="7771" t="s">
        <v>3811</v>
      </c>
      <c r="E406" s="7771" t="s">
        <v>3812</v>
      </c>
      <c r="F406" s="7771" t="s">
        <v>2739</v>
      </c>
      <c r="G406" s="7771" t="s">
        <v>3813</v>
      </c>
      <c r="H406" s="7771" t="s">
        <v>28</v>
      </c>
      <c r="I406" s="7771" t="s">
        <v>822</v>
      </c>
    </row>
    <row customHeight="1" ht="11.25">
      <c r="A407" s="7771" t="s">
        <v>2266</v>
      </c>
      <c r="B407" s="7771" t="s">
        <v>16</v>
      </c>
      <c r="C407" s="7771" t="s">
        <v>3814</v>
      </c>
      <c r="D407" s="7771" t="s">
        <v>3815</v>
      </c>
      <c r="E407" s="7771" t="s">
        <v>3816</v>
      </c>
      <c r="F407" s="7771" t="s">
        <v>2813</v>
      </c>
      <c r="G407" s="7771" t="s">
        <v>28</v>
      </c>
      <c r="H407" s="7771" t="s">
        <v>28</v>
      </c>
      <c r="I407" s="7771" t="s">
        <v>822</v>
      </c>
    </row>
    <row customHeight="1" ht="11.25">
      <c r="A408" s="7771" t="s">
        <v>2266</v>
      </c>
      <c r="B408" s="7771" t="s">
        <v>16</v>
      </c>
      <c r="C408" s="7771" t="s">
        <v>3817</v>
      </c>
      <c r="D408" s="7771" t="s">
        <v>3818</v>
      </c>
      <c r="E408" s="7771" t="s">
        <v>3819</v>
      </c>
      <c r="F408" s="7771" t="s">
        <v>2385</v>
      </c>
      <c r="G408" s="7771" t="s">
        <v>3820</v>
      </c>
      <c r="H408" s="7771" t="s">
        <v>28</v>
      </c>
      <c r="I408" s="7771" t="s">
        <v>822</v>
      </c>
    </row>
    <row customHeight="1" ht="11.25">
      <c r="A409" s="7771" t="s">
        <v>2266</v>
      </c>
      <c r="B409" s="7771" t="s">
        <v>16</v>
      </c>
      <c r="C409" s="7771" t="s">
        <v>3821</v>
      </c>
      <c r="D409" s="7771" t="s">
        <v>3822</v>
      </c>
      <c r="E409" s="7771" t="s">
        <v>3823</v>
      </c>
      <c r="F409" s="7771" t="s">
        <v>2342</v>
      </c>
      <c r="G409" s="7771" t="s">
        <v>28</v>
      </c>
      <c r="H409" s="7771" t="s">
        <v>28</v>
      </c>
      <c r="I409" s="7771" t="s">
        <v>822</v>
      </c>
    </row>
    <row customHeight="1" ht="11.25">
      <c r="A410" s="7771" t="s">
        <v>2266</v>
      </c>
      <c r="B410" s="7771" t="s">
        <v>16</v>
      </c>
      <c r="C410" s="7771" t="s">
        <v>3824</v>
      </c>
      <c r="D410" s="7771" t="s">
        <v>3825</v>
      </c>
      <c r="E410" s="7771" t="s">
        <v>3826</v>
      </c>
      <c r="F410" s="7771" t="s">
        <v>2280</v>
      </c>
      <c r="G410" s="7771" t="s">
        <v>3827</v>
      </c>
      <c r="H410" s="7771" t="s">
        <v>28</v>
      </c>
      <c r="I410" s="7771" t="s">
        <v>822</v>
      </c>
    </row>
    <row customHeight="1" ht="11.25">
      <c r="A411" s="7771" t="s">
        <v>2266</v>
      </c>
      <c r="B411" s="7771" t="s">
        <v>16</v>
      </c>
      <c r="C411" s="7771" t="s">
        <v>3828</v>
      </c>
      <c r="D411" s="7771" t="s">
        <v>3829</v>
      </c>
      <c r="E411" s="7771" t="s">
        <v>3830</v>
      </c>
      <c r="F411" s="7771" t="s">
        <v>2300</v>
      </c>
      <c r="G411" s="7771" t="s">
        <v>3831</v>
      </c>
      <c r="H411" s="7771" t="s">
        <v>28</v>
      </c>
      <c r="I411" s="7771" t="s">
        <v>822</v>
      </c>
    </row>
    <row customHeight="1" ht="11.25">
      <c r="A412" s="7771" t="s">
        <v>2266</v>
      </c>
      <c r="B412" s="7771" t="s">
        <v>16</v>
      </c>
      <c r="C412" s="7771" t="s">
        <v>3832</v>
      </c>
      <c r="D412" s="7771" t="s">
        <v>3833</v>
      </c>
      <c r="E412" s="7771" t="s">
        <v>3834</v>
      </c>
      <c r="F412" s="7771" t="s">
        <v>2399</v>
      </c>
      <c r="G412" s="7771" t="s">
        <v>28</v>
      </c>
      <c r="H412" s="7771" t="s">
        <v>28</v>
      </c>
      <c r="I412" s="7771" t="s">
        <v>822</v>
      </c>
    </row>
    <row customHeight="1" ht="11.25">
      <c r="A413" s="7771" t="s">
        <v>2266</v>
      </c>
      <c r="B413" s="7771" t="s">
        <v>16</v>
      </c>
      <c r="C413" s="7771" t="s">
        <v>3835</v>
      </c>
      <c r="D413" s="7771" t="s">
        <v>3836</v>
      </c>
      <c r="E413" s="7771" t="s">
        <v>3837</v>
      </c>
      <c r="F413" s="7771" t="s">
        <v>2399</v>
      </c>
      <c r="G413" s="7771" t="s">
        <v>28</v>
      </c>
      <c r="H413" s="7771" t="s">
        <v>28</v>
      </c>
      <c r="I413" s="7771" t="s">
        <v>822</v>
      </c>
    </row>
    <row customHeight="1" ht="11.25">
      <c r="A414" s="7771" t="s">
        <v>2266</v>
      </c>
      <c r="B414" s="7771" t="s">
        <v>16</v>
      </c>
      <c r="C414" s="7771" t="s">
        <v>3838</v>
      </c>
      <c r="D414" s="7771" t="s">
        <v>3839</v>
      </c>
      <c r="E414" s="7771" t="s">
        <v>3840</v>
      </c>
      <c r="F414" s="7771" t="s">
        <v>2285</v>
      </c>
      <c r="G414" s="7771" t="s">
        <v>3841</v>
      </c>
      <c r="H414" s="7771" t="s">
        <v>28</v>
      </c>
      <c r="I414" s="7771" t="s">
        <v>822</v>
      </c>
    </row>
    <row customHeight="1" ht="11.25">
      <c r="A415" s="7771" t="s">
        <v>2266</v>
      </c>
      <c r="B415" s="7771" t="s">
        <v>16</v>
      </c>
      <c r="C415" s="7771" t="s">
        <v>3842</v>
      </c>
      <c r="D415" s="7771" t="s">
        <v>3843</v>
      </c>
      <c r="E415" s="7771" t="s">
        <v>3844</v>
      </c>
      <c r="F415" s="7771" t="s">
        <v>3845</v>
      </c>
      <c r="G415" s="7771" t="s">
        <v>3846</v>
      </c>
      <c r="H415" s="7771" t="s">
        <v>28</v>
      </c>
      <c r="I415" s="7771" t="s">
        <v>822</v>
      </c>
    </row>
    <row customHeight="1" ht="11.25">
      <c r="A416" s="7771" t="s">
        <v>2266</v>
      </c>
      <c r="B416" s="7771" t="s">
        <v>16</v>
      </c>
      <c r="C416" s="7771" t="s">
        <v>3847</v>
      </c>
      <c r="D416" s="7771" t="s">
        <v>3848</v>
      </c>
      <c r="E416" s="7771" t="s">
        <v>3849</v>
      </c>
      <c r="F416" s="7771" t="s">
        <v>2486</v>
      </c>
      <c r="G416" s="7771" t="s">
        <v>28</v>
      </c>
      <c r="H416" s="7771" t="s">
        <v>28</v>
      </c>
      <c r="I416" s="7771" t="s">
        <v>822</v>
      </c>
    </row>
    <row customHeight="1" ht="11.25">
      <c r="A417" s="7771" t="s">
        <v>2266</v>
      </c>
      <c r="B417" s="7771" t="s">
        <v>16</v>
      </c>
      <c r="C417" s="7771" t="s">
        <v>3850</v>
      </c>
      <c r="D417" s="7771" t="s">
        <v>3851</v>
      </c>
      <c r="E417" s="7771" t="s">
        <v>3852</v>
      </c>
      <c r="F417" s="7771" t="s">
        <v>2829</v>
      </c>
      <c r="G417" s="7771" t="s">
        <v>3853</v>
      </c>
      <c r="H417" s="7771" t="s">
        <v>28</v>
      </c>
      <c r="I417" s="7771" t="s">
        <v>822</v>
      </c>
    </row>
    <row customHeight="1" ht="11.25">
      <c r="A418" s="7771" t="s">
        <v>2266</v>
      </c>
      <c r="B418" s="7771" t="s">
        <v>16</v>
      </c>
      <c r="C418" s="7771" t="s">
        <v>3854</v>
      </c>
      <c r="D418" s="7771" t="s">
        <v>3855</v>
      </c>
      <c r="E418" s="7771" t="s">
        <v>3856</v>
      </c>
      <c r="F418" s="7771" t="s">
        <v>2385</v>
      </c>
      <c r="G418" s="7771" t="s">
        <v>28</v>
      </c>
      <c r="H418" s="7771" t="s">
        <v>28</v>
      </c>
      <c r="I418" s="7771" t="s">
        <v>822</v>
      </c>
    </row>
    <row customHeight="1" ht="11.25">
      <c r="A419" s="7771" t="s">
        <v>2266</v>
      </c>
      <c r="B419" s="7771" t="s">
        <v>16</v>
      </c>
      <c r="C419" s="7771" t="s">
        <v>3857</v>
      </c>
      <c r="D419" s="7771" t="s">
        <v>3858</v>
      </c>
      <c r="E419" s="7771" t="s">
        <v>3859</v>
      </c>
      <c r="F419" s="7771" t="s">
        <v>2285</v>
      </c>
      <c r="G419" s="7771" t="s">
        <v>3860</v>
      </c>
      <c r="H419" s="7771" t="s">
        <v>28</v>
      </c>
      <c r="I419" s="7771" t="s">
        <v>822</v>
      </c>
    </row>
    <row customHeight="1" ht="11.25">
      <c r="A420" s="7771" t="s">
        <v>2266</v>
      </c>
      <c r="B420" s="7771" t="s">
        <v>16</v>
      </c>
      <c r="C420" s="7771" t="s">
        <v>3861</v>
      </c>
      <c r="D420" s="7771" t="s">
        <v>3862</v>
      </c>
      <c r="E420" s="7771" t="s">
        <v>3863</v>
      </c>
      <c r="F420" s="7771" t="s">
        <v>2325</v>
      </c>
      <c r="G420" s="7771" t="s">
        <v>28</v>
      </c>
      <c r="H420" s="7771" t="s">
        <v>28</v>
      </c>
      <c r="I420" s="7771" t="s">
        <v>822</v>
      </c>
    </row>
    <row customHeight="1" ht="11.25">
      <c r="A421" s="7771" t="s">
        <v>2266</v>
      </c>
      <c r="B421" s="7771" t="s">
        <v>16</v>
      </c>
      <c r="C421" s="7771" t="s">
        <v>3864</v>
      </c>
      <c r="D421" s="7771" t="s">
        <v>3865</v>
      </c>
      <c r="E421" s="7771" t="s">
        <v>3866</v>
      </c>
      <c r="F421" s="7771" t="s">
        <v>2425</v>
      </c>
      <c r="G421" s="7771" t="s">
        <v>28</v>
      </c>
      <c r="H421" s="7771" t="s">
        <v>28</v>
      </c>
      <c r="I421" s="7771" t="s">
        <v>822</v>
      </c>
    </row>
    <row customHeight="1" ht="11.25">
      <c r="A422" s="7771" t="s">
        <v>2266</v>
      </c>
      <c r="B422" s="7771" t="s">
        <v>16</v>
      </c>
      <c r="C422" s="7771" t="s">
        <v>3867</v>
      </c>
      <c r="D422" s="7771" t="s">
        <v>3868</v>
      </c>
      <c r="E422" s="7771" t="s">
        <v>3869</v>
      </c>
      <c r="F422" s="7771" t="s">
        <v>2280</v>
      </c>
      <c r="G422" s="7771" t="s">
        <v>3870</v>
      </c>
      <c r="H422" s="7771" t="s">
        <v>28</v>
      </c>
      <c r="I422" s="7771" t="s">
        <v>822</v>
      </c>
    </row>
    <row customHeight="1" ht="11.25">
      <c r="A423" s="7771" t="s">
        <v>2266</v>
      </c>
      <c r="B423" s="7771" t="s">
        <v>16</v>
      </c>
      <c r="C423" s="7771" t="s">
        <v>3871</v>
      </c>
      <c r="D423" s="7771" t="s">
        <v>3872</v>
      </c>
      <c r="E423" s="7771" t="s">
        <v>3873</v>
      </c>
      <c r="F423" s="7771" t="s">
        <v>3480</v>
      </c>
      <c r="G423" s="7771" t="s">
        <v>3874</v>
      </c>
      <c r="H423" s="7771" t="s">
        <v>28</v>
      </c>
      <c r="I423" s="7771" t="s">
        <v>822</v>
      </c>
    </row>
    <row customHeight="1" ht="11.25">
      <c r="A424" s="7771" t="s">
        <v>2266</v>
      </c>
      <c r="B424" s="7771" t="s">
        <v>16</v>
      </c>
      <c r="C424" s="7771" t="s">
        <v>3875</v>
      </c>
      <c r="D424" s="7771" t="s">
        <v>3876</v>
      </c>
      <c r="E424" s="7771" t="s">
        <v>3877</v>
      </c>
      <c r="F424" s="7771" t="s">
        <v>2399</v>
      </c>
      <c r="G424" s="7771" t="s">
        <v>28</v>
      </c>
      <c r="H424" s="7771" t="s">
        <v>28</v>
      </c>
      <c r="I424" s="7771" t="s">
        <v>822</v>
      </c>
    </row>
    <row customHeight="1" ht="11.25">
      <c r="A425" s="7771" t="s">
        <v>2266</v>
      </c>
      <c r="B425" s="7771" t="s">
        <v>16</v>
      </c>
      <c r="C425" s="7771" t="s">
        <v>3878</v>
      </c>
      <c r="D425" s="7771" t="s">
        <v>3879</v>
      </c>
      <c r="E425" s="7771" t="s">
        <v>3880</v>
      </c>
      <c r="F425" s="7771" t="s">
        <v>2285</v>
      </c>
      <c r="G425" s="7771" t="s">
        <v>28</v>
      </c>
      <c r="H425" s="7771" t="s">
        <v>28</v>
      </c>
      <c r="I425" s="7771" t="s">
        <v>822</v>
      </c>
    </row>
    <row customHeight="1" ht="11.25">
      <c r="A426" s="7771" t="s">
        <v>2266</v>
      </c>
      <c r="B426" s="7771" t="s">
        <v>16</v>
      </c>
      <c r="C426" s="7771" t="s">
        <v>3881</v>
      </c>
      <c r="D426" s="7771" t="s">
        <v>3882</v>
      </c>
      <c r="E426" s="7771" t="s">
        <v>3883</v>
      </c>
      <c r="F426" s="7771" t="s">
        <v>2280</v>
      </c>
      <c r="G426" s="7771" t="s">
        <v>3884</v>
      </c>
      <c r="H426" s="7771" t="s">
        <v>28</v>
      </c>
      <c r="I426" s="7771" t="s">
        <v>822</v>
      </c>
    </row>
    <row customHeight="1" ht="11.25">
      <c r="A427" s="7771" t="s">
        <v>2266</v>
      </c>
      <c r="B427" s="7771" t="s">
        <v>16</v>
      </c>
      <c r="C427" s="7771" t="s">
        <v>3885</v>
      </c>
      <c r="D427" s="7771" t="s">
        <v>3886</v>
      </c>
      <c r="E427" s="7771" t="s">
        <v>3887</v>
      </c>
      <c r="F427" s="7771" t="s">
        <v>2399</v>
      </c>
      <c r="G427" s="7771" t="s">
        <v>3888</v>
      </c>
      <c r="H427" s="7771" t="s">
        <v>28</v>
      </c>
      <c r="I427" s="7771" t="s">
        <v>822</v>
      </c>
    </row>
    <row customHeight="1" ht="11.25">
      <c r="A428" s="7771" t="s">
        <v>2266</v>
      </c>
      <c r="B428" s="7771" t="s">
        <v>16</v>
      </c>
      <c r="C428" s="7771" t="s">
        <v>3889</v>
      </c>
      <c r="D428" s="7771" t="s">
        <v>3890</v>
      </c>
      <c r="E428" s="7771" t="s">
        <v>3891</v>
      </c>
      <c r="F428" s="7771" t="s">
        <v>2592</v>
      </c>
      <c r="G428" s="7771" t="s">
        <v>28</v>
      </c>
      <c r="H428" s="7771" t="s">
        <v>28</v>
      </c>
      <c r="I428" s="7771" t="s">
        <v>822</v>
      </c>
    </row>
    <row customHeight="1" ht="11.25">
      <c r="A429" s="7771" t="s">
        <v>2266</v>
      </c>
      <c r="B429" s="7771" t="s">
        <v>16</v>
      </c>
      <c r="C429" s="7771" t="s">
        <v>3892</v>
      </c>
      <c r="D429" s="7771" t="s">
        <v>3893</v>
      </c>
      <c r="E429" s="7771" t="s">
        <v>3894</v>
      </c>
      <c r="F429" s="7771" t="s">
        <v>2285</v>
      </c>
      <c r="G429" s="7771" t="s">
        <v>3895</v>
      </c>
      <c r="H429" s="7771" t="s">
        <v>28</v>
      </c>
      <c r="I429" s="7771" t="s">
        <v>822</v>
      </c>
    </row>
    <row customHeight="1" ht="11.25">
      <c r="A430" s="7771" t="s">
        <v>2266</v>
      </c>
      <c r="B430" s="7771" t="s">
        <v>16</v>
      </c>
      <c r="C430" s="7771" t="s">
        <v>3896</v>
      </c>
      <c r="D430" s="7771" t="s">
        <v>3897</v>
      </c>
      <c r="E430" s="7771" t="s">
        <v>3898</v>
      </c>
      <c r="F430" s="7771" t="s">
        <v>2390</v>
      </c>
      <c r="G430" s="7771" t="s">
        <v>28</v>
      </c>
      <c r="H430" s="7771" t="s">
        <v>28</v>
      </c>
      <c r="I430" s="7771" t="s">
        <v>822</v>
      </c>
    </row>
    <row customHeight="1" ht="11.25">
      <c r="A431" s="7771" t="s">
        <v>2266</v>
      </c>
      <c r="B431" s="7771" t="s">
        <v>16</v>
      </c>
      <c r="C431" s="7771" t="s">
        <v>3899</v>
      </c>
      <c r="D431" s="7771" t="s">
        <v>3900</v>
      </c>
      <c r="E431" s="7771" t="s">
        <v>3901</v>
      </c>
      <c r="F431" s="7771" t="s">
        <v>2829</v>
      </c>
      <c r="G431" s="7771" t="s">
        <v>3902</v>
      </c>
      <c r="H431" s="7771" t="s">
        <v>28</v>
      </c>
      <c r="I431" s="7771" t="s">
        <v>822</v>
      </c>
    </row>
    <row customHeight="1" ht="11.25">
      <c r="A432" s="7771" t="s">
        <v>2266</v>
      </c>
      <c r="B432" s="7771" t="s">
        <v>16</v>
      </c>
      <c r="C432" s="7771" t="s">
        <v>3903</v>
      </c>
      <c r="D432" s="7771" t="s">
        <v>3904</v>
      </c>
      <c r="E432" s="7771" t="s">
        <v>3905</v>
      </c>
      <c r="F432" s="7771" t="s">
        <v>2399</v>
      </c>
      <c r="G432" s="7771" t="s">
        <v>3906</v>
      </c>
      <c r="H432" s="7771" t="s">
        <v>28</v>
      </c>
      <c r="I432" s="7771" t="s">
        <v>822</v>
      </c>
    </row>
    <row customHeight="1" ht="11.25">
      <c r="A433" s="7771" t="s">
        <v>2266</v>
      </c>
      <c r="B433" s="7771" t="s">
        <v>16</v>
      </c>
      <c r="C433" s="7771" t="s">
        <v>3907</v>
      </c>
      <c r="D433" s="7771" t="s">
        <v>3908</v>
      </c>
      <c r="E433" s="7771" t="s">
        <v>3909</v>
      </c>
      <c r="F433" s="7771" t="s">
        <v>2592</v>
      </c>
      <c r="G433" s="7771" t="s">
        <v>3910</v>
      </c>
      <c r="H433" s="7771" t="s">
        <v>28</v>
      </c>
      <c r="I433" s="7771" t="s">
        <v>822</v>
      </c>
    </row>
    <row customHeight="1" ht="11.25">
      <c r="A434" s="7771" t="s">
        <v>2266</v>
      </c>
      <c r="B434" s="7771" t="s">
        <v>16</v>
      </c>
      <c r="C434" s="7771" t="s">
        <v>3911</v>
      </c>
      <c r="D434" s="7771" t="s">
        <v>3912</v>
      </c>
      <c r="E434" s="7771" t="s">
        <v>3913</v>
      </c>
      <c r="F434" s="7771" t="s">
        <v>2441</v>
      </c>
      <c r="G434" s="7771" t="s">
        <v>3914</v>
      </c>
      <c r="H434" s="7771" t="s">
        <v>28</v>
      </c>
      <c r="I434" s="7771" t="s">
        <v>822</v>
      </c>
    </row>
    <row customHeight="1" ht="11.25">
      <c r="A435" s="7771" t="s">
        <v>2266</v>
      </c>
      <c r="B435" s="7771" t="s">
        <v>16</v>
      </c>
      <c r="C435" s="7771" t="s">
        <v>3915</v>
      </c>
      <c r="D435" s="7771" t="s">
        <v>3916</v>
      </c>
      <c r="E435" s="7771" t="s">
        <v>3917</v>
      </c>
      <c r="F435" s="7771" t="s">
        <v>2347</v>
      </c>
      <c r="G435" s="7771" t="s">
        <v>2404</v>
      </c>
      <c r="H435" s="7771" t="s">
        <v>28</v>
      </c>
      <c r="I435" s="7771" t="s">
        <v>822</v>
      </c>
    </row>
    <row customHeight="1" ht="11.25">
      <c r="A436" s="7771" t="s">
        <v>2266</v>
      </c>
      <c r="B436" s="7771" t="s">
        <v>16</v>
      </c>
      <c r="C436" s="7771" t="s">
        <v>3918</v>
      </c>
      <c r="D436" s="7771" t="s">
        <v>3919</v>
      </c>
      <c r="E436" s="7771" t="s">
        <v>3920</v>
      </c>
      <c r="F436" s="7771" t="s">
        <v>2360</v>
      </c>
      <c r="G436" s="7771" t="s">
        <v>3921</v>
      </c>
      <c r="H436" s="7771" t="s">
        <v>28</v>
      </c>
      <c r="I436" s="7771" t="s">
        <v>822</v>
      </c>
    </row>
    <row customHeight="1" ht="11.25">
      <c r="A437" s="7771" t="s">
        <v>2266</v>
      </c>
      <c r="B437" s="7771" t="s">
        <v>16</v>
      </c>
      <c r="C437" s="7771" t="s">
        <v>3922</v>
      </c>
      <c r="D437" s="7771" t="s">
        <v>3923</v>
      </c>
      <c r="E437" s="7771" t="s">
        <v>3924</v>
      </c>
      <c r="F437" s="7771" t="s">
        <v>2441</v>
      </c>
      <c r="G437" s="7771" t="s">
        <v>3925</v>
      </c>
      <c r="H437" s="7771" t="s">
        <v>28</v>
      </c>
      <c r="I437" s="7771" t="s">
        <v>822</v>
      </c>
    </row>
    <row customHeight="1" ht="11.25">
      <c r="A438" s="7771" t="s">
        <v>2266</v>
      </c>
      <c r="B438" s="7771" t="s">
        <v>16</v>
      </c>
      <c r="C438" s="7771" t="s">
        <v>3926</v>
      </c>
      <c r="D438" s="7771" t="s">
        <v>3927</v>
      </c>
      <c r="E438" s="7771" t="s">
        <v>3928</v>
      </c>
      <c r="F438" s="7771" t="s">
        <v>2360</v>
      </c>
      <c r="G438" s="7771" t="s">
        <v>3929</v>
      </c>
      <c r="H438" s="7771" t="s">
        <v>28</v>
      </c>
      <c r="I438" s="7771" t="s">
        <v>822</v>
      </c>
    </row>
    <row customHeight="1" ht="11.25">
      <c r="A439" s="7771" t="s">
        <v>2266</v>
      </c>
      <c r="B439" s="7771" t="s">
        <v>16</v>
      </c>
      <c r="C439" s="7771" t="s">
        <v>3930</v>
      </c>
      <c r="D439" s="7771" t="s">
        <v>3931</v>
      </c>
      <c r="E439" s="7771" t="s">
        <v>3932</v>
      </c>
      <c r="F439" s="7771" t="s">
        <v>2538</v>
      </c>
      <c r="G439" s="7771" t="s">
        <v>28</v>
      </c>
      <c r="H439" s="7771" t="s">
        <v>28</v>
      </c>
      <c r="I439" s="7771" t="s">
        <v>822</v>
      </c>
    </row>
    <row customHeight="1" ht="11.25">
      <c r="A440" s="7771" t="s">
        <v>2266</v>
      </c>
      <c r="B440" s="7771" t="s">
        <v>16</v>
      </c>
      <c r="C440" s="7771" t="s">
        <v>3933</v>
      </c>
      <c r="D440" s="7771" t="s">
        <v>3934</v>
      </c>
      <c r="E440" s="7771" t="s">
        <v>3935</v>
      </c>
      <c r="F440" s="7771" t="s">
        <v>2368</v>
      </c>
      <c r="G440" s="7771" t="s">
        <v>3936</v>
      </c>
      <c r="H440" s="7771" t="s">
        <v>28</v>
      </c>
      <c r="I440" s="7771" t="s">
        <v>822</v>
      </c>
    </row>
    <row customHeight="1" ht="11.25">
      <c r="A441" s="7771" t="s">
        <v>2266</v>
      </c>
      <c r="B441" s="7771" t="s">
        <v>16</v>
      </c>
      <c r="C441" s="7771" t="s">
        <v>3937</v>
      </c>
      <c r="D441" s="7771" t="s">
        <v>3938</v>
      </c>
      <c r="E441" s="7771" t="s">
        <v>3939</v>
      </c>
      <c r="F441" s="7771" t="s">
        <v>2518</v>
      </c>
      <c r="G441" s="7771" t="s">
        <v>28</v>
      </c>
      <c r="H441" s="7771" t="s">
        <v>28</v>
      </c>
      <c r="I441" s="7771" t="s">
        <v>822</v>
      </c>
    </row>
    <row customHeight="1" ht="11.25">
      <c r="A442" s="7771" t="s">
        <v>2266</v>
      </c>
      <c r="B442" s="7771" t="s">
        <v>16</v>
      </c>
      <c r="C442" s="7771" t="s">
        <v>3940</v>
      </c>
      <c r="D442" s="7771" t="s">
        <v>3941</v>
      </c>
      <c r="E442" s="7771" t="s">
        <v>3942</v>
      </c>
      <c r="F442" s="7771" t="s">
        <v>2430</v>
      </c>
      <c r="G442" s="7771" t="s">
        <v>28</v>
      </c>
      <c r="H442" s="7771" t="s">
        <v>28</v>
      </c>
      <c r="I442" s="7771" t="s">
        <v>822</v>
      </c>
    </row>
    <row customHeight="1" ht="11.25">
      <c r="A443" s="7771" t="s">
        <v>2266</v>
      </c>
      <c r="B443" s="7771" t="s">
        <v>16</v>
      </c>
      <c r="C443" s="7771" t="s">
        <v>3943</v>
      </c>
      <c r="D443" s="7771" t="s">
        <v>3944</v>
      </c>
      <c r="E443" s="7771" t="s">
        <v>3945</v>
      </c>
      <c r="F443" s="7771" t="s">
        <v>2642</v>
      </c>
      <c r="G443" s="7771" t="s">
        <v>3946</v>
      </c>
      <c r="H443" s="7771" t="s">
        <v>28</v>
      </c>
      <c r="I443" s="7771" t="s">
        <v>822</v>
      </c>
    </row>
    <row customHeight="1" ht="11.25">
      <c r="A444" s="7771" t="s">
        <v>2266</v>
      </c>
      <c r="B444" s="7771" t="s">
        <v>16</v>
      </c>
      <c r="C444" s="7771" t="s">
        <v>3947</v>
      </c>
      <c r="D444" s="7771" t="s">
        <v>3948</v>
      </c>
      <c r="E444" s="7771" t="s">
        <v>3949</v>
      </c>
      <c r="F444" s="7771" t="s">
        <v>2451</v>
      </c>
      <c r="G444" s="7771" t="s">
        <v>3950</v>
      </c>
      <c r="H444" s="7771" t="s">
        <v>28</v>
      </c>
      <c r="I444" s="7771" t="s">
        <v>822</v>
      </c>
    </row>
    <row customHeight="1" ht="11.25">
      <c r="A445" s="7771" t="s">
        <v>2266</v>
      </c>
      <c r="B445" s="7771" t="s">
        <v>16</v>
      </c>
      <c r="C445" s="7771" t="s">
        <v>3951</v>
      </c>
      <c r="D445" s="7771" t="s">
        <v>3952</v>
      </c>
      <c r="E445" s="7771" t="s">
        <v>3932</v>
      </c>
      <c r="F445" s="7771" t="s">
        <v>3953</v>
      </c>
      <c r="G445" s="7771" t="s">
        <v>28</v>
      </c>
      <c r="H445" s="7771" t="s">
        <v>28</v>
      </c>
      <c r="I445" s="7771" t="s">
        <v>822</v>
      </c>
    </row>
    <row customHeight="1" ht="11.25">
      <c r="A446" s="7771" t="s">
        <v>2266</v>
      </c>
      <c r="B446" s="7771" t="s">
        <v>16</v>
      </c>
      <c r="C446" s="7771" t="s">
        <v>3954</v>
      </c>
      <c r="D446" s="7771" t="s">
        <v>3955</v>
      </c>
      <c r="E446" s="7771" t="s">
        <v>3956</v>
      </c>
      <c r="F446" s="7771" t="s">
        <v>2538</v>
      </c>
      <c r="G446" s="7771" t="s">
        <v>28</v>
      </c>
      <c r="H446" s="7771" t="s">
        <v>28</v>
      </c>
      <c r="I446" s="7771" t="s">
        <v>822</v>
      </c>
    </row>
    <row customHeight="1" ht="11.25">
      <c r="A447" s="7771" t="s">
        <v>2266</v>
      </c>
      <c r="B447" s="7771" t="s">
        <v>16</v>
      </c>
      <c r="C447" s="7771" t="s">
        <v>3957</v>
      </c>
      <c r="D447" s="7771" t="s">
        <v>3958</v>
      </c>
      <c r="E447" s="7771" t="s">
        <v>3959</v>
      </c>
      <c r="F447" s="7771" t="s">
        <v>3749</v>
      </c>
      <c r="G447" s="7771" t="s">
        <v>28</v>
      </c>
      <c r="H447" s="7771" t="s">
        <v>28</v>
      </c>
      <c r="I447" s="7771" t="s">
        <v>822</v>
      </c>
    </row>
    <row customHeight="1" ht="11.25">
      <c r="A448" s="7771" t="s">
        <v>2266</v>
      </c>
      <c r="B448" s="7771" t="s">
        <v>16</v>
      </c>
      <c r="C448" s="7771" t="s">
        <v>3960</v>
      </c>
      <c r="D448" s="7771" t="s">
        <v>3961</v>
      </c>
      <c r="E448" s="7771" t="s">
        <v>3962</v>
      </c>
      <c r="F448" s="7771" t="s">
        <v>2446</v>
      </c>
      <c r="G448" s="7771" t="s">
        <v>28</v>
      </c>
      <c r="H448" s="7771" t="s">
        <v>28</v>
      </c>
      <c r="I448" s="7771" t="s">
        <v>822</v>
      </c>
    </row>
    <row customHeight="1" ht="11.25">
      <c r="A449" s="7771" t="s">
        <v>2266</v>
      </c>
      <c r="B449" s="7771" t="s">
        <v>16</v>
      </c>
      <c r="C449" s="7771" t="s">
        <v>3963</v>
      </c>
      <c r="D449" s="7771" t="s">
        <v>3964</v>
      </c>
      <c r="E449" s="7771" t="s">
        <v>3965</v>
      </c>
      <c r="F449" s="7771" t="s">
        <v>3966</v>
      </c>
      <c r="G449" s="7771" t="s">
        <v>3967</v>
      </c>
      <c r="H449" s="7771" t="s">
        <v>28</v>
      </c>
      <c r="I449" s="7771" t="s">
        <v>822</v>
      </c>
    </row>
    <row customHeight="1" ht="11.25">
      <c r="A450" s="7771" t="s">
        <v>2266</v>
      </c>
      <c r="B450" s="7771" t="s">
        <v>16</v>
      </c>
      <c r="C450" s="7771" t="s">
        <v>3968</v>
      </c>
      <c r="D450" s="7771" t="s">
        <v>3969</v>
      </c>
      <c r="E450" s="7771" t="s">
        <v>3970</v>
      </c>
      <c r="F450" s="7771" t="s">
        <v>2285</v>
      </c>
      <c r="G450" s="7771" t="s">
        <v>28</v>
      </c>
      <c r="H450" s="7771" t="s">
        <v>28</v>
      </c>
      <c r="I450" s="7771" t="s">
        <v>822</v>
      </c>
    </row>
    <row customHeight="1" ht="11.25">
      <c r="A451" s="7771" t="s">
        <v>2266</v>
      </c>
      <c r="B451" s="7771" t="s">
        <v>16</v>
      </c>
      <c r="C451" s="7771" t="s">
        <v>3971</v>
      </c>
      <c r="D451" s="7771" t="s">
        <v>3972</v>
      </c>
      <c r="E451" s="7771" t="s">
        <v>3973</v>
      </c>
      <c r="F451" s="7771" t="s">
        <v>3974</v>
      </c>
      <c r="G451" s="7771" t="s">
        <v>3975</v>
      </c>
      <c r="H451" s="7771" t="s">
        <v>28</v>
      </c>
      <c r="I451" s="7771" t="s">
        <v>822</v>
      </c>
    </row>
    <row customHeight="1" ht="11.25">
      <c r="A452" s="7771" t="s">
        <v>2266</v>
      </c>
      <c r="B452" s="7771" t="s">
        <v>16</v>
      </c>
      <c r="C452" s="7771" t="s">
        <v>3976</v>
      </c>
      <c r="D452" s="7771" t="s">
        <v>3977</v>
      </c>
      <c r="E452" s="7771" t="s">
        <v>3978</v>
      </c>
      <c r="F452" s="7771" t="s">
        <v>2699</v>
      </c>
      <c r="G452" s="7771" t="s">
        <v>28</v>
      </c>
      <c r="H452" s="7771" t="s">
        <v>28</v>
      </c>
      <c r="I452" s="7771" t="s">
        <v>822</v>
      </c>
    </row>
    <row customHeight="1" ht="11.25">
      <c r="A453" s="7771" t="s">
        <v>2266</v>
      </c>
      <c r="B453" s="7771" t="s">
        <v>16</v>
      </c>
      <c r="C453" s="7771" t="s">
        <v>3979</v>
      </c>
      <c r="D453" s="7771" t="s">
        <v>3980</v>
      </c>
      <c r="E453" s="7771" t="s">
        <v>3981</v>
      </c>
      <c r="F453" s="7771" t="s">
        <v>2352</v>
      </c>
      <c r="G453" s="7771" t="s">
        <v>2469</v>
      </c>
      <c r="H453" s="7771" t="s">
        <v>28</v>
      </c>
      <c r="I453" s="7771" t="s">
        <v>822</v>
      </c>
    </row>
    <row customHeight="1" ht="11.25">
      <c r="A454" s="7771" t="s">
        <v>2266</v>
      </c>
      <c r="B454" s="7771" t="s">
        <v>16</v>
      </c>
      <c r="C454" s="7771" t="s">
        <v>3982</v>
      </c>
      <c r="D454" s="7771" t="s">
        <v>3983</v>
      </c>
      <c r="E454" s="7771" t="s">
        <v>3984</v>
      </c>
      <c r="F454" s="7771" t="s">
        <v>2518</v>
      </c>
      <c r="G454" s="7771" t="s">
        <v>28</v>
      </c>
      <c r="H454" s="7771" t="s">
        <v>28</v>
      </c>
      <c r="I454" s="7771" t="s">
        <v>822</v>
      </c>
    </row>
    <row customHeight="1" ht="11.25">
      <c r="A455" s="7771" t="s">
        <v>2266</v>
      </c>
      <c r="B455" s="7771" t="s">
        <v>16</v>
      </c>
      <c r="C455" s="7771" t="s">
        <v>3985</v>
      </c>
      <c r="D455" s="7771" t="s">
        <v>3986</v>
      </c>
      <c r="E455" s="7771" t="s">
        <v>3987</v>
      </c>
      <c r="F455" s="7771" t="s">
        <v>2451</v>
      </c>
      <c r="G455" s="7771" t="s">
        <v>3988</v>
      </c>
      <c r="H455" s="7771" t="s">
        <v>28</v>
      </c>
      <c r="I455" s="7771" t="s">
        <v>822</v>
      </c>
    </row>
    <row customHeight="1" ht="11.25">
      <c r="A456" s="7771" t="s">
        <v>2266</v>
      </c>
      <c r="B456" s="7771" t="s">
        <v>16</v>
      </c>
      <c r="C456" s="7771" t="s">
        <v>3989</v>
      </c>
      <c r="D456" s="7771" t="s">
        <v>3990</v>
      </c>
      <c r="E456" s="7771" t="s">
        <v>3991</v>
      </c>
      <c r="F456" s="7771" t="s">
        <v>2882</v>
      </c>
      <c r="G456" s="7771" t="s">
        <v>3992</v>
      </c>
      <c r="H456" s="7771" t="s">
        <v>28</v>
      </c>
      <c r="I456" s="7771" t="s">
        <v>822</v>
      </c>
    </row>
    <row customHeight="1" ht="11.25">
      <c r="A457" s="7771" t="s">
        <v>2266</v>
      </c>
      <c r="B457" s="7771" t="s">
        <v>16</v>
      </c>
      <c r="C457" s="7771" t="s">
        <v>3993</v>
      </c>
      <c r="D457" s="7771" t="s">
        <v>3994</v>
      </c>
      <c r="E457" s="7771" t="s">
        <v>3995</v>
      </c>
      <c r="F457" s="7771" t="s">
        <v>2538</v>
      </c>
      <c r="G457" s="7771" t="s">
        <v>3996</v>
      </c>
      <c r="H457" s="7771" t="s">
        <v>28</v>
      </c>
      <c r="I457" s="7771" t="s">
        <v>822</v>
      </c>
    </row>
    <row customHeight="1" ht="11.25">
      <c r="A458" s="7771" t="s">
        <v>2266</v>
      </c>
      <c r="B458" s="7771" t="s">
        <v>16</v>
      </c>
      <c r="C458" s="7771" t="s">
        <v>3997</v>
      </c>
      <c r="D458" s="7771" t="s">
        <v>3994</v>
      </c>
      <c r="E458" s="7771" t="s">
        <v>3998</v>
      </c>
      <c r="F458" s="7771" t="s">
        <v>2360</v>
      </c>
      <c r="G458" s="7771" t="s">
        <v>3999</v>
      </c>
      <c r="H458" s="7771" t="s">
        <v>28</v>
      </c>
      <c r="I458" s="7771" t="s">
        <v>822</v>
      </c>
    </row>
    <row customHeight="1" ht="11.25">
      <c r="A459" s="7771" t="s">
        <v>2266</v>
      </c>
      <c r="B459" s="7771" t="s">
        <v>16</v>
      </c>
      <c r="C459" s="7771" t="s">
        <v>4000</v>
      </c>
      <c r="D459" s="7771" t="s">
        <v>4001</v>
      </c>
      <c r="E459" s="7771" t="s">
        <v>4002</v>
      </c>
      <c r="F459" s="7771" t="s">
        <v>2629</v>
      </c>
      <c r="G459" s="7771" t="s">
        <v>28</v>
      </c>
      <c r="H459" s="7771" t="s">
        <v>28</v>
      </c>
      <c r="I459" s="7771" t="s">
        <v>822</v>
      </c>
    </row>
    <row customHeight="1" ht="11.25">
      <c r="A460" s="7771" t="s">
        <v>2266</v>
      </c>
      <c r="B460" s="7771" t="s">
        <v>16</v>
      </c>
      <c r="C460" s="7771" t="s">
        <v>4003</v>
      </c>
      <c r="D460" s="7771" t="s">
        <v>4004</v>
      </c>
      <c r="E460" s="7771" t="s">
        <v>4005</v>
      </c>
      <c r="F460" s="7771" t="s">
        <v>2451</v>
      </c>
      <c r="G460" s="7771" t="s">
        <v>4006</v>
      </c>
      <c r="H460" s="7771" t="s">
        <v>28</v>
      </c>
      <c r="I460" s="7771" t="s">
        <v>822</v>
      </c>
    </row>
    <row customHeight="1" ht="11.25">
      <c r="A461" s="7771" t="s">
        <v>2266</v>
      </c>
      <c r="B461" s="7771" t="s">
        <v>16</v>
      </c>
      <c r="C461" s="7771" t="s">
        <v>4007</v>
      </c>
      <c r="D461" s="7771" t="s">
        <v>4008</v>
      </c>
      <c r="E461" s="7771" t="s">
        <v>4009</v>
      </c>
      <c r="F461" s="7771" t="s">
        <v>3626</v>
      </c>
      <c r="G461" s="7771" t="s">
        <v>4010</v>
      </c>
      <c r="H461" s="7771" t="s">
        <v>28</v>
      </c>
      <c r="I461" s="7771" t="s">
        <v>822</v>
      </c>
    </row>
    <row customHeight="1" ht="11.25">
      <c r="A462" s="7771" t="s">
        <v>2266</v>
      </c>
      <c r="B462" s="7771" t="s">
        <v>16</v>
      </c>
      <c r="C462" s="7771" t="s">
        <v>4011</v>
      </c>
      <c r="D462" s="7771" t="s">
        <v>4012</v>
      </c>
      <c r="E462" s="7771" t="s">
        <v>4009</v>
      </c>
      <c r="F462" s="7771" t="s">
        <v>4013</v>
      </c>
      <c r="G462" s="7771" t="s">
        <v>4014</v>
      </c>
      <c r="H462" s="7771" t="s">
        <v>28</v>
      </c>
      <c r="I462" s="7771" t="s">
        <v>822</v>
      </c>
    </row>
    <row customHeight="1" ht="11.25">
      <c r="A463" s="7771" t="s">
        <v>2266</v>
      </c>
      <c r="B463" s="7771" t="s">
        <v>16</v>
      </c>
      <c r="C463" s="7771" t="s">
        <v>4015</v>
      </c>
      <c r="D463" s="7771" t="s">
        <v>4016</v>
      </c>
      <c r="E463" s="7771" t="s">
        <v>4017</v>
      </c>
      <c r="F463" s="7771" t="s">
        <v>2347</v>
      </c>
      <c r="G463" s="7771" t="s">
        <v>4018</v>
      </c>
      <c r="H463" s="7771" t="s">
        <v>28</v>
      </c>
      <c r="I463" s="7771" t="s">
        <v>822</v>
      </c>
    </row>
    <row customHeight="1" ht="11.25">
      <c r="A464" s="7771" t="s">
        <v>2266</v>
      </c>
      <c r="B464" s="7771" t="s">
        <v>16</v>
      </c>
      <c r="C464" s="7771" t="s">
        <v>4019</v>
      </c>
      <c r="D464" s="7771" t="s">
        <v>4016</v>
      </c>
      <c r="E464" s="7771" t="s">
        <v>4020</v>
      </c>
      <c r="F464" s="7771" t="s">
        <v>2441</v>
      </c>
      <c r="G464" s="7771" t="s">
        <v>2404</v>
      </c>
      <c r="H464" s="7771" t="s">
        <v>28</v>
      </c>
      <c r="I464" s="7771" t="s">
        <v>822</v>
      </c>
    </row>
    <row customHeight="1" ht="11.25">
      <c r="A465" s="7771" t="s">
        <v>2266</v>
      </c>
      <c r="B465" s="7771" t="s">
        <v>16</v>
      </c>
      <c r="C465" s="7771" t="s">
        <v>4021</v>
      </c>
      <c r="D465" s="7771" t="s">
        <v>4022</v>
      </c>
      <c r="E465" s="7771" t="s">
        <v>4023</v>
      </c>
      <c r="F465" s="7771" t="s">
        <v>2360</v>
      </c>
      <c r="G465" s="7771" t="s">
        <v>28</v>
      </c>
      <c r="H465" s="7771" t="s">
        <v>28</v>
      </c>
      <c r="I465" s="7771" t="s">
        <v>822</v>
      </c>
    </row>
    <row customHeight="1" ht="11.25">
      <c r="A466" s="7771" t="s">
        <v>2266</v>
      </c>
      <c r="B466" s="7771" t="s">
        <v>16</v>
      </c>
      <c r="C466" s="7771" t="s">
        <v>4024</v>
      </c>
      <c r="D466" s="7771" t="s">
        <v>4025</v>
      </c>
      <c r="E466" s="7771" t="s">
        <v>4026</v>
      </c>
      <c r="F466" s="7771" t="s">
        <v>2446</v>
      </c>
      <c r="G466" s="7771" t="s">
        <v>4027</v>
      </c>
      <c r="H466" s="7771" t="s">
        <v>28</v>
      </c>
      <c r="I466" s="7771" t="s">
        <v>822</v>
      </c>
    </row>
    <row customHeight="1" ht="11.25">
      <c r="A467" s="7771" t="s">
        <v>2266</v>
      </c>
      <c r="B467" s="7771" t="s">
        <v>16</v>
      </c>
      <c r="C467" s="7771" t="s">
        <v>4028</v>
      </c>
      <c r="D467" s="7771" t="s">
        <v>4029</v>
      </c>
      <c r="E467" s="7771" t="s">
        <v>4030</v>
      </c>
      <c r="F467" s="7771" t="s">
        <v>2285</v>
      </c>
      <c r="G467" s="7771" t="s">
        <v>4031</v>
      </c>
      <c r="H467" s="7771" t="s">
        <v>28</v>
      </c>
      <c r="I467" s="7771" t="s">
        <v>822</v>
      </c>
    </row>
    <row customHeight="1" ht="11.25">
      <c r="A468" s="7771" t="s">
        <v>2266</v>
      </c>
      <c r="B468" s="7771" t="s">
        <v>16</v>
      </c>
      <c r="C468" s="7771" t="s">
        <v>4032</v>
      </c>
      <c r="D468" s="7771" t="s">
        <v>4033</v>
      </c>
      <c r="E468" s="7771" t="s">
        <v>4034</v>
      </c>
      <c r="F468" s="7771" t="s">
        <v>2360</v>
      </c>
      <c r="G468" s="7771" t="s">
        <v>4035</v>
      </c>
      <c r="H468" s="7771" t="s">
        <v>28</v>
      </c>
      <c r="I468" s="7771" t="s">
        <v>822</v>
      </c>
    </row>
    <row customHeight="1" ht="11.25">
      <c r="A469" s="7771" t="s">
        <v>2266</v>
      </c>
      <c r="B469" s="7771" t="s">
        <v>16</v>
      </c>
      <c r="C469" s="7771" t="s">
        <v>4036</v>
      </c>
      <c r="D469" s="7771" t="s">
        <v>4037</v>
      </c>
      <c r="E469" s="7771" t="s">
        <v>4038</v>
      </c>
      <c r="F469" s="7771" t="s">
        <v>2451</v>
      </c>
      <c r="G469" s="7771" t="s">
        <v>2895</v>
      </c>
      <c r="H469" s="7771" t="s">
        <v>28</v>
      </c>
      <c r="I469" s="7771" t="s">
        <v>822</v>
      </c>
    </row>
    <row customHeight="1" ht="11.25">
      <c r="A470" s="7771" t="s">
        <v>2266</v>
      </c>
      <c r="B470" s="7771" t="s">
        <v>16</v>
      </c>
      <c r="C470" s="7771" t="s">
        <v>4039</v>
      </c>
      <c r="D470" s="7771" t="s">
        <v>4040</v>
      </c>
      <c r="E470" s="7771" t="s">
        <v>4041</v>
      </c>
      <c r="F470" s="7771" t="s">
        <v>2280</v>
      </c>
      <c r="G470" s="7771" t="s">
        <v>4042</v>
      </c>
      <c r="H470" s="7771" t="s">
        <v>28</v>
      </c>
      <c r="I470" s="7771" t="s">
        <v>822</v>
      </c>
    </row>
    <row customHeight="1" ht="11.25">
      <c r="A471" s="7771" t="s">
        <v>2266</v>
      </c>
      <c r="B471" s="7771" t="s">
        <v>16</v>
      </c>
      <c r="C471" s="7771" t="s">
        <v>4043</v>
      </c>
      <c r="D471" s="7771" t="s">
        <v>4044</v>
      </c>
      <c r="E471" s="7771" t="s">
        <v>4045</v>
      </c>
      <c r="F471" s="7771" t="s">
        <v>2468</v>
      </c>
      <c r="G471" s="7771" t="s">
        <v>28</v>
      </c>
      <c r="H471" s="7771" t="s">
        <v>28</v>
      </c>
      <c r="I471" s="7771" t="s">
        <v>822</v>
      </c>
    </row>
    <row customHeight="1" ht="11.25">
      <c r="A472" s="7771" t="s">
        <v>2266</v>
      </c>
      <c r="B472" s="7771" t="s">
        <v>16</v>
      </c>
      <c r="C472" s="7771" t="s">
        <v>4046</v>
      </c>
      <c r="D472" s="7771" t="s">
        <v>4047</v>
      </c>
      <c r="E472" s="7771" t="s">
        <v>4048</v>
      </c>
      <c r="F472" s="7771" t="s">
        <v>2739</v>
      </c>
      <c r="G472" s="7771" t="s">
        <v>4049</v>
      </c>
      <c r="H472" s="7771" t="s">
        <v>28</v>
      </c>
      <c r="I472" s="7771" t="s">
        <v>822</v>
      </c>
    </row>
    <row customHeight="1" ht="11.25">
      <c r="A473" s="7771" t="s">
        <v>2266</v>
      </c>
      <c r="B473" s="7771" t="s">
        <v>16</v>
      </c>
      <c r="C473" s="7771" t="s">
        <v>4050</v>
      </c>
      <c r="D473" s="7771" t="s">
        <v>4051</v>
      </c>
      <c r="E473" s="7771" t="s">
        <v>4052</v>
      </c>
      <c r="F473" s="7771" t="s">
        <v>2295</v>
      </c>
      <c r="G473" s="7771" t="s">
        <v>4053</v>
      </c>
      <c r="H473" s="7771" t="s">
        <v>28</v>
      </c>
      <c r="I473" s="7771" t="s">
        <v>822</v>
      </c>
    </row>
    <row customHeight="1" ht="11.25">
      <c r="A474" s="7771" t="s">
        <v>2266</v>
      </c>
      <c r="B474" s="7771" t="s">
        <v>16</v>
      </c>
      <c r="C474" s="7771" t="s">
        <v>4054</v>
      </c>
      <c r="D474" s="7771" t="s">
        <v>4055</v>
      </c>
      <c r="E474" s="7771" t="s">
        <v>4056</v>
      </c>
      <c r="F474" s="7771" t="s">
        <v>4057</v>
      </c>
      <c r="G474" s="7771" t="s">
        <v>28</v>
      </c>
      <c r="H474" s="7771" t="s">
        <v>28</v>
      </c>
      <c r="I474" s="7771" t="s">
        <v>822</v>
      </c>
    </row>
    <row customHeight="1" ht="11.25">
      <c r="A475" s="7771" t="s">
        <v>2266</v>
      </c>
      <c r="B475" s="7771" t="s">
        <v>16</v>
      </c>
      <c r="C475" s="7771" t="s">
        <v>4058</v>
      </c>
      <c r="D475" s="7771" t="s">
        <v>4059</v>
      </c>
      <c r="E475" s="7771" t="s">
        <v>4060</v>
      </c>
      <c r="F475" s="7771" t="s">
        <v>2446</v>
      </c>
      <c r="G475" s="7771" t="s">
        <v>4061</v>
      </c>
      <c r="H475" s="7771" t="s">
        <v>28</v>
      </c>
      <c r="I475" s="7771" t="s">
        <v>822</v>
      </c>
    </row>
    <row customHeight="1" ht="11.25">
      <c r="A476" s="7771" t="s">
        <v>2266</v>
      </c>
      <c r="B476" s="7771" t="s">
        <v>16</v>
      </c>
      <c r="C476" s="7771" t="s">
        <v>4062</v>
      </c>
      <c r="D476" s="7771" t="s">
        <v>4063</v>
      </c>
      <c r="E476" s="7771" t="s">
        <v>4064</v>
      </c>
      <c r="F476" s="7771" t="s">
        <v>4065</v>
      </c>
      <c r="G476" s="7771" t="s">
        <v>4066</v>
      </c>
      <c r="H476" s="7771" t="s">
        <v>28</v>
      </c>
      <c r="I476" s="7771" t="s">
        <v>822</v>
      </c>
    </row>
    <row customHeight="1" ht="11.25">
      <c r="A477" s="7771" t="s">
        <v>2266</v>
      </c>
      <c r="B477" s="7771" t="s">
        <v>16</v>
      </c>
      <c r="C477" s="7771" t="s">
        <v>4067</v>
      </c>
      <c r="D477" s="7771" t="s">
        <v>4068</v>
      </c>
      <c r="E477" s="7771" t="s">
        <v>4069</v>
      </c>
      <c r="F477" s="7771" t="s">
        <v>2629</v>
      </c>
      <c r="G477" s="7771" t="s">
        <v>4070</v>
      </c>
      <c r="H477" s="7771" t="s">
        <v>28</v>
      </c>
      <c r="I477" s="7771" t="s">
        <v>822</v>
      </c>
    </row>
    <row customHeight="1" ht="11.25">
      <c r="A478" s="7771" t="s">
        <v>2266</v>
      </c>
      <c r="B478" s="7771" t="s">
        <v>16</v>
      </c>
      <c r="C478" s="7771" t="s">
        <v>4071</v>
      </c>
      <c r="D478" s="7771" t="s">
        <v>4072</v>
      </c>
      <c r="E478" s="7771" t="s">
        <v>4073</v>
      </c>
      <c r="F478" s="7771" t="s">
        <v>2723</v>
      </c>
      <c r="G478" s="7771" t="s">
        <v>28</v>
      </c>
      <c r="H478" s="7771" t="s">
        <v>28</v>
      </c>
      <c r="I478" s="7771" t="s">
        <v>822</v>
      </c>
    </row>
    <row customHeight="1" ht="11.25">
      <c r="A479" s="7771" t="s">
        <v>2266</v>
      </c>
      <c r="B479" s="7771" t="s">
        <v>16</v>
      </c>
      <c r="C479" s="7771" t="s">
        <v>4074</v>
      </c>
      <c r="D479" s="7771" t="s">
        <v>4075</v>
      </c>
      <c r="E479" s="7771" t="s">
        <v>4076</v>
      </c>
      <c r="F479" s="7771" t="s">
        <v>2280</v>
      </c>
      <c r="G479" s="7771" t="s">
        <v>4077</v>
      </c>
      <c r="H479" s="7771" t="s">
        <v>28</v>
      </c>
      <c r="I479" s="7771" t="s">
        <v>822</v>
      </c>
    </row>
    <row customHeight="1" ht="11.25">
      <c r="A480" s="7771" t="s">
        <v>2266</v>
      </c>
      <c r="B480" s="7771" t="s">
        <v>16</v>
      </c>
      <c r="C480" s="7771" t="s">
        <v>4078</v>
      </c>
      <c r="D480" s="7771" t="s">
        <v>4079</v>
      </c>
      <c r="E480" s="7771" t="s">
        <v>4080</v>
      </c>
      <c r="F480" s="7771" t="s">
        <v>2342</v>
      </c>
      <c r="G480" s="7771" t="s">
        <v>28</v>
      </c>
      <c r="H480" s="7771" t="s">
        <v>28</v>
      </c>
      <c r="I480" s="7771" t="s">
        <v>822</v>
      </c>
    </row>
    <row customHeight="1" ht="11.25">
      <c r="A481" s="7771" t="s">
        <v>2266</v>
      </c>
      <c r="B481" s="7771" t="s">
        <v>16</v>
      </c>
      <c r="C481" s="7771" t="s">
        <v>4081</v>
      </c>
      <c r="D481" s="7771" t="s">
        <v>4079</v>
      </c>
      <c r="E481" s="7771" t="s">
        <v>4082</v>
      </c>
      <c r="F481" s="7771" t="s">
        <v>2425</v>
      </c>
      <c r="G481" s="7771" t="s">
        <v>4083</v>
      </c>
      <c r="H481" s="7771" t="s">
        <v>28</v>
      </c>
      <c r="I481" s="7771" t="s">
        <v>822</v>
      </c>
    </row>
    <row customHeight="1" ht="11.25">
      <c r="A482" s="7771" t="s">
        <v>2266</v>
      </c>
      <c r="B482" s="7771" t="s">
        <v>16</v>
      </c>
      <c r="C482" s="7771" t="s">
        <v>4084</v>
      </c>
      <c r="D482" s="7771" t="s">
        <v>4085</v>
      </c>
      <c r="E482" s="7771" t="s">
        <v>4086</v>
      </c>
      <c r="F482" s="7771" t="s">
        <v>2300</v>
      </c>
      <c r="G482" s="7771" t="s">
        <v>28</v>
      </c>
      <c r="H482" s="7771" t="s">
        <v>28</v>
      </c>
      <c r="I482" s="7771" t="s">
        <v>822</v>
      </c>
    </row>
    <row customHeight="1" ht="11.25">
      <c r="A483" s="7771" t="s">
        <v>2266</v>
      </c>
      <c r="B483" s="7771" t="s">
        <v>16</v>
      </c>
      <c r="C483" s="7771" t="s">
        <v>4087</v>
      </c>
      <c r="D483" s="7771" t="s">
        <v>4088</v>
      </c>
      <c r="E483" s="7771" t="s">
        <v>4089</v>
      </c>
      <c r="F483" s="7771" t="s">
        <v>2846</v>
      </c>
      <c r="G483" s="7771" t="s">
        <v>4090</v>
      </c>
      <c r="H483" s="7771" t="s">
        <v>28</v>
      </c>
      <c r="I483" s="7771" t="s">
        <v>822</v>
      </c>
    </row>
    <row customHeight="1" ht="11.25">
      <c r="A484" s="7771" t="s">
        <v>2266</v>
      </c>
      <c r="B484" s="7771" t="s">
        <v>16</v>
      </c>
      <c r="C484" s="7771" t="s">
        <v>4091</v>
      </c>
      <c r="D484" s="7771" t="s">
        <v>4092</v>
      </c>
      <c r="E484" s="7771" t="s">
        <v>4093</v>
      </c>
      <c r="F484" s="7771" t="s">
        <v>4094</v>
      </c>
      <c r="G484" s="7771" t="s">
        <v>28</v>
      </c>
      <c r="H484" s="7771" t="s">
        <v>28</v>
      </c>
      <c r="I484" s="7771" t="s">
        <v>822</v>
      </c>
    </row>
    <row customHeight="1" ht="11.25">
      <c r="A485" s="7771" t="s">
        <v>2266</v>
      </c>
      <c r="B485" s="7771" t="s">
        <v>16</v>
      </c>
      <c r="C485" s="7771" t="s">
        <v>4095</v>
      </c>
      <c r="D485" s="7771" t="s">
        <v>4096</v>
      </c>
      <c r="E485" s="7771" t="s">
        <v>4097</v>
      </c>
      <c r="F485" s="7771" t="s">
        <v>2285</v>
      </c>
      <c r="G485" s="7771" t="s">
        <v>4061</v>
      </c>
      <c r="H485" s="7771" t="s">
        <v>28</v>
      </c>
      <c r="I485" s="7771" t="s">
        <v>822</v>
      </c>
    </row>
    <row customHeight="1" ht="11.25">
      <c r="A486" s="7771" t="s">
        <v>2266</v>
      </c>
      <c r="B486" s="7771" t="s">
        <v>16</v>
      </c>
      <c r="C486" s="7771" t="s">
        <v>4098</v>
      </c>
      <c r="D486" s="7771" t="s">
        <v>4099</v>
      </c>
      <c r="E486" s="7771" t="s">
        <v>4100</v>
      </c>
      <c r="F486" s="7771" t="s">
        <v>3027</v>
      </c>
      <c r="G486" s="7771" t="s">
        <v>4101</v>
      </c>
      <c r="H486" s="7771" t="s">
        <v>28</v>
      </c>
      <c r="I486" s="7771" t="s">
        <v>822</v>
      </c>
    </row>
    <row customHeight="1" ht="11.25">
      <c r="A487" s="7771" t="s">
        <v>2266</v>
      </c>
      <c r="B487" s="7771" t="s">
        <v>16</v>
      </c>
      <c r="C487" s="7771" t="s">
        <v>4102</v>
      </c>
      <c r="D487" s="7771" t="s">
        <v>4103</v>
      </c>
      <c r="E487" s="7771" t="s">
        <v>4104</v>
      </c>
      <c r="F487" s="7771" t="s">
        <v>4105</v>
      </c>
      <c r="G487" s="7771" t="s">
        <v>4106</v>
      </c>
      <c r="H487" s="7771" t="s">
        <v>28</v>
      </c>
      <c r="I487" s="7771" t="s">
        <v>822</v>
      </c>
    </row>
    <row customHeight="1" ht="11.25">
      <c r="A488" s="7771" t="s">
        <v>2266</v>
      </c>
      <c r="B488" s="7771" t="s">
        <v>16</v>
      </c>
      <c r="C488" s="7771" t="s">
        <v>4107</v>
      </c>
      <c r="D488" s="7771" t="s">
        <v>4108</v>
      </c>
      <c r="E488" s="7771" t="s">
        <v>4109</v>
      </c>
      <c r="F488" s="7771" t="s">
        <v>2933</v>
      </c>
      <c r="G488" s="7771" t="s">
        <v>28</v>
      </c>
      <c r="H488" s="7771" t="s">
        <v>28</v>
      </c>
      <c r="I488" s="7771" t="s">
        <v>822</v>
      </c>
    </row>
    <row customHeight="1" ht="11.25">
      <c r="A489" s="7771" t="s">
        <v>2266</v>
      </c>
      <c r="B489" s="7771" t="s">
        <v>16</v>
      </c>
      <c r="C489" s="7771" t="s">
        <v>4110</v>
      </c>
      <c r="D489" s="7771" t="s">
        <v>4111</v>
      </c>
      <c r="E489" s="7771" t="s">
        <v>4112</v>
      </c>
      <c r="F489" s="7771" t="s">
        <v>2280</v>
      </c>
      <c r="G489" s="7771" t="s">
        <v>4113</v>
      </c>
      <c r="H489" s="7771" t="s">
        <v>28</v>
      </c>
      <c r="I489" s="7771" t="s">
        <v>822</v>
      </c>
    </row>
    <row customHeight="1" ht="11.25">
      <c r="A490" s="7771" t="s">
        <v>2266</v>
      </c>
      <c r="B490" s="7771" t="s">
        <v>16</v>
      </c>
      <c r="C490" s="7771" t="s">
        <v>4114</v>
      </c>
      <c r="D490" s="7771" t="s">
        <v>4115</v>
      </c>
      <c r="E490" s="7771" t="s">
        <v>4116</v>
      </c>
      <c r="F490" s="7771" t="s">
        <v>2592</v>
      </c>
      <c r="G490" s="7771" t="s">
        <v>4117</v>
      </c>
      <c r="H490" s="7771" t="s">
        <v>28</v>
      </c>
      <c r="I490" s="7771" t="s">
        <v>822</v>
      </c>
    </row>
    <row customHeight="1" ht="11.25">
      <c r="A491" s="7771" t="s">
        <v>2266</v>
      </c>
      <c r="B491" s="7771" t="s">
        <v>16</v>
      </c>
      <c r="C491" s="7771" t="s">
        <v>4118</v>
      </c>
      <c r="D491" s="7771" t="s">
        <v>4119</v>
      </c>
      <c r="E491" s="7771" t="s">
        <v>4120</v>
      </c>
      <c r="F491" s="7771" t="s">
        <v>2325</v>
      </c>
      <c r="G491" s="7771" t="s">
        <v>28</v>
      </c>
      <c r="H491" s="7771" t="s">
        <v>28</v>
      </c>
      <c r="I491" s="7771" t="s">
        <v>822</v>
      </c>
    </row>
    <row customHeight="1" ht="11.25">
      <c r="A492" s="7771" t="s">
        <v>2266</v>
      </c>
      <c r="B492" s="7771" t="s">
        <v>16</v>
      </c>
      <c r="C492" s="7771" t="s">
        <v>4121</v>
      </c>
      <c r="D492" s="7771" t="s">
        <v>4122</v>
      </c>
      <c r="E492" s="7771" t="s">
        <v>4123</v>
      </c>
      <c r="F492" s="7771" t="s">
        <v>2295</v>
      </c>
      <c r="G492" s="7771" t="s">
        <v>4124</v>
      </c>
      <c r="H492" s="7771" t="s">
        <v>28</v>
      </c>
      <c r="I492" s="7771" t="s">
        <v>822</v>
      </c>
    </row>
    <row customHeight="1" ht="11.25">
      <c r="A493" s="7771" t="s">
        <v>2266</v>
      </c>
      <c r="B493" s="7771" t="s">
        <v>16</v>
      </c>
      <c r="C493" s="7771" t="s">
        <v>4125</v>
      </c>
      <c r="D493" s="7771" t="s">
        <v>4126</v>
      </c>
      <c r="E493" s="7771" t="s">
        <v>4127</v>
      </c>
      <c r="F493" s="7771" t="s">
        <v>2280</v>
      </c>
      <c r="G493" s="7771" t="s">
        <v>28</v>
      </c>
      <c r="H493" s="7771" t="s">
        <v>28</v>
      </c>
      <c r="I493" s="7771" t="s">
        <v>822</v>
      </c>
    </row>
    <row customHeight="1" ht="11.25">
      <c r="A494" s="7771" t="s">
        <v>2266</v>
      </c>
      <c r="B494" s="7771" t="s">
        <v>16</v>
      </c>
      <c r="C494" s="7771" t="s">
        <v>4128</v>
      </c>
      <c r="D494" s="7771" t="s">
        <v>4129</v>
      </c>
      <c r="E494" s="7771" t="s">
        <v>4130</v>
      </c>
      <c r="F494" s="7771" t="s">
        <v>2629</v>
      </c>
      <c r="G494" s="7771" t="s">
        <v>4131</v>
      </c>
      <c r="H494" s="7771" t="s">
        <v>28</v>
      </c>
      <c r="I494" s="7771" t="s">
        <v>822</v>
      </c>
    </row>
    <row customHeight="1" ht="11.25">
      <c r="A495" s="7771" t="s">
        <v>2266</v>
      </c>
      <c r="B495" s="7771" t="s">
        <v>16</v>
      </c>
      <c r="C495" s="7771" t="s">
        <v>4132</v>
      </c>
      <c r="D495" s="7771" t="s">
        <v>4133</v>
      </c>
      <c r="E495" s="7771" t="s">
        <v>4134</v>
      </c>
      <c r="F495" s="7771" t="s">
        <v>2981</v>
      </c>
      <c r="G495" s="7771" t="s">
        <v>28</v>
      </c>
      <c r="H495" s="7771" t="s">
        <v>28</v>
      </c>
      <c r="I495" s="7771" t="s">
        <v>822</v>
      </c>
    </row>
    <row customHeight="1" ht="11.25">
      <c r="A496" s="7771" t="s">
        <v>2266</v>
      </c>
      <c r="B496" s="7771" t="s">
        <v>16</v>
      </c>
      <c r="C496" s="7771" t="s">
        <v>4135</v>
      </c>
      <c r="D496" s="7771" t="s">
        <v>4136</v>
      </c>
      <c r="E496" s="7771" t="s">
        <v>4137</v>
      </c>
      <c r="F496" s="7771" t="s">
        <v>2629</v>
      </c>
      <c r="G496" s="7771" t="s">
        <v>4138</v>
      </c>
      <c r="H496" s="7771" t="s">
        <v>28</v>
      </c>
      <c r="I496" s="7771" t="s">
        <v>822</v>
      </c>
    </row>
    <row customHeight="1" ht="11.25">
      <c r="A497" s="7771" t="s">
        <v>2266</v>
      </c>
      <c r="B497" s="7771" t="s">
        <v>16</v>
      </c>
      <c r="C497" s="7771" t="s">
        <v>4139</v>
      </c>
      <c r="D497" s="7771" t="s">
        <v>4140</v>
      </c>
      <c r="E497" s="7771" t="s">
        <v>4141</v>
      </c>
      <c r="F497" s="7771" t="s">
        <v>2486</v>
      </c>
      <c r="G497" s="7771" t="s">
        <v>4142</v>
      </c>
      <c r="H497" s="7771" t="s">
        <v>28</v>
      </c>
      <c r="I497" s="7771" t="s">
        <v>822</v>
      </c>
    </row>
    <row customHeight="1" ht="11.25">
      <c r="A498" s="7771" t="s">
        <v>2266</v>
      </c>
      <c r="B498" s="7771" t="s">
        <v>16</v>
      </c>
      <c r="C498" s="7771" t="s">
        <v>4143</v>
      </c>
      <c r="D498" s="7771" t="s">
        <v>4144</v>
      </c>
      <c r="E498" s="7771" t="s">
        <v>4145</v>
      </c>
      <c r="F498" s="7771" t="s">
        <v>3966</v>
      </c>
      <c r="G498" s="7771" t="s">
        <v>4146</v>
      </c>
      <c r="H498" s="7771" t="s">
        <v>28</v>
      </c>
      <c r="I498" s="7771" t="s">
        <v>822</v>
      </c>
    </row>
    <row customHeight="1" ht="11.25">
      <c r="A499" s="7771" t="s">
        <v>2266</v>
      </c>
      <c r="B499" s="7771" t="s">
        <v>16</v>
      </c>
      <c r="C499" s="7771" t="s">
        <v>4147</v>
      </c>
      <c r="D499" s="7771" t="s">
        <v>4148</v>
      </c>
      <c r="E499" s="7771" t="s">
        <v>4149</v>
      </c>
      <c r="F499" s="7771" t="s">
        <v>2295</v>
      </c>
      <c r="G499" s="7771" t="s">
        <v>28</v>
      </c>
      <c r="H499" s="7771" t="s">
        <v>28</v>
      </c>
      <c r="I499" s="7771" t="s">
        <v>822</v>
      </c>
    </row>
    <row customHeight="1" ht="11.25">
      <c r="A500" s="7771" t="s">
        <v>2266</v>
      </c>
      <c r="B500" s="7771" t="s">
        <v>16</v>
      </c>
      <c r="C500" s="7771" t="s">
        <v>4150</v>
      </c>
      <c r="D500" s="7771" t="s">
        <v>4151</v>
      </c>
      <c r="E500" s="7771" t="s">
        <v>4152</v>
      </c>
      <c r="F500" s="7771" t="s">
        <v>3966</v>
      </c>
      <c r="G500" s="7771" t="s">
        <v>4153</v>
      </c>
      <c r="H500" s="7771" t="s">
        <v>28</v>
      </c>
      <c r="I500" s="7771" t="s">
        <v>822</v>
      </c>
    </row>
    <row customHeight="1" ht="11.25">
      <c r="A501" s="7771" t="s">
        <v>2266</v>
      </c>
      <c r="B501" s="7771" t="s">
        <v>16</v>
      </c>
      <c r="C501" s="7771" t="s">
        <v>4154</v>
      </c>
      <c r="D501" s="7771" t="s">
        <v>4155</v>
      </c>
      <c r="E501" s="7771" t="s">
        <v>4156</v>
      </c>
      <c r="F501" s="7771" t="s">
        <v>3027</v>
      </c>
      <c r="G501" s="7771" t="s">
        <v>4157</v>
      </c>
      <c r="H501" s="7771" t="s">
        <v>28</v>
      </c>
      <c r="I501" s="7771" t="s">
        <v>822</v>
      </c>
    </row>
    <row customHeight="1" ht="11.25">
      <c r="A502" s="7771" t="s">
        <v>2266</v>
      </c>
      <c r="B502" s="7771" t="s">
        <v>16</v>
      </c>
      <c r="C502" s="7771" t="s">
        <v>4158</v>
      </c>
      <c r="D502" s="7771" t="s">
        <v>4159</v>
      </c>
      <c r="E502" s="7771" t="s">
        <v>4160</v>
      </c>
      <c r="F502" s="7771" t="s">
        <v>2699</v>
      </c>
      <c r="G502" s="7771" t="s">
        <v>4161</v>
      </c>
      <c r="H502" s="7771" t="s">
        <v>28</v>
      </c>
      <c r="I502" s="7771" t="s">
        <v>822</v>
      </c>
    </row>
    <row customHeight="1" ht="11.25">
      <c r="A503" s="7771" t="s">
        <v>2266</v>
      </c>
      <c r="B503" s="7771" t="s">
        <v>16</v>
      </c>
      <c r="C503" s="7771" t="s">
        <v>4162</v>
      </c>
      <c r="D503" s="7771" t="s">
        <v>4163</v>
      </c>
      <c r="E503" s="7771" t="s">
        <v>4164</v>
      </c>
      <c r="F503" s="7771" t="s">
        <v>4165</v>
      </c>
      <c r="G503" s="7771" t="s">
        <v>3718</v>
      </c>
      <c r="H503" s="7771" t="s">
        <v>28</v>
      </c>
      <c r="I503" s="7771" t="s">
        <v>822</v>
      </c>
    </row>
    <row customHeight="1" ht="11.25">
      <c r="A504" s="7771" t="s">
        <v>2266</v>
      </c>
      <c r="B504" s="7771" t="s">
        <v>16</v>
      </c>
      <c r="C504" s="7771" t="s">
        <v>4166</v>
      </c>
      <c r="D504" s="7771" t="s">
        <v>4167</v>
      </c>
      <c r="E504" s="7771" t="s">
        <v>4168</v>
      </c>
      <c r="F504" s="7771" t="s">
        <v>3027</v>
      </c>
      <c r="G504" s="7771" t="s">
        <v>4169</v>
      </c>
      <c r="H504" s="7771" t="s">
        <v>28</v>
      </c>
      <c r="I504" s="7771" t="s">
        <v>822</v>
      </c>
    </row>
    <row customHeight="1" ht="11.25">
      <c r="A505" s="7771" t="s">
        <v>2266</v>
      </c>
      <c r="B505" s="7771" t="s">
        <v>16</v>
      </c>
      <c r="C505" s="7771" t="s">
        <v>4170</v>
      </c>
      <c r="D505" s="7771" t="s">
        <v>4171</v>
      </c>
      <c r="E505" s="7771" t="s">
        <v>4172</v>
      </c>
      <c r="F505" s="7771" t="s">
        <v>3966</v>
      </c>
      <c r="G505" s="7771" t="s">
        <v>4173</v>
      </c>
      <c r="H505" s="7771" t="s">
        <v>28</v>
      </c>
      <c r="I505" s="7771" t="s">
        <v>822</v>
      </c>
    </row>
    <row customHeight="1" ht="11.25">
      <c r="A506" s="7771" t="s">
        <v>2266</v>
      </c>
      <c r="B506" s="7771" t="s">
        <v>16</v>
      </c>
      <c r="C506" s="7771" t="s">
        <v>4174</v>
      </c>
      <c r="D506" s="7771" t="s">
        <v>4175</v>
      </c>
      <c r="E506" s="7771" t="s">
        <v>4176</v>
      </c>
      <c r="F506" s="7771" t="s">
        <v>3027</v>
      </c>
      <c r="G506" s="7771" t="s">
        <v>4177</v>
      </c>
      <c r="H506" s="7771" t="s">
        <v>28</v>
      </c>
      <c r="I506" s="7771" t="s">
        <v>822</v>
      </c>
    </row>
    <row customHeight="1" ht="11.25">
      <c r="A507" s="7771" t="s">
        <v>2266</v>
      </c>
      <c r="B507" s="7771" t="s">
        <v>16</v>
      </c>
      <c r="C507" s="7771" t="s">
        <v>4178</v>
      </c>
      <c r="D507" s="7771" t="s">
        <v>4179</v>
      </c>
      <c r="E507" s="7771" t="s">
        <v>4180</v>
      </c>
      <c r="F507" s="7771" t="s">
        <v>2629</v>
      </c>
      <c r="G507" s="7771" t="s">
        <v>4181</v>
      </c>
      <c r="H507" s="7771" t="s">
        <v>28</v>
      </c>
      <c r="I507" s="7771" t="s">
        <v>822</v>
      </c>
    </row>
    <row customHeight="1" ht="11.25">
      <c r="A508" s="7771" t="s">
        <v>2266</v>
      </c>
      <c r="B508" s="7771" t="s">
        <v>16</v>
      </c>
      <c r="C508" s="7771" t="s">
        <v>4182</v>
      </c>
      <c r="D508" s="7771" t="s">
        <v>4183</v>
      </c>
      <c r="E508" s="7771" t="s">
        <v>4184</v>
      </c>
      <c r="F508" s="7771" t="s">
        <v>2377</v>
      </c>
      <c r="G508" s="7771" t="s">
        <v>4185</v>
      </c>
      <c r="H508" s="7771" t="s">
        <v>28</v>
      </c>
      <c r="I508" s="7771" t="s">
        <v>822</v>
      </c>
    </row>
    <row customHeight="1" ht="11.25">
      <c r="A509" s="7771" t="s">
        <v>2266</v>
      </c>
      <c r="B509" s="7771" t="s">
        <v>16</v>
      </c>
      <c r="C509" s="7771" t="s">
        <v>4186</v>
      </c>
      <c r="D509" s="7771" t="s">
        <v>4187</v>
      </c>
      <c r="E509" s="7771" t="s">
        <v>4188</v>
      </c>
      <c r="F509" s="7771" t="s">
        <v>3398</v>
      </c>
      <c r="G509" s="7771" t="s">
        <v>4189</v>
      </c>
      <c r="H509" s="7771" t="s">
        <v>28</v>
      </c>
      <c r="I509" s="7771" t="s">
        <v>822</v>
      </c>
    </row>
    <row customHeight="1" ht="11.25">
      <c r="A510" s="7771" t="s">
        <v>2266</v>
      </c>
      <c r="B510" s="7771" t="s">
        <v>16</v>
      </c>
      <c r="C510" s="7771" t="s">
        <v>4190</v>
      </c>
      <c r="D510" s="7771" t="s">
        <v>4191</v>
      </c>
      <c r="E510" s="7771" t="s">
        <v>4192</v>
      </c>
      <c r="F510" s="7771" t="s">
        <v>2446</v>
      </c>
      <c r="G510" s="7771" t="s">
        <v>4193</v>
      </c>
      <c r="H510" s="7771" t="s">
        <v>28</v>
      </c>
      <c r="I510" s="7771" t="s">
        <v>822</v>
      </c>
    </row>
    <row customHeight="1" ht="11.25">
      <c r="A511" s="7771" t="s">
        <v>2266</v>
      </c>
      <c r="B511" s="7771" t="s">
        <v>16</v>
      </c>
      <c r="C511" s="7771" t="s">
        <v>4194</v>
      </c>
      <c r="D511" s="7771" t="s">
        <v>4195</v>
      </c>
      <c r="E511" s="7771" t="s">
        <v>4196</v>
      </c>
      <c r="F511" s="7771" t="s">
        <v>2280</v>
      </c>
      <c r="G511" s="7771" t="s">
        <v>4197</v>
      </c>
      <c r="H511" s="7771" t="s">
        <v>28</v>
      </c>
      <c r="I511" s="7771" t="s">
        <v>822</v>
      </c>
    </row>
    <row customHeight="1" ht="11.25">
      <c r="A512" s="7771" t="s">
        <v>2266</v>
      </c>
      <c r="B512" s="7771" t="s">
        <v>16</v>
      </c>
      <c r="C512" s="7771" t="s">
        <v>4198</v>
      </c>
      <c r="D512" s="7771" t="s">
        <v>4199</v>
      </c>
      <c r="E512" s="7771" t="s">
        <v>4200</v>
      </c>
      <c r="F512" s="7771" t="s">
        <v>4057</v>
      </c>
      <c r="G512" s="7771" t="s">
        <v>4201</v>
      </c>
      <c r="H512" s="7771" t="s">
        <v>28</v>
      </c>
      <c r="I512" s="7771" t="s">
        <v>822</v>
      </c>
    </row>
    <row customHeight="1" ht="11.25">
      <c r="A513" s="7771" t="s">
        <v>2266</v>
      </c>
      <c r="B513" s="7771" t="s">
        <v>16</v>
      </c>
      <c r="C513" s="7771" t="s">
        <v>4202</v>
      </c>
      <c r="D513" s="7771" t="s">
        <v>4203</v>
      </c>
      <c r="E513" s="7771" t="s">
        <v>4204</v>
      </c>
      <c r="F513" s="7771" t="s">
        <v>2451</v>
      </c>
      <c r="G513" s="7771" t="s">
        <v>4205</v>
      </c>
      <c r="H513" s="7771" t="s">
        <v>28</v>
      </c>
      <c r="I513" s="7771" t="s">
        <v>822</v>
      </c>
    </row>
    <row customHeight="1" ht="11.25">
      <c r="A514" s="7771" t="s">
        <v>2266</v>
      </c>
      <c r="B514" s="7771" t="s">
        <v>16</v>
      </c>
      <c r="C514" s="7771" t="s">
        <v>4206</v>
      </c>
      <c r="D514" s="7771" t="s">
        <v>4207</v>
      </c>
      <c r="E514" s="7771" t="s">
        <v>4208</v>
      </c>
      <c r="F514" s="7771" t="s">
        <v>2446</v>
      </c>
      <c r="G514" s="7771" t="s">
        <v>3073</v>
      </c>
      <c r="H514" s="7771" t="s">
        <v>28</v>
      </c>
      <c r="I514" s="7771" t="s">
        <v>822</v>
      </c>
    </row>
    <row customHeight="1" ht="11.25">
      <c r="A515" s="7771" t="s">
        <v>2266</v>
      </c>
      <c r="B515" s="7771" t="s">
        <v>16</v>
      </c>
      <c r="C515" s="7771" t="s">
        <v>4209</v>
      </c>
      <c r="D515" s="7771" t="s">
        <v>4207</v>
      </c>
      <c r="E515" s="7771" t="s">
        <v>4210</v>
      </c>
      <c r="F515" s="7771" t="s">
        <v>2753</v>
      </c>
      <c r="G515" s="7771" t="s">
        <v>4211</v>
      </c>
      <c r="H515" s="7771" t="s">
        <v>28</v>
      </c>
      <c r="I515" s="7771" t="s">
        <v>822</v>
      </c>
    </row>
    <row customHeight="1" ht="11.25">
      <c r="A516" s="7771" t="s">
        <v>2266</v>
      </c>
      <c r="B516" s="7771" t="s">
        <v>16</v>
      </c>
      <c r="C516" s="7771" t="s">
        <v>4212</v>
      </c>
      <c r="D516" s="7771" t="s">
        <v>4213</v>
      </c>
      <c r="E516" s="7771" t="s">
        <v>4214</v>
      </c>
      <c r="F516" s="7771" t="s">
        <v>3222</v>
      </c>
      <c r="G516" s="7771" t="s">
        <v>4215</v>
      </c>
      <c r="H516" s="7771" t="s">
        <v>28</v>
      </c>
      <c r="I516" s="7771" t="s">
        <v>822</v>
      </c>
    </row>
    <row customHeight="1" ht="11.25">
      <c r="A517" s="7771" t="s">
        <v>2266</v>
      </c>
      <c r="B517" s="7771" t="s">
        <v>16</v>
      </c>
      <c r="C517" s="7771" t="s">
        <v>4216</v>
      </c>
      <c r="D517" s="7771" t="s">
        <v>4217</v>
      </c>
      <c r="E517" s="7771" t="s">
        <v>4218</v>
      </c>
      <c r="F517" s="7771" t="s">
        <v>3125</v>
      </c>
      <c r="G517" s="7771" t="s">
        <v>28</v>
      </c>
      <c r="H517" s="7771" t="s">
        <v>28</v>
      </c>
      <c r="I517" s="7771" t="s">
        <v>822</v>
      </c>
    </row>
    <row customHeight="1" ht="11.25">
      <c r="A518" s="7771" t="s">
        <v>2266</v>
      </c>
      <c r="B518" s="7771" t="s">
        <v>16</v>
      </c>
      <c r="C518" s="7771" t="s">
        <v>4219</v>
      </c>
      <c r="D518" s="7771" t="s">
        <v>4220</v>
      </c>
      <c r="E518" s="7771" t="s">
        <v>4221</v>
      </c>
      <c r="F518" s="7771" t="s">
        <v>2377</v>
      </c>
      <c r="G518" s="7771" t="s">
        <v>4222</v>
      </c>
      <c r="H518" s="7771" t="s">
        <v>28</v>
      </c>
      <c r="I518" s="7771" t="s">
        <v>822</v>
      </c>
    </row>
    <row customHeight="1" ht="11.25">
      <c r="A519" s="7771" t="s">
        <v>2266</v>
      </c>
      <c r="B519" s="7771" t="s">
        <v>16</v>
      </c>
      <c r="C519" s="7771" t="s">
        <v>4223</v>
      </c>
      <c r="D519" s="7771" t="s">
        <v>4224</v>
      </c>
      <c r="E519" s="7771" t="s">
        <v>4225</v>
      </c>
      <c r="F519" s="7771" t="s">
        <v>2642</v>
      </c>
      <c r="G519" s="7771" t="s">
        <v>4226</v>
      </c>
      <c r="H519" s="7771" t="s">
        <v>28</v>
      </c>
      <c r="I519" s="7771" t="s">
        <v>822</v>
      </c>
    </row>
    <row customHeight="1" ht="11.25">
      <c r="A520" s="7771" t="s">
        <v>2266</v>
      </c>
      <c r="B520" s="7771" t="s">
        <v>16</v>
      </c>
      <c r="C520" s="7771" t="s">
        <v>4227</v>
      </c>
      <c r="D520" s="7771" t="s">
        <v>4228</v>
      </c>
      <c r="E520" s="7771" t="s">
        <v>4229</v>
      </c>
      <c r="F520" s="7771" t="s">
        <v>2285</v>
      </c>
      <c r="G520" s="7771" t="s">
        <v>4230</v>
      </c>
      <c r="H520" s="7771" t="s">
        <v>28</v>
      </c>
      <c r="I520" s="7771" t="s">
        <v>822</v>
      </c>
    </row>
    <row customHeight="1" ht="11.25">
      <c r="A521" s="7771" t="s">
        <v>2266</v>
      </c>
      <c r="B521" s="7771" t="s">
        <v>16</v>
      </c>
      <c r="C521" s="7771" t="s">
        <v>4231</v>
      </c>
      <c r="D521" s="7771" t="s">
        <v>4232</v>
      </c>
      <c r="E521" s="7771" t="s">
        <v>4233</v>
      </c>
      <c r="F521" s="7771" t="s">
        <v>2320</v>
      </c>
      <c r="G521" s="7771" t="s">
        <v>28</v>
      </c>
      <c r="H521" s="7771" t="s">
        <v>28</v>
      </c>
      <c r="I521" s="7771" t="s">
        <v>822</v>
      </c>
    </row>
    <row customHeight="1" ht="11.25">
      <c r="A522" s="7771" t="s">
        <v>2266</v>
      </c>
      <c r="B522" s="7771" t="s">
        <v>16</v>
      </c>
      <c r="C522" s="7771" t="s">
        <v>4234</v>
      </c>
      <c r="D522" s="7771" t="s">
        <v>4235</v>
      </c>
      <c r="E522" s="7771" t="s">
        <v>4236</v>
      </c>
      <c r="F522" s="7771" t="s">
        <v>2399</v>
      </c>
      <c r="G522" s="7771" t="s">
        <v>28</v>
      </c>
      <c r="H522" s="7771" t="s">
        <v>28</v>
      </c>
      <c r="I522" s="7771" t="s">
        <v>822</v>
      </c>
    </row>
    <row customHeight="1" ht="11.25">
      <c r="A523" s="7771" t="s">
        <v>2266</v>
      </c>
      <c r="B523" s="7771" t="s">
        <v>16</v>
      </c>
      <c r="C523" s="7771" t="s">
        <v>4237</v>
      </c>
      <c r="D523" s="7771" t="s">
        <v>4238</v>
      </c>
      <c r="E523" s="7771" t="s">
        <v>4239</v>
      </c>
      <c r="F523" s="7771" t="s">
        <v>2629</v>
      </c>
      <c r="G523" s="7771" t="s">
        <v>28</v>
      </c>
      <c r="H523" s="7771" t="s">
        <v>28</v>
      </c>
      <c r="I523" s="7771" t="s">
        <v>822</v>
      </c>
    </row>
    <row customHeight="1" ht="11.25">
      <c r="A524" s="7771" t="s">
        <v>2266</v>
      </c>
      <c r="B524" s="7771" t="s">
        <v>16</v>
      </c>
      <c r="C524" s="7771" t="s">
        <v>4240</v>
      </c>
      <c r="D524" s="7771" t="s">
        <v>4241</v>
      </c>
      <c r="E524" s="7771" t="s">
        <v>4242</v>
      </c>
      <c r="F524" s="7771" t="s">
        <v>2300</v>
      </c>
      <c r="G524" s="7771" t="s">
        <v>4243</v>
      </c>
      <c r="H524" s="7771" t="s">
        <v>28</v>
      </c>
      <c r="I524" s="7771" t="s">
        <v>822</v>
      </c>
    </row>
    <row customHeight="1" ht="11.25">
      <c r="A525" s="7771" t="s">
        <v>2266</v>
      </c>
      <c r="B525" s="7771" t="s">
        <v>16</v>
      </c>
      <c r="C525" s="7771" t="s">
        <v>4244</v>
      </c>
      <c r="D525" s="7771" t="s">
        <v>4245</v>
      </c>
      <c r="E525" s="7771" t="s">
        <v>4246</v>
      </c>
      <c r="F525" s="7771" t="s">
        <v>2295</v>
      </c>
      <c r="G525" s="7771" t="s">
        <v>28</v>
      </c>
      <c r="H525" s="7771" t="s">
        <v>28</v>
      </c>
      <c r="I525" s="7771" t="s">
        <v>822</v>
      </c>
    </row>
    <row customHeight="1" ht="11.25">
      <c r="A526" s="7771" t="s">
        <v>2266</v>
      </c>
      <c r="B526" s="7771" t="s">
        <v>16</v>
      </c>
      <c r="C526" s="7771" t="s">
        <v>4247</v>
      </c>
      <c r="D526" s="7771" t="s">
        <v>4248</v>
      </c>
      <c r="E526" s="7771" t="s">
        <v>4249</v>
      </c>
      <c r="F526" s="7771" t="s">
        <v>2629</v>
      </c>
      <c r="G526" s="7771" t="s">
        <v>4250</v>
      </c>
      <c r="H526" s="7771" t="s">
        <v>28</v>
      </c>
      <c r="I526" s="7771" t="s">
        <v>822</v>
      </c>
    </row>
    <row customHeight="1" ht="11.25">
      <c r="A527" s="7771" t="s">
        <v>2266</v>
      </c>
      <c r="B527" s="7771" t="s">
        <v>16</v>
      </c>
      <c r="C527" s="7771" t="s">
        <v>4251</v>
      </c>
      <c r="D527" s="7771" t="s">
        <v>4252</v>
      </c>
      <c r="E527" s="7771" t="s">
        <v>4253</v>
      </c>
      <c r="F527" s="7771" t="s">
        <v>4254</v>
      </c>
      <c r="G527" s="7771" t="s">
        <v>28</v>
      </c>
      <c r="H527" s="7771" t="s">
        <v>28</v>
      </c>
      <c r="I527" s="7771" t="s">
        <v>822</v>
      </c>
    </row>
    <row customHeight="1" ht="11.25">
      <c r="A528" s="7771" t="s">
        <v>2266</v>
      </c>
      <c r="B528" s="7771" t="s">
        <v>16</v>
      </c>
      <c r="C528" s="7771" t="s">
        <v>4255</v>
      </c>
      <c r="D528" s="7771" t="s">
        <v>4256</v>
      </c>
      <c r="E528" s="7771" t="s">
        <v>4257</v>
      </c>
      <c r="F528" s="7771" t="s">
        <v>2446</v>
      </c>
      <c r="G528" s="7771" t="s">
        <v>4258</v>
      </c>
      <c r="H528" s="7771" t="s">
        <v>28</v>
      </c>
      <c r="I528" s="7771" t="s">
        <v>822</v>
      </c>
    </row>
    <row customHeight="1" ht="11.25">
      <c r="A529" s="7771" t="s">
        <v>2266</v>
      </c>
      <c r="B529" s="7771" t="s">
        <v>16</v>
      </c>
      <c r="C529" s="7771" t="s">
        <v>4259</v>
      </c>
      <c r="D529" s="7771" t="s">
        <v>4260</v>
      </c>
      <c r="E529" s="7771" t="s">
        <v>4261</v>
      </c>
      <c r="F529" s="7771" t="s">
        <v>2451</v>
      </c>
      <c r="G529" s="7771" t="s">
        <v>4262</v>
      </c>
      <c r="H529" s="7771" t="s">
        <v>28</v>
      </c>
      <c r="I529" s="7771" t="s">
        <v>822</v>
      </c>
    </row>
    <row customHeight="1" ht="11.25">
      <c r="A530" s="7771" t="s">
        <v>2266</v>
      </c>
      <c r="B530" s="7771" t="s">
        <v>16</v>
      </c>
      <c r="C530" s="7771" t="s">
        <v>4263</v>
      </c>
      <c r="D530" s="7771" t="s">
        <v>4264</v>
      </c>
      <c r="E530" s="7771" t="s">
        <v>4265</v>
      </c>
      <c r="F530" s="7771" t="s">
        <v>2280</v>
      </c>
      <c r="G530" s="7771" t="s">
        <v>4266</v>
      </c>
      <c r="H530" s="7771" t="s">
        <v>28</v>
      </c>
      <c r="I530" s="7771" t="s">
        <v>822</v>
      </c>
    </row>
    <row customHeight="1" ht="11.25">
      <c r="A531" s="7771" t="s">
        <v>2266</v>
      </c>
      <c r="B531" s="7771" t="s">
        <v>16</v>
      </c>
      <c r="C531" s="7771" t="s">
        <v>4267</v>
      </c>
      <c r="D531" s="7771" t="s">
        <v>4268</v>
      </c>
      <c r="E531" s="7771" t="s">
        <v>4269</v>
      </c>
      <c r="F531" s="7771" t="s">
        <v>2347</v>
      </c>
      <c r="G531" s="7771" t="s">
        <v>28</v>
      </c>
      <c r="H531" s="7771" t="s">
        <v>28</v>
      </c>
      <c r="I531" s="7771" t="s">
        <v>822</v>
      </c>
    </row>
    <row customHeight="1" ht="11.25">
      <c r="A532" s="7771" t="s">
        <v>2266</v>
      </c>
      <c r="B532" s="7771" t="s">
        <v>16</v>
      </c>
      <c r="C532" s="7771" t="s">
        <v>4270</v>
      </c>
      <c r="D532" s="7771" t="s">
        <v>4271</v>
      </c>
      <c r="E532" s="7771" t="s">
        <v>4272</v>
      </c>
      <c r="F532" s="7771" t="s">
        <v>2629</v>
      </c>
      <c r="G532" s="7771" t="s">
        <v>28</v>
      </c>
      <c r="H532" s="7771" t="s">
        <v>28</v>
      </c>
      <c r="I532" s="7771" t="s">
        <v>822</v>
      </c>
    </row>
    <row customHeight="1" ht="11.25">
      <c r="A533" s="7771" t="s">
        <v>2266</v>
      </c>
      <c r="B533" s="7771" t="s">
        <v>16</v>
      </c>
      <c r="C533" s="7771" t="s">
        <v>4273</v>
      </c>
      <c r="D533" s="7771" t="s">
        <v>4271</v>
      </c>
      <c r="E533" s="7771" t="s">
        <v>4274</v>
      </c>
      <c r="F533" s="7771" t="s">
        <v>2441</v>
      </c>
      <c r="G533" s="7771" t="s">
        <v>4275</v>
      </c>
      <c r="H533" s="7771" t="s">
        <v>28</v>
      </c>
      <c r="I533" s="7771" t="s">
        <v>822</v>
      </c>
    </row>
    <row customHeight="1" ht="11.25">
      <c r="A534" s="7771" t="s">
        <v>2266</v>
      </c>
      <c r="B534" s="7771" t="s">
        <v>16</v>
      </c>
      <c r="C534" s="7771" t="s">
        <v>4276</v>
      </c>
      <c r="D534" s="7771" t="s">
        <v>4277</v>
      </c>
      <c r="E534" s="7771" t="s">
        <v>4278</v>
      </c>
      <c r="F534" s="7771" t="s">
        <v>2451</v>
      </c>
      <c r="G534" s="7771" t="s">
        <v>4279</v>
      </c>
      <c r="H534" s="7771" t="s">
        <v>28</v>
      </c>
      <c r="I534" s="7771" t="s">
        <v>822</v>
      </c>
    </row>
    <row customHeight="1" ht="11.25">
      <c r="A535" s="7771" t="s">
        <v>2266</v>
      </c>
      <c r="B535" s="7771" t="s">
        <v>16</v>
      </c>
      <c r="C535" s="7771" t="s">
        <v>4280</v>
      </c>
      <c r="D535" s="7771" t="s">
        <v>4281</v>
      </c>
      <c r="E535" s="7771" t="s">
        <v>4282</v>
      </c>
      <c r="F535" s="7771" t="s">
        <v>2800</v>
      </c>
      <c r="G535" s="7771" t="s">
        <v>4283</v>
      </c>
      <c r="H535" s="7771" t="s">
        <v>28</v>
      </c>
      <c r="I535" s="7771" t="s">
        <v>822</v>
      </c>
    </row>
    <row customHeight="1" ht="11.25">
      <c r="A536" s="7771" t="s">
        <v>2266</v>
      </c>
      <c r="B536" s="7771" t="s">
        <v>16</v>
      </c>
      <c r="C536" s="7771" t="s">
        <v>4284</v>
      </c>
      <c r="D536" s="7771" t="s">
        <v>4285</v>
      </c>
      <c r="E536" s="7771" t="s">
        <v>4286</v>
      </c>
      <c r="F536" s="7771" t="s">
        <v>2629</v>
      </c>
      <c r="G536" s="7771" t="s">
        <v>4287</v>
      </c>
      <c r="H536" s="7771" t="s">
        <v>28</v>
      </c>
      <c r="I536" s="7771" t="s">
        <v>822</v>
      </c>
    </row>
    <row customHeight="1" ht="11.25">
      <c r="A537" s="7771" t="s">
        <v>2266</v>
      </c>
      <c r="B537" s="7771" t="s">
        <v>16</v>
      </c>
      <c r="C537" s="7771" t="s">
        <v>4288</v>
      </c>
      <c r="D537" s="7771" t="s">
        <v>4289</v>
      </c>
      <c r="E537" s="7771" t="s">
        <v>4290</v>
      </c>
      <c r="F537" s="7771" t="s">
        <v>2451</v>
      </c>
      <c r="G537" s="7771" t="s">
        <v>4291</v>
      </c>
      <c r="H537" s="7771" t="s">
        <v>28</v>
      </c>
      <c r="I537" s="7771" t="s">
        <v>822</v>
      </c>
    </row>
    <row customHeight="1" ht="11.25">
      <c r="A538" s="7771" t="s">
        <v>2266</v>
      </c>
      <c r="B538" s="7771" t="s">
        <v>16</v>
      </c>
      <c r="C538" s="7771" t="s">
        <v>4292</v>
      </c>
      <c r="D538" s="7771" t="s">
        <v>4293</v>
      </c>
      <c r="E538" s="7771" t="s">
        <v>4294</v>
      </c>
      <c r="F538" s="7771" t="s">
        <v>2468</v>
      </c>
      <c r="G538" s="7771" t="s">
        <v>28</v>
      </c>
      <c r="H538" s="7771" t="s">
        <v>28</v>
      </c>
      <c r="I538" s="7771" t="s">
        <v>822</v>
      </c>
    </row>
    <row customHeight="1" ht="11.25">
      <c r="A539" s="7771" t="s">
        <v>2266</v>
      </c>
      <c r="B539" s="7771" t="s">
        <v>16</v>
      </c>
      <c r="C539" s="7771" t="s">
        <v>4295</v>
      </c>
      <c r="D539" s="7771" t="s">
        <v>4296</v>
      </c>
      <c r="E539" s="7771" t="s">
        <v>4297</v>
      </c>
      <c r="F539" s="7771" t="s">
        <v>2642</v>
      </c>
      <c r="G539" s="7771" t="s">
        <v>4298</v>
      </c>
      <c r="H539" s="7771" t="s">
        <v>28</v>
      </c>
      <c r="I539" s="7771" t="s">
        <v>822</v>
      </c>
    </row>
    <row customHeight="1" ht="11.25">
      <c r="A540" s="7771" t="s">
        <v>2266</v>
      </c>
      <c r="B540" s="7771" t="s">
        <v>16</v>
      </c>
      <c r="C540" s="7771" t="s">
        <v>4299</v>
      </c>
      <c r="D540" s="7771" t="s">
        <v>4300</v>
      </c>
      <c r="E540" s="7771" t="s">
        <v>4301</v>
      </c>
      <c r="F540" s="7771" t="s">
        <v>2320</v>
      </c>
      <c r="G540" s="7771" t="s">
        <v>4302</v>
      </c>
      <c r="H540" s="7771" t="s">
        <v>28</v>
      </c>
      <c r="I540" s="7771" t="s">
        <v>822</v>
      </c>
    </row>
    <row customHeight="1" ht="11.25">
      <c r="A541" s="7771" t="s">
        <v>2266</v>
      </c>
      <c r="B541" s="7771" t="s">
        <v>16</v>
      </c>
      <c r="C541" s="7771" t="s">
        <v>4303</v>
      </c>
      <c r="D541" s="7771" t="s">
        <v>4304</v>
      </c>
      <c r="E541" s="7771" t="s">
        <v>4305</v>
      </c>
      <c r="F541" s="7771" t="s">
        <v>2295</v>
      </c>
      <c r="G541" s="7771" t="s">
        <v>4306</v>
      </c>
      <c r="H541" s="7771" t="s">
        <v>28</v>
      </c>
      <c r="I541" s="7771" t="s">
        <v>822</v>
      </c>
    </row>
    <row customHeight="1" ht="11.25">
      <c r="A542" s="7771" t="s">
        <v>2266</v>
      </c>
      <c r="B542" s="7771" t="s">
        <v>16</v>
      </c>
      <c r="C542" s="7771" t="s">
        <v>4307</v>
      </c>
      <c r="D542" s="7771" t="s">
        <v>4308</v>
      </c>
      <c r="E542" s="7771" t="s">
        <v>4309</v>
      </c>
      <c r="F542" s="7771" t="s">
        <v>2285</v>
      </c>
      <c r="G542" s="7771" t="s">
        <v>4310</v>
      </c>
      <c r="H542" s="7771" t="s">
        <v>28</v>
      </c>
      <c r="I542" s="7771" t="s">
        <v>822</v>
      </c>
    </row>
    <row customHeight="1" ht="11.25">
      <c r="A543" s="7771" t="s">
        <v>2266</v>
      </c>
      <c r="B543" s="7771" t="s">
        <v>16</v>
      </c>
      <c r="C543" s="7771" t="s">
        <v>4311</v>
      </c>
      <c r="D543" s="7771" t="s">
        <v>4312</v>
      </c>
      <c r="E543" s="7771" t="s">
        <v>4313</v>
      </c>
      <c r="F543" s="7771" t="s">
        <v>2441</v>
      </c>
      <c r="G543" s="7771" t="s">
        <v>28</v>
      </c>
      <c r="H543" s="7771" t="s">
        <v>28</v>
      </c>
      <c r="I543" s="7771" t="s">
        <v>822</v>
      </c>
    </row>
    <row customHeight="1" ht="11.25">
      <c r="A544" s="7771" t="s">
        <v>2266</v>
      </c>
      <c r="B544" s="7771" t="s">
        <v>16</v>
      </c>
      <c r="C544" s="7771" t="s">
        <v>4314</v>
      </c>
      <c r="D544" s="7771" t="s">
        <v>4315</v>
      </c>
      <c r="E544" s="7771" t="s">
        <v>4316</v>
      </c>
      <c r="F544" s="7771" t="s">
        <v>2412</v>
      </c>
      <c r="G544" s="7771" t="s">
        <v>4317</v>
      </c>
      <c r="H544" s="7771" t="s">
        <v>28</v>
      </c>
      <c r="I544" s="7771" t="s">
        <v>822</v>
      </c>
    </row>
    <row customHeight="1" ht="11.25">
      <c r="A545" s="7771" t="s">
        <v>2266</v>
      </c>
      <c r="B545" s="7771" t="s">
        <v>16</v>
      </c>
      <c r="C545" s="7771" t="s">
        <v>4318</v>
      </c>
      <c r="D545" s="7771" t="s">
        <v>4319</v>
      </c>
      <c r="E545" s="7771" t="s">
        <v>4320</v>
      </c>
      <c r="F545" s="7771" t="s">
        <v>2372</v>
      </c>
      <c r="G545" s="7771" t="s">
        <v>4321</v>
      </c>
      <c r="H545" s="7771" t="s">
        <v>28</v>
      </c>
      <c r="I545" s="7771" t="s">
        <v>822</v>
      </c>
    </row>
    <row customHeight="1" ht="11.25">
      <c r="A546" s="7771" t="s">
        <v>2266</v>
      </c>
      <c r="B546" s="7771" t="s">
        <v>16</v>
      </c>
      <c r="C546" s="7771" t="s">
        <v>4322</v>
      </c>
      <c r="D546" s="7771" t="s">
        <v>4323</v>
      </c>
      <c r="E546" s="7771" t="s">
        <v>4324</v>
      </c>
      <c r="F546" s="7771" t="s">
        <v>2468</v>
      </c>
      <c r="G546" s="7771" t="s">
        <v>28</v>
      </c>
      <c r="H546" s="7771" t="s">
        <v>28</v>
      </c>
      <c r="I546" s="7771" t="s">
        <v>822</v>
      </c>
    </row>
    <row customHeight="1" ht="11.25">
      <c r="A547" s="7771" t="s">
        <v>2266</v>
      </c>
      <c r="B547" s="7771" t="s">
        <v>16</v>
      </c>
      <c r="C547" s="7771" t="s">
        <v>4325</v>
      </c>
      <c r="D547" s="7771" t="s">
        <v>4326</v>
      </c>
      <c r="E547" s="7771" t="s">
        <v>4327</v>
      </c>
      <c r="F547" s="7771" t="s">
        <v>4328</v>
      </c>
      <c r="G547" s="7771" t="s">
        <v>4329</v>
      </c>
      <c r="H547" s="7771" t="s">
        <v>28</v>
      </c>
      <c r="I547" s="7771" t="s">
        <v>822</v>
      </c>
    </row>
    <row customHeight="1" ht="11.25">
      <c r="A548" s="7771" t="s">
        <v>2266</v>
      </c>
      <c r="B548" s="7771" t="s">
        <v>16</v>
      </c>
      <c r="C548" s="7771" t="s">
        <v>4330</v>
      </c>
      <c r="D548" s="7771" t="s">
        <v>4331</v>
      </c>
      <c r="E548" s="7771" t="s">
        <v>4332</v>
      </c>
      <c r="F548" s="7771" t="s">
        <v>3966</v>
      </c>
      <c r="G548" s="7771" t="s">
        <v>2404</v>
      </c>
      <c r="H548" s="7771" t="s">
        <v>28</v>
      </c>
      <c r="I548" s="7771" t="s">
        <v>822</v>
      </c>
    </row>
    <row customHeight="1" ht="11.25">
      <c r="A549" s="7771" t="s">
        <v>2266</v>
      </c>
      <c r="B549" s="7771" t="s">
        <v>16</v>
      </c>
      <c r="C549" s="7771" t="s">
        <v>4333</v>
      </c>
      <c r="D549" s="7771" t="s">
        <v>4334</v>
      </c>
      <c r="E549" s="7771" t="s">
        <v>4335</v>
      </c>
      <c r="F549" s="7771" t="s">
        <v>2280</v>
      </c>
      <c r="G549" s="7771" t="s">
        <v>28</v>
      </c>
      <c r="H549" s="7771" t="s">
        <v>28</v>
      </c>
      <c r="I549" s="7771" t="s">
        <v>822</v>
      </c>
    </row>
    <row customHeight="1" ht="11.25">
      <c r="A550" s="7771" t="s">
        <v>2266</v>
      </c>
      <c r="B550" s="7771" t="s">
        <v>16</v>
      </c>
      <c r="C550" s="7771" t="s">
        <v>4336</v>
      </c>
      <c r="D550" s="7771" t="s">
        <v>4337</v>
      </c>
      <c r="E550" s="7771" t="s">
        <v>4338</v>
      </c>
      <c r="F550" s="7771" t="s">
        <v>2468</v>
      </c>
      <c r="G550" s="7771" t="s">
        <v>4339</v>
      </c>
      <c r="H550" s="7771" t="s">
        <v>28</v>
      </c>
      <c r="I550" s="7771" t="s">
        <v>822</v>
      </c>
    </row>
    <row customHeight="1" ht="11.25">
      <c r="A551" s="7771" t="s">
        <v>2266</v>
      </c>
      <c r="B551" s="7771" t="s">
        <v>16</v>
      </c>
      <c r="C551" s="7771" t="s">
        <v>4340</v>
      </c>
      <c r="D551" s="7771" t="s">
        <v>4341</v>
      </c>
      <c r="E551" s="7771" t="s">
        <v>4342</v>
      </c>
      <c r="F551" s="7771" t="s">
        <v>2360</v>
      </c>
      <c r="G551" s="7771" t="s">
        <v>28</v>
      </c>
      <c r="H551" s="7771" t="s">
        <v>28</v>
      </c>
      <c r="I551" s="7771" t="s">
        <v>822</v>
      </c>
    </row>
    <row customHeight="1" ht="11.25">
      <c r="A552" s="7771" t="s">
        <v>2266</v>
      </c>
      <c r="B552" s="7771" t="s">
        <v>16</v>
      </c>
      <c r="C552" s="7771" t="s">
        <v>4343</v>
      </c>
      <c r="D552" s="7771" t="s">
        <v>4344</v>
      </c>
      <c r="E552" s="7771" t="s">
        <v>4345</v>
      </c>
      <c r="F552" s="7771" t="s">
        <v>2451</v>
      </c>
      <c r="G552" s="7771" t="s">
        <v>28</v>
      </c>
      <c r="H552" s="7771" t="s">
        <v>28</v>
      </c>
      <c r="I552" s="7771" t="s">
        <v>822</v>
      </c>
    </row>
    <row customHeight="1" ht="11.25">
      <c r="A553" s="7771" t="s">
        <v>2266</v>
      </c>
      <c r="B553" s="7771" t="s">
        <v>16</v>
      </c>
      <c r="C553" s="7771" t="s">
        <v>4346</v>
      </c>
      <c r="D553" s="7771" t="s">
        <v>4347</v>
      </c>
      <c r="E553" s="7771" t="s">
        <v>4348</v>
      </c>
      <c r="F553" s="7771" t="s">
        <v>2356</v>
      </c>
      <c r="G553" s="7771" t="s">
        <v>28</v>
      </c>
      <c r="H553" s="7771" t="s">
        <v>28</v>
      </c>
      <c r="I553" s="7771" t="s">
        <v>822</v>
      </c>
    </row>
    <row customHeight="1" ht="11.25">
      <c r="A554" s="7771" t="s">
        <v>2266</v>
      </c>
      <c r="B554" s="7771" t="s">
        <v>16</v>
      </c>
      <c r="C554" s="7771" t="s">
        <v>4349</v>
      </c>
      <c r="D554" s="7771" t="s">
        <v>4350</v>
      </c>
      <c r="E554" s="7771" t="s">
        <v>4351</v>
      </c>
      <c r="F554" s="7771" t="s">
        <v>2285</v>
      </c>
      <c r="G554" s="7771" t="s">
        <v>28</v>
      </c>
      <c r="H554" s="7771" t="s">
        <v>28</v>
      </c>
      <c r="I554" s="7771" t="s">
        <v>822</v>
      </c>
    </row>
    <row customHeight="1" ht="11.25">
      <c r="A555" s="7771" t="s">
        <v>2266</v>
      </c>
      <c r="B555" s="7771" t="s">
        <v>16</v>
      </c>
      <c r="C555" s="7771" t="s">
        <v>4352</v>
      </c>
      <c r="D555" s="7771" t="s">
        <v>4353</v>
      </c>
      <c r="E555" s="7771" t="s">
        <v>4354</v>
      </c>
      <c r="F555" s="7771" t="s">
        <v>2446</v>
      </c>
      <c r="G555" s="7771" t="s">
        <v>4355</v>
      </c>
      <c r="H555" s="7771" t="s">
        <v>28</v>
      </c>
      <c r="I555" s="7771" t="s">
        <v>822</v>
      </c>
    </row>
    <row customHeight="1" ht="11.25">
      <c r="A556" s="7771" t="s">
        <v>2266</v>
      </c>
      <c r="B556" s="7771" t="s">
        <v>16</v>
      </c>
      <c r="C556" s="7771" t="s">
        <v>4356</v>
      </c>
      <c r="D556" s="7771" t="s">
        <v>4357</v>
      </c>
      <c r="E556" s="7771" t="s">
        <v>4358</v>
      </c>
      <c r="F556" s="7771" t="s">
        <v>4359</v>
      </c>
      <c r="G556" s="7771" t="s">
        <v>28</v>
      </c>
      <c r="H556" s="7771" t="s">
        <v>28</v>
      </c>
      <c r="I556" s="7771" t="s">
        <v>822</v>
      </c>
    </row>
    <row customHeight="1" ht="11.25">
      <c r="A557" s="7771" t="s">
        <v>2266</v>
      </c>
      <c r="B557" s="7771" t="s">
        <v>16</v>
      </c>
      <c r="C557" s="7771" t="s">
        <v>4360</v>
      </c>
      <c r="D557" s="7771" t="s">
        <v>4357</v>
      </c>
      <c r="E557" s="7771" t="s">
        <v>4361</v>
      </c>
      <c r="F557" s="7771" t="s">
        <v>3528</v>
      </c>
      <c r="G557" s="7771" t="s">
        <v>28</v>
      </c>
      <c r="H557" s="7771" t="s">
        <v>28</v>
      </c>
      <c r="I557" s="7771" t="s">
        <v>822</v>
      </c>
    </row>
    <row customHeight="1" ht="11.25">
      <c r="A558" s="7771" t="s">
        <v>2266</v>
      </c>
      <c r="B558" s="7771" t="s">
        <v>16</v>
      </c>
      <c r="C558" s="7771" t="s">
        <v>4362</v>
      </c>
      <c r="D558" s="7771" t="s">
        <v>4363</v>
      </c>
      <c r="E558" s="7771" t="s">
        <v>4009</v>
      </c>
      <c r="F558" s="7771" t="s">
        <v>2430</v>
      </c>
      <c r="G558" s="7771" t="s">
        <v>28</v>
      </c>
      <c r="H558" s="7771" t="s">
        <v>28</v>
      </c>
      <c r="I558" s="7771" t="s">
        <v>822</v>
      </c>
    </row>
    <row customHeight="1" ht="11.25">
      <c r="A559" s="7771" t="s">
        <v>2266</v>
      </c>
      <c r="B559" s="7771" t="s">
        <v>16</v>
      </c>
      <c r="C559" s="7771" t="s">
        <v>4364</v>
      </c>
      <c r="D559" s="7771" t="s">
        <v>4365</v>
      </c>
      <c r="E559" s="7771" t="s">
        <v>4366</v>
      </c>
      <c r="F559" s="7771" t="s">
        <v>2372</v>
      </c>
      <c r="G559" s="7771" t="s">
        <v>4367</v>
      </c>
      <c r="H559" s="7771" t="s">
        <v>28</v>
      </c>
      <c r="I559" s="7771" t="s">
        <v>822</v>
      </c>
    </row>
    <row customHeight="1" ht="11.25">
      <c r="A560" s="7771" t="s">
        <v>2266</v>
      </c>
      <c r="B560" s="7771" t="s">
        <v>16</v>
      </c>
      <c r="C560" s="7771" t="s">
        <v>4368</v>
      </c>
      <c r="D560" s="7771" t="s">
        <v>4369</v>
      </c>
      <c r="E560" s="7771" t="s">
        <v>4370</v>
      </c>
      <c r="F560" s="7771" t="s">
        <v>3120</v>
      </c>
      <c r="G560" s="7771" t="s">
        <v>28</v>
      </c>
      <c r="H560" s="7771" t="s">
        <v>28</v>
      </c>
      <c r="I560" s="7771" t="s">
        <v>822</v>
      </c>
    </row>
    <row customHeight="1" ht="11.25">
      <c r="A561" s="7771" t="s">
        <v>2266</v>
      </c>
      <c r="B561" s="7771" t="s">
        <v>16</v>
      </c>
      <c r="C561" s="7771" t="s">
        <v>4371</v>
      </c>
      <c r="D561" s="7771" t="s">
        <v>4372</v>
      </c>
      <c r="E561" s="7771" t="s">
        <v>4373</v>
      </c>
      <c r="F561" s="7771" t="s">
        <v>2360</v>
      </c>
      <c r="G561" s="7771" t="s">
        <v>4374</v>
      </c>
      <c r="H561" s="7771" t="s">
        <v>28</v>
      </c>
      <c r="I561" s="7771" t="s">
        <v>822</v>
      </c>
    </row>
    <row customHeight="1" ht="11.25">
      <c r="A562" s="7771" t="s">
        <v>2266</v>
      </c>
      <c r="B562" s="7771" t="s">
        <v>16</v>
      </c>
      <c r="C562" s="7771" t="s">
        <v>4375</v>
      </c>
      <c r="D562" s="7771" t="s">
        <v>4376</v>
      </c>
      <c r="E562" s="7771" t="s">
        <v>4377</v>
      </c>
      <c r="F562" s="7771" t="s">
        <v>2451</v>
      </c>
      <c r="G562" s="7771" t="s">
        <v>28</v>
      </c>
      <c r="H562" s="7771" t="s">
        <v>28</v>
      </c>
      <c r="I562" s="7771" t="s">
        <v>822</v>
      </c>
    </row>
    <row customHeight="1" ht="11.25">
      <c r="A563" s="7771" t="s">
        <v>2266</v>
      </c>
      <c r="B563" s="7771" t="s">
        <v>16</v>
      </c>
      <c r="C563" s="7771" t="s">
        <v>4378</v>
      </c>
      <c r="D563" s="7771" t="s">
        <v>4379</v>
      </c>
      <c r="E563" s="7771" t="s">
        <v>4380</v>
      </c>
      <c r="F563" s="7771" t="s">
        <v>2446</v>
      </c>
      <c r="G563" s="7771" t="s">
        <v>28</v>
      </c>
      <c r="H563" s="7771" t="s">
        <v>28</v>
      </c>
      <c r="I563" s="7771" t="s">
        <v>822</v>
      </c>
    </row>
    <row customHeight="1" ht="11.25">
      <c r="A564" s="7771" t="s">
        <v>2266</v>
      </c>
      <c r="B564" s="7771" t="s">
        <v>16</v>
      </c>
      <c r="C564" s="7771" t="s">
        <v>4381</v>
      </c>
      <c r="D564" s="7771" t="s">
        <v>4382</v>
      </c>
      <c r="E564" s="7771" t="s">
        <v>4383</v>
      </c>
      <c r="F564" s="7771" t="s">
        <v>2320</v>
      </c>
      <c r="G564" s="7771" t="s">
        <v>28</v>
      </c>
      <c r="H564" s="7771" t="s">
        <v>28</v>
      </c>
      <c r="I564" s="7771" t="s">
        <v>822</v>
      </c>
    </row>
    <row customHeight="1" ht="11.25">
      <c r="A565" s="7771" t="s">
        <v>2266</v>
      </c>
      <c r="B565" s="7771" t="s">
        <v>16</v>
      </c>
      <c r="C565" s="7771" t="s">
        <v>4384</v>
      </c>
      <c r="D565" s="7771" t="s">
        <v>4385</v>
      </c>
      <c r="E565" s="7771" t="s">
        <v>4386</v>
      </c>
      <c r="F565" s="7771" t="s">
        <v>3207</v>
      </c>
      <c r="G565" s="7771" t="s">
        <v>4387</v>
      </c>
      <c r="H565" s="7771" t="s">
        <v>28</v>
      </c>
      <c r="I565" s="7771" t="s">
        <v>822</v>
      </c>
    </row>
    <row customHeight="1" ht="11.25">
      <c r="A566" s="7771" t="s">
        <v>2266</v>
      </c>
      <c r="B566" s="7771" t="s">
        <v>16</v>
      </c>
      <c r="C566" s="7771" t="s">
        <v>4388</v>
      </c>
      <c r="D566" s="7771" t="s">
        <v>4389</v>
      </c>
      <c r="E566" s="7771" t="s">
        <v>4390</v>
      </c>
      <c r="F566" s="7771" t="s">
        <v>2280</v>
      </c>
      <c r="G566" s="7771" t="s">
        <v>4391</v>
      </c>
      <c r="H566" s="7771" t="s">
        <v>28</v>
      </c>
      <c r="I566" s="7771" t="s">
        <v>822</v>
      </c>
    </row>
    <row customHeight="1" ht="11.25">
      <c r="A567" s="7771" t="s">
        <v>2266</v>
      </c>
      <c r="B567" s="7771" t="s">
        <v>16</v>
      </c>
      <c r="C567" s="7771" t="s">
        <v>4392</v>
      </c>
      <c r="D567" s="7771" t="s">
        <v>4393</v>
      </c>
      <c r="E567" s="7771" t="s">
        <v>4394</v>
      </c>
      <c r="F567" s="7771" t="s">
        <v>2451</v>
      </c>
      <c r="G567" s="7771" t="s">
        <v>4395</v>
      </c>
      <c r="H567" s="7771" t="s">
        <v>28</v>
      </c>
      <c r="I567" s="7771" t="s">
        <v>822</v>
      </c>
    </row>
    <row customHeight="1" ht="11.25">
      <c r="A568" s="7771" t="s">
        <v>2266</v>
      </c>
      <c r="B568" s="7771" t="s">
        <v>16</v>
      </c>
      <c r="C568" s="7771" t="s">
        <v>4396</v>
      </c>
      <c r="D568" s="7771" t="s">
        <v>4397</v>
      </c>
      <c r="E568" s="7771" t="s">
        <v>4398</v>
      </c>
      <c r="F568" s="7771" t="s">
        <v>2894</v>
      </c>
      <c r="G568" s="7771" t="s">
        <v>4399</v>
      </c>
      <c r="H568" s="7771" t="s">
        <v>28</v>
      </c>
      <c r="I568" s="7771" t="s">
        <v>822</v>
      </c>
    </row>
    <row customHeight="1" ht="11.25">
      <c r="A569" s="7771" t="s">
        <v>2266</v>
      </c>
      <c r="B569" s="7771" t="s">
        <v>16</v>
      </c>
      <c r="C569" s="7771" t="s">
        <v>4400</v>
      </c>
      <c r="D569" s="7771" t="s">
        <v>4401</v>
      </c>
      <c r="E569" s="7771" t="s">
        <v>4402</v>
      </c>
      <c r="F569" s="7771" t="s">
        <v>2360</v>
      </c>
      <c r="G569" s="7771" t="s">
        <v>4403</v>
      </c>
      <c r="H569" s="7771" t="s">
        <v>28</v>
      </c>
      <c r="I569" s="7771" t="s">
        <v>822</v>
      </c>
    </row>
    <row customHeight="1" ht="11.25">
      <c r="A570" s="7771" t="s">
        <v>2266</v>
      </c>
      <c r="B570" s="7771" t="s">
        <v>16</v>
      </c>
      <c r="C570" s="7771" t="s">
        <v>4404</v>
      </c>
      <c r="D570" s="7771" t="s">
        <v>4405</v>
      </c>
      <c r="E570" s="7771" t="s">
        <v>4406</v>
      </c>
      <c r="F570" s="7771" t="s">
        <v>2360</v>
      </c>
      <c r="G570" s="7771" t="s">
        <v>4407</v>
      </c>
      <c r="H570" s="7771" t="s">
        <v>28</v>
      </c>
      <c r="I570" s="7771" t="s">
        <v>822</v>
      </c>
    </row>
    <row customHeight="1" ht="11.25">
      <c r="A571" s="7771" t="s">
        <v>2266</v>
      </c>
      <c r="B571" s="7771" t="s">
        <v>16</v>
      </c>
      <c r="C571" s="7771" t="s">
        <v>4408</v>
      </c>
      <c r="D571" s="7771" t="s">
        <v>4409</v>
      </c>
      <c r="E571" s="7771" t="s">
        <v>4410</v>
      </c>
      <c r="F571" s="7771" t="s">
        <v>2377</v>
      </c>
      <c r="G571" s="7771" t="s">
        <v>28</v>
      </c>
      <c r="H571" s="7771" t="s">
        <v>28</v>
      </c>
      <c r="I571" s="7771" t="s">
        <v>822</v>
      </c>
    </row>
    <row customHeight="1" ht="11.25">
      <c r="A572" s="7771" t="s">
        <v>2266</v>
      </c>
      <c r="B572" s="7771" t="s">
        <v>16</v>
      </c>
      <c r="C572" s="7771" t="s">
        <v>4411</v>
      </c>
      <c r="D572" s="7771" t="s">
        <v>4412</v>
      </c>
      <c r="E572" s="7771" t="s">
        <v>4413</v>
      </c>
      <c r="F572" s="7771" t="s">
        <v>3679</v>
      </c>
      <c r="G572" s="7771" t="s">
        <v>4414</v>
      </c>
      <c r="H572" s="7771" t="s">
        <v>28</v>
      </c>
      <c r="I572" s="7771" t="s">
        <v>822</v>
      </c>
    </row>
    <row customHeight="1" ht="11.25">
      <c r="A573" s="7771" t="s">
        <v>2266</v>
      </c>
      <c r="B573" s="7771" t="s">
        <v>16</v>
      </c>
      <c r="C573" s="7771" t="s">
        <v>4415</v>
      </c>
      <c r="D573" s="7771" t="s">
        <v>4416</v>
      </c>
      <c r="E573" s="7771" t="s">
        <v>4417</v>
      </c>
      <c r="F573" s="7771" t="s">
        <v>2385</v>
      </c>
      <c r="G573" s="7771" t="s">
        <v>28</v>
      </c>
      <c r="H573" s="7771" t="s">
        <v>28</v>
      </c>
      <c r="I573" s="7771" t="s">
        <v>822</v>
      </c>
    </row>
    <row customHeight="1" ht="11.25">
      <c r="A574" s="7771" t="s">
        <v>2266</v>
      </c>
      <c r="B574" s="7771" t="s">
        <v>16</v>
      </c>
      <c r="C574" s="7771" t="s">
        <v>4418</v>
      </c>
      <c r="D574" s="7771" t="s">
        <v>4419</v>
      </c>
      <c r="E574" s="7771" t="s">
        <v>4420</v>
      </c>
      <c r="F574" s="7771" t="s">
        <v>2430</v>
      </c>
      <c r="G574" s="7771" t="s">
        <v>4421</v>
      </c>
      <c r="H574" s="7771" t="s">
        <v>28</v>
      </c>
      <c r="I574" s="7771" t="s">
        <v>822</v>
      </c>
    </row>
    <row customHeight="1" ht="11.25">
      <c r="A575" s="7771" t="s">
        <v>2266</v>
      </c>
      <c r="B575" s="7771" t="s">
        <v>16</v>
      </c>
      <c r="C575" s="7771" t="s">
        <v>4422</v>
      </c>
      <c r="D575" s="7771" t="s">
        <v>4423</v>
      </c>
      <c r="E575" s="7771" t="s">
        <v>4424</v>
      </c>
      <c r="F575" s="7771" t="s">
        <v>2385</v>
      </c>
      <c r="G575" s="7771" t="s">
        <v>4425</v>
      </c>
      <c r="H575" s="7771" t="s">
        <v>28</v>
      </c>
      <c r="I575" s="7771" t="s">
        <v>822</v>
      </c>
    </row>
    <row customHeight="1" ht="11.25">
      <c r="A576" s="7771" t="s">
        <v>2266</v>
      </c>
      <c r="B576" s="7771" t="s">
        <v>16</v>
      </c>
      <c r="C576" s="7771" t="s">
        <v>4426</v>
      </c>
      <c r="D576" s="7771" t="s">
        <v>4427</v>
      </c>
      <c r="E576" s="7771" t="s">
        <v>4428</v>
      </c>
      <c r="F576" s="7771" t="s">
        <v>2486</v>
      </c>
      <c r="G576" s="7771" t="s">
        <v>28</v>
      </c>
      <c r="H576" s="7771" t="s">
        <v>28</v>
      </c>
      <c r="I576" s="7771" t="s">
        <v>822</v>
      </c>
    </row>
    <row customHeight="1" ht="11.25">
      <c r="A577" s="7771" t="s">
        <v>2266</v>
      </c>
      <c r="B577" s="7771" t="s">
        <v>16</v>
      </c>
      <c r="C577" s="7771" t="s">
        <v>4429</v>
      </c>
      <c r="D577" s="7771" t="s">
        <v>4430</v>
      </c>
      <c r="E577" s="7771" t="s">
        <v>4431</v>
      </c>
      <c r="F577" s="7771" t="s">
        <v>2280</v>
      </c>
      <c r="G577" s="7771" t="s">
        <v>28</v>
      </c>
      <c r="H577" s="7771" t="s">
        <v>28</v>
      </c>
      <c r="I577" s="7771" t="s">
        <v>822</v>
      </c>
    </row>
    <row customHeight="1" ht="11.25">
      <c r="A578" s="7771" t="s">
        <v>2266</v>
      </c>
      <c r="B578" s="7771" t="s">
        <v>16</v>
      </c>
      <c r="C578" s="7771" t="s">
        <v>4432</v>
      </c>
      <c r="D578" s="7771" t="s">
        <v>4433</v>
      </c>
      <c r="E578" s="7771" t="s">
        <v>4434</v>
      </c>
      <c r="F578" s="7771" t="s">
        <v>4435</v>
      </c>
      <c r="G578" s="7771" t="s">
        <v>4436</v>
      </c>
      <c r="H578" s="7771" t="s">
        <v>28</v>
      </c>
      <c r="I578" s="7771" t="s">
        <v>822</v>
      </c>
    </row>
    <row customHeight="1" ht="11.25">
      <c r="A579" s="7771" t="s">
        <v>2266</v>
      </c>
      <c r="B579" s="7771" t="s">
        <v>16</v>
      </c>
      <c r="C579" s="7771" t="s">
        <v>4437</v>
      </c>
      <c r="D579" s="7771" t="s">
        <v>4438</v>
      </c>
      <c r="E579" s="7771" t="s">
        <v>4439</v>
      </c>
      <c r="F579" s="7771" t="s">
        <v>4440</v>
      </c>
      <c r="G579" s="7771" t="s">
        <v>28</v>
      </c>
      <c r="H579" s="7771" t="s">
        <v>28</v>
      </c>
      <c r="I579" s="7771" t="s">
        <v>822</v>
      </c>
    </row>
    <row customHeight="1" ht="11.25">
      <c r="A580" s="7771" t="s">
        <v>2266</v>
      </c>
      <c r="B580" s="7771" t="s">
        <v>16</v>
      </c>
      <c r="C580" s="7771" t="s">
        <v>4441</v>
      </c>
      <c r="D580" s="7771" t="s">
        <v>4442</v>
      </c>
      <c r="E580" s="7771" t="s">
        <v>4439</v>
      </c>
      <c r="F580" s="7771" t="s">
        <v>4443</v>
      </c>
      <c r="G580" s="7771" t="s">
        <v>28</v>
      </c>
      <c r="H580" s="7771" t="s">
        <v>28</v>
      </c>
      <c r="I580" s="7771" t="s">
        <v>822</v>
      </c>
    </row>
    <row customHeight="1" ht="11.25">
      <c r="A581" s="7771" t="s">
        <v>2266</v>
      </c>
      <c r="B581" s="7771" t="s">
        <v>16</v>
      </c>
      <c r="C581" s="7771" t="s">
        <v>4444</v>
      </c>
      <c r="D581" s="7771" t="s">
        <v>4445</v>
      </c>
      <c r="E581" s="7771" t="s">
        <v>4446</v>
      </c>
      <c r="F581" s="7771" t="s">
        <v>2434</v>
      </c>
      <c r="G581" s="7771" t="s">
        <v>28</v>
      </c>
      <c r="H581" s="7771" t="s">
        <v>28</v>
      </c>
      <c r="I581" s="7771" t="s">
        <v>822</v>
      </c>
    </row>
    <row customHeight="1" ht="11.25">
      <c r="A582" s="7771" t="s">
        <v>2266</v>
      </c>
      <c r="B582" s="7771" t="s">
        <v>16</v>
      </c>
      <c r="C582" s="7771" t="s">
        <v>4447</v>
      </c>
      <c r="D582" s="7771" t="s">
        <v>4448</v>
      </c>
      <c r="E582" s="7771" t="s">
        <v>4449</v>
      </c>
      <c r="F582" s="7771" t="s">
        <v>3726</v>
      </c>
      <c r="G582" s="7771" t="s">
        <v>4450</v>
      </c>
      <c r="H582" s="7771" t="s">
        <v>28</v>
      </c>
      <c r="I582" s="7771" t="s">
        <v>822</v>
      </c>
    </row>
    <row customHeight="1" ht="11.25">
      <c r="A583" s="7771" t="s">
        <v>2266</v>
      </c>
      <c r="B583" s="7771" t="s">
        <v>16</v>
      </c>
      <c r="C583" s="7771" t="s">
        <v>4451</v>
      </c>
      <c r="D583" s="7771" t="s">
        <v>4452</v>
      </c>
      <c r="E583" s="7771" t="s">
        <v>4453</v>
      </c>
      <c r="F583" s="7771" t="s">
        <v>4454</v>
      </c>
      <c r="G583" s="7771" t="s">
        <v>28</v>
      </c>
      <c r="H583" s="7771" t="s">
        <v>28</v>
      </c>
      <c r="I583" s="7771" t="s">
        <v>822</v>
      </c>
    </row>
    <row customHeight="1" ht="11.25">
      <c r="A584" s="7771" t="s">
        <v>2266</v>
      </c>
      <c r="B584" s="7771" t="s">
        <v>16</v>
      </c>
      <c r="C584" s="7771" t="s">
        <v>4455</v>
      </c>
      <c r="D584" s="7771" t="s">
        <v>4456</v>
      </c>
      <c r="E584" s="7771" t="s">
        <v>4457</v>
      </c>
      <c r="F584" s="7771" t="s">
        <v>2451</v>
      </c>
      <c r="G584" s="7771" t="s">
        <v>4458</v>
      </c>
      <c r="H584" s="7771" t="s">
        <v>28</v>
      </c>
      <c r="I584" s="7771" t="s">
        <v>822</v>
      </c>
    </row>
    <row customHeight="1" ht="11.25">
      <c r="A585" s="7771" t="s">
        <v>2266</v>
      </c>
      <c r="B585" s="7771" t="s">
        <v>16</v>
      </c>
      <c r="C585" s="7771" t="s">
        <v>4459</v>
      </c>
      <c r="D585" s="7771" t="s">
        <v>4460</v>
      </c>
      <c r="E585" s="7771" t="s">
        <v>4461</v>
      </c>
      <c r="F585" s="7771" t="s">
        <v>4462</v>
      </c>
      <c r="G585" s="7771" t="s">
        <v>4463</v>
      </c>
      <c r="H585" s="7771" t="s">
        <v>28</v>
      </c>
      <c r="I585" s="7771" t="s">
        <v>822</v>
      </c>
    </row>
    <row customHeight="1" ht="11.25">
      <c r="A586" s="7771" t="s">
        <v>2266</v>
      </c>
      <c r="B586" s="7771" t="s">
        <v>16</v>
      </c>
      <c r="C586" s="7771" t="s">
        <v>4464</v>
      </c>
      <c r="D586" s="7771" t="s">
        <v>4465</v>
      </c>
      <c r="E586" s="7771" t="s">
        <v>2756</v>
      </c>
      <c r="F586" s="7771" t="s">
        <v>3626</v>
      </c>
      <c r="G586" s="7771" t="s">
        <v>28</v>
      </c>
      <c r="H586" s="7771" t="s">
        <v>28</v>
      </c>
      <c r="I586" s="7771" t="s">
        <v>822</v>
      </c>
    </row>
    <row customHeight="1" ht="11.25">
      <c r="A587" s="7771" t="s">
        <v>2266</v>
      </c>
      <c r="B587" s="7771" t="s">
        <v>16</v>
      </c>
      <c r="C587" s="7771" t="s">
        <v>4466</v>
      </c>
      <c r="D587" s="7771" t="s">
        <v>4465</v>
      </c>
      <c r="E587" s="7771" t="s">
        <v>2756</v>
      </c>
      <c r="F587" s="7771" t="s">
        <v>4454</v>
      </c>
      <c r="G587" s="7771" t="s">
        <v>28</v>
      </c>
      <c r="H587" s="7771" t="s">
        <v>28</v>
      </c>
      <c r="I587" s="7771" t="s">
        <v>822</v>
      </c>
    </row>
    <row customHeight="1" ht="11.25">
      <c r="A588" s="7771" t="s">
        <v>2266</v>
      </c>
      <c r="B588" s="7771" t="s">
        <v>16</v>
      </c>
      <c r="C588" s="7771" t="s">
        <v>4467</v>
      </c>
      <c r="D588" s="7771" t="s">
        <v>4468</v>
      </c>
      <c r="E588" s="7771" t="s">
        <v>4469</v>
      </c>
      <c r="F588" s="7771" t="s">
        <v>2295</v>
      </c>
      <c r="G588" s="7771" t="s">
        <v>4470</v>
      </c>
      <c r="H588" s="7771" t="s">
        <v>28</v>
      </c>
      <c r="I588" s="7771" t="s">
        <v>822</v>
      </c>
    </row>
    <row customHeight="1" ht="11.25">
      <c r="A589" s="7771" t="s">
        <v>2266</v>
      </c>
      <c r="B589" s="7771" t="s">
        <v>16</v>
      </c>
      <c r="C589" s="7771" t="s">
        <v>4471</v>
      </c>
      <c r="D589" s="7771" t="s">
        <v>4472</v>
      </c>
      <c r="E589" s="7771" t="s">
        <v>4473</v>
      </c>
      <c r="F589" s="7771" t="s">
        <v>4474</v>
      </c>
      <c r="G589" s="7771" t="s">
        <v>4475</v>
      </c>
      <c r="H589" s="7771" t="s">
        <v>28</v>
      </c>
      <c r="I589" s="7771" t="s">
        <v>822</v>
      </c>
    </row>
    <row customHeight="1" ht="11.25">
      <c r="A590" s="7771" t="s">
        <v>2266</v>
      </c>
      <c r="B590" s="7771" t="s">
        <v>16</v>
      </c>
      <c r="C590" s="7771" t="s">
        <v>4476</v>
      </c>
      <c r="D590" s="7771" t="s">
        <v>4477</v>
      </c>
      <c r="E590" s="7771" t="s">
        <v>4478</v>
      </c>
      <c r="F590" s="7771" t="s">
        <v>4479</v>
      </c>
      <c r="G590" s="7771" t="s">
        <v>4480</v>
      </c>
      <c r="H590" s="7771" t="s">
        <v>28</v>
      </c>
      <c r="I590" s="7771" t="s">
        <v>822</v>
      </c>
    </row>
    <row customHeight="1" ht="11.25">
      <c r="A591" s="7771" t="s">
        <v>2266</v>
      </c>
      <c r="B591" s="7771" t="s">
        <v>16</v>
      </c>
      <c r="C591" s="7771" t="s">
        <v>4481</v>
      </c>
      <c r="D591" s="7771" t="s">
        <v>4482</v>
      </c>
      <c r="E591" s="7771" t="s">
        <v>4483</v>
      </c>
      <c r="F591" s="7771" t="s">
        <v>2320</v>
      </c>
      <c r="G591" s="7771" t="s">
        <v>4484</v>
      </c>
      <c r="H591" s="7771" t="s">
        <v>28</v>
      </c>
      <c r="I591" s="7771" t="s">
        <v>822</v>
      </c>
    </row>
    <row customHeight="1" ht="11.25">
      <c r="A592" s="7771" t="s">
        <v>2266</v>
      </c>
      <c r="B592" s="7771" t="s">
        <v>16</v>
      </c>
      <c r="C592" s="7771" t="s">
        <v>4485</v>
      </c>
      <c r="D592" s="7771" t="s">
        <v>4486</v>
      </c>
      <c r="E592" s="7771" t="s">
        <v>52</v>
      </c>
      <c r="F592" s="7771" t="s">
        <v>4487</v>
      </c>
      <c r="G592" s="7771" t="s">
        <v>4488</v>
      </c>
      <c r="H592" s="7771" t="s">
        <v>28</v>
      </c>
      <c r="I592" s="7771" t="s">
        <v>822</v>
      </c>
    </row>
    <row customHeight="1" ht="11.25">
      <c r="A593" s="7771" t="s">
        <v>2266</v>
      </c>
      <c r="B593" s="7771" t="s">
        <v>16</v>
      </c>
      <c r="C593" s="7771" t="s">
        <v>4489</v>
      </c>
      <c r="D593" s="7771" t="s">
        <v>4490</v>
      </c>
      <c r="E593" s="7771" t="s">
        <v>4491</v>
      </c>
      <c r="F593" s="7771" t="s">
        <v>2518</v>
      </c>
      <c r="G593" s="7771" t="s">
        <v>4492</v>
      </c>
      <c r="H593" s="7771" t="s">
        <v>28</v>
      </c>
      <c r="I593" s="7771" t="s">
        <v>822</v>
      </c>
    </row>
    <row customHeight="1" ht="11.25">
      <c r="A594" s="7771" t="s">
        <v>2266</v>
      </c>
      <c r="B594" s="7771" t="s">
        <v>16</v>
      </c>
      <c r="C594" s="7771" t="s">
        <v>4493</v>
      </c>
      <c r="D594" s="7771" t="s">
        <v>4494</v>
      </c>
      <c r="E594" s="7771" t="s">
        <v>4495</v>
      </c>
      <c r="F594" s="7771" t="s">
        <v>2463</v>
      </c>
      <c r="G594" s="7771" t="s">
        <v>28</v>
      </c>
      <c r="H594" s="7771" t="s">
        <v>28</v>
      </c>
      <c r="I594" s="7771" t="s">
        <v>822</v>
      </c>
    </row>
    <row customHeight="1" ht="11.25">
      <c r="A595" s="7771" t="s">
        <v>2266</v>
      </c>
      <c r="B595" s="7771" t="s">
        <v>16</v>
      </c>
      <c r="C595" s="7771" t="s">
        <v>4496</v>
      </c>
      <c r="D595" s="7771" t="s">
        <v>4497</v>
      </c>
      <c r="E595" s="7771" t="s">
        <v>4498</v>
      </c>
      <c r="F595" s="7771" t="s">
        <v>2441</v>
      </c>
      <c r="G595" s="7771" t="s">
        <v>4499</v>
      </c>
      <c r="H595" s="7771" t="s">
        <v>28</v>
      </c>
      <c r="I595" s="7771" t="s">
        <v>822</v>
      </c>
    </row>
    <row customHeight="1" ht="11.25">
      <c r="A596" s="7771" t="s">
        <v>2266</v>
      </c>
      <c r="B596" s="7771" t="s">
        <v>16</v>
      </c>
      <c r="C596" s="7771" t="s">
        <v>4500</v>
      </c>
      <c r="D596" s="7771" t="s">
        <v>4501</v>
      </c>
      <c r="E596" s="7771" t="s">
        <v>2913</v>
      </c>
      <c r="F596" s="7771" t="s">
        <v>4502</v>
      </c>
      <c r="G596" s="7771" t="s">
        <v>28</v>
      </c>
      <c r="H596" s="7771" t="s">
        <v>28</v>
      </c>
      <c r="I596" s="7771" t="s">
        <v>822</v>
      </c>
    </row>
    <row customHeight="1" ht="11.25">
      <c r="A597" s="7771" t="s">
        <v>2266</v>
      </c>
      <c r="B597" s="7771" t="s">
        <v>16</v>
      </c>
      <c r="C597" s="7771" t="s">
        <v>4503</v>
      </c>
      <c r="D597" s="7771" t="s">
        <v>4504</v>
      </c>
      <c r="E597" s="7771" t="s">
        <v>4505</v>
      </c>
      <c r="F597" s="7771" t="s">
        <v>3726</v>
      </c>
      <c r="G597" s="7771" t="s">
        <v>4506</v>
      </c>
      <c r="H597" s="7771" t="s">
        <v>28</v>
      </c>
      <c r="I597" s="7771" t="s">
        <v>822</v>
      </c>
    </row>
    <row customHeight="1" ht="11.25">
      <c r="A598" s="7771" t="s">
        <v>2266</v>
      </c>
      <c r="B598" s="7771" t="s">
        <v>16</v>
      </c>
      <c r="C598" s="7771" t="s">
        <v>4507</v>
      </c>
      <c r="D598" s="7771" t="s">
        <v>4508</v>
      </c>
      <c r="E598" s="7771" t="s">
        <v>4509</v>
      </c>
      <c r="F598" s="7771" t="s">
        <v>4510</v>
      </c>
      <c r="G598" s="7771" t="s">
        <v>28</v>
      </c>
      <c r="H598" s="7771" t="s">
        <v>28</v>
      </c>
      <c r="I598" s="7771" t="s">
        <v>822</v>
      </c>
    </row>
    <row customHeight="1" ht="11.25">
      <c r="A599" s="7771" t="s">
        <v>2266</v>
      </c>
      <c r="B599" s="7771" t="s">
        <v>16</v>
      </c>
      <c r="C599" s="7771" t="s">
        <v>4511</v>
      </c>
      <c r="D599" s="7771" t="s">
        <v>4512</v>
      </c>
      <c r="E599" s="7771" t="s">
        <v>2913</v>
      </c>
      <c r="F599" s="7771" t="s">
        <v>4513</v>
      </c>
      <c r="G599" s="7771" t="s">
        <v>28</v>
      </c>
      <c r="H599" s="7771" t="s">
        <v>28</v>
      </c>
      <c r="I599" s="7771" t="s">
        <v>822</v>
      </c>
    </row>
    <row customHeight="1" ht="11.25">
      <c r="A600" s="7771" t="s">
        <v>2266</v>
      </c>
      <c r="B600" s="7771" t="s">
        <v>16</v>
      </c>
      <c r="C600" s="7771" t="s">
        <v>4514</v>
      </c>
      <c r="D600" s="7771" t="s">
        <v>4515</v>
      </c>
      <c r="E600" s="7771" t="s">
        <v>4516</v>
      </c>
      <c r="F600" s="7771" t="s">
        <v>4065</v>
      </c>
      <c r="G600" s="7771" t="s">
        <v>4517</v>
      </c>
      <c r="H600" s="7771" t="s">
        <v>28</v>
      </c>
      <c r="I600" s="7771" t="s">
        <v>822</v>
      </c>
    </row>
    <row customHeight="1" ht="11.25">
      <c r="A601" s="7771" t="s">
        <v>2266</v>
      </c>
      <c r="B601" s="7771" t="s">
        <v>16</v>
      </c>
      <c r="C601" s="7771" t="s">
        <v>4518</v>
      </c>
      <c r="D601" s="7771" t="s">
        <v>4519</v>
      </c>
      <c r="E601" s="7771" t="s">
        <v>4520</v>
      </c>
      <c r="F601" s="7771" t="s">
        <v>4521</v>
      </c>
      <c r="G601" s="7771" t="s">
        <v>28</v>
      </c>
      <c r="H601" s="7771" t="s">
        <v>28</v>
      </c>
      <c r="I601" s="7771" t="s">
        <v>822</v>
      </c>
    </row>
    <row customHeight="1" ht="11.25">
      <c r="A602" s="7771" t="s">
        <v>2266</v>
      </c>
      <c r="B602" s="7771" t="s">
        <v>16</v>
      </c>
      <c r="C602" s="7771" t="s">
        <v>4522</v>
      </c>
      <c r="D602" s="7771" t="s">
        <v>4523</v>
      </c>
      <c r="E602" s="7771" t="s">
        <v>4524</v>
      </c>
      <c r="F602" s="7771" t="s">
        <v>4094</v>
      </c>
      <c r="G602" s="7771" t="s">
        <v>28</v>
      </c>
      <c r="H602" s="7771" t="s">
        <v>28</v>
      </c>
      <c r="I602" s="7771" t="s">
        <v>822</v>
      </c>
    </row>
    <row customHeight="1" ht="11.25">
      <c r="A603" s="7771" t="s">
        <v>2266</v>
      </c>
      <c r="B603" s="7771" t="s">
        <v>16</v>
      </c>
      <c r="C603" s="7771" t="s">
        <v>4525</v>
      </c>
      <c r="D603" s="7771" t="s">
        <v>4526</v>
      </c>
      <c r="E603" s="7771" t="s">
        <v>4527</v>
      </c>
      <c r="F603" s="7771" t="s">
        <v>2629</v>
      </c>
      <c r="G603" s="7771" t="s">
        <v>28</v>
      </c>
      <c r="H603" s="7771" t="s">
        <v>28</v>
      </c>
      <c r="I603" s="7771" t="s">
        <v>822</v>
      </c>
    </row>
    <row customHeight="1" ht="11.25">
      <c r="A604" s="7771" t="s">
        <v>2266</v>
      </c>
      <c r="B604" s="7771" t="s">
        <v>16</v>
      </c>
      <c r="C604" s="7771" t="s">
        <v>4528</v>
      </c>
      <c r="D604" s="7771" t="s">
        <v>4529</v>
      </c>
      <c r="E604" s="7771" t="s">
        <v>4530</v>
      </c>
      <c r="F604" s="7771" t="s">
        <v>2300</v>
      </c>
      <c r="G604" s="7771" t="s">
        <v>4531</v>
      </c>
      <c r="H604" s="7771" t="s">
        <v>28</v>
      </c>
      <c r="I604" s="7771" t="s">
        <v>822</v>
      </c>
    </row>
    <row customHeight="1" ht="11.25">
      <c r="A605" s="7771" t="s">
        <v>2266</v>
      </c>
      <c r="B605" s="7771" t="s">
        <v>16</v>
      </c>
      <c r="C605" s="7771" t="s">
        <v>4532</v>
      </c>
      <c r="D605" s="7771" t="s">
        <v>4533</v>
      </c>
      <c r="E605" s="7771" t="s">
        <v>4534</v>
      </c>
      <c r="F605" s="7771" t="s">
        <v>4535</v>
      </c>
      <c r="G605" s="7771" t="s">
        <v>28</v>
      </c>
      <c r="H605" s="7771" t="s">
        <v>28</v>
      </c>
      <c r="I605" s="7771" t="s">
        <v>822</v>
      </c>
    </row>
    <row customHeight="1" ht="11.25">
      <c r="A606" s="7771" t="s">
        <v>2266</v>
      </c>
      <c r="B606" s="7771" t="s">
        <v>16</v>
      </c>
      <c r="C606" s="7771" t="s">
        <v>4536</v>
      </c>
      <c r="D606" s="7771" t="s">
        <v>4537</v>
      </c>
      <c r="E606" s="7771" t="s">
        <v>4538</v>
      </c>
      <c r="F606" s="7771" t="s">
        <v>4539</v>
      </c>
      <c r="G606" s="7771" t="s">
        <v>4540</v>
      </c>
      <c r="H606" s="7771" t="s">
        <v>28</v>
      </c>
      <c r="I606" s="7771" t="s">
        <v>822</v>
      </c>
    </row>
    <row customHeight="1" ht="11.25">
      <c r="A607" s="7771" t="s">
        <v>2266</v>
      </c>
      <c r="B607" s="7771" t="s">
        <v>16</v>
      </c>
      <c r="C607" s="7771" t="s">
        <v>4541</v>
      </c>
      <c r="D607" s="7771" t="s">
        <v>4542</v>
      </c>
      <c r="E607" s="7771" t="s">
        <v>4543</v>
      </c>
      <c r="F607" s="7771" t="s">
        <v>2280</v>
      </c>
      <c r="G607" s="7771" t="s">
        <v>4544</v>
      </c>
      <c r="H607" s="7771" t="s">
        <v>28</v>
      </c>
      <c r="I607" s="7771" t="s">
        <v>822</v>
      </c>
    </row>
    <row customHeight="1" ht="11.25">
      <c r="A608" s="7771" t="s">
        <v>2266</v>
      </c>
      <c r="B608" s="7771" t="s">
        <v>16</v>
      </c>
      <c r="C608" s="7771" t="s">
        <v>4545</v>
      </c>
      <c r="D608" s="7771" t="s">
        <v>4546</v>
      </c>
      <c r="E608" s="7771" t="s">
        <v>4547</v>
      </c>
      <c r="F608" s="7771" t="s">
        <v>4548</v>
      </c>
      <c r="G608" s="7771" t="s">
        <v>28</v>
      </c>
      <c r="H608" s="7771" t="s">
        <v>28</v>
      </c>
      <c r="I608" s="7771" t="s">
        <v>822</v>
      </c>
    </row>
    <row customHeight="1" ht="11.25">
      <c r="A609" s="7771" t="s">
        <v>2266</v>
      </c>
      <c r="B609" s="7771" t="s">
        <v>16</v>
      </c>
      <c r="C609" s="7771" t="s">
        <v>4549</v>
      </c>
      <c r="D609" s="7771" t="s">
        <v>4550</v>
      </c>
      <c r="E609" s="7771" t="s">
        <v>4551</v>
      </c>
      <c r="F609" s="7771" t="s">
        <v>2360</v>
      </c>
      <c r="G609" s="7771" t="s">
        <v>28</v>
      </c>
      <c r="H609" s="7771" t="s">
        <v>28</v>
      </c>
      <c r="I609" s="7771" t="s">
        <v>822</v>
      </c>
    </row>
    <row customHeight="1" ht="11.25">
      <c r="A610" s="7771" t="s">
        <v>2266</v>
      </c>
      <c r="B610" s="7771" t="s">
        <v>16</v>
      </c>
      <c r="C610" s="7771" t="s">
        <v>4552</v>
      </c>
      <c r="D610" s="7771" t="s">
        <v>4553</v>
      </c>
      <c r="E610" s="7771" t="s">
        <v>4554</v>
      </c>
      <c r="F610" s="7771" t="s">
        <v>2761</v>
      </c>
      <c r="G610" s="7771" t="s">
        <v>4555</v>
      </c>
      <c r="H610" s="7771" t="s">
        <v>28</v>
      </c>
      <c r="I610" s="7771" t="s">
        <v>822</v>
      </c>
    </row>
    <row customHeight="1" ht="11.25">
      <c r="A611" s="7771" t="s">
        <v>2266</v>
      </c>
      <c r="B611" s="7771" t="s">
        <v>16</v>
      </c>
      <c r="C611" s="7771" t="s">
        <v>4556</v>
      </c>
      <c r="D611" s="7771" t="s">
        <v>4557</v>
      </c>
      <c r="E611" s="7771" t="s">
        <v>4558</v>
      </c>
      <c r="F611" s="7771" t="s">
        <v>2377</v>
      </c>
      <c r="G611" s="7771" t="s">
        <v>28</v>
      </c>
      <c r="H611" s="7771" t="s">
        <v>28</v>
      </c>
      <c r="I611" s="7771" t="s">
        <v>822</v>
      </c>
    </row>
    <row customHeight="1" ht="11.25">
      <c r="A612" s="7771" t="s">
        <v>2266</v>
      </c>
      <c r="B612" s="7771" t="s">
        <v>16</v>
      </c>
      <c r="C612" s="7771" t="s">
        <v>4559</v>
      </c>
      <c r="D612" s="7771" t="s">
        <v>4560</v>
      </c>
      <c r="E612" s="7771" t="s">
        <v>4561</v>
      </c>
      <c r="F612" s="7771" t="s">
        <v>3120</v>
      </c>
      <c r="G612" s="7771" t="s">
        <v>28</v>
      </c>
      <c r="H612" s="7771" t="s">
        <v>28</v>
      </c>
      <c r="I612" s="7771" t="s">
        <v>822</v>
      </c>
    </row>
    <row customHeight="1" ht="11.25">
      <c r="A613" s="7771" t="s">
        <v>2266</v>
      </c>
      <c r="B613" s="7771" t="s">
        <v>16</v>
      </c>
      <c r="C613" s="7771" t="s">
        <v>4562</v>
      </c>
      <c r="D613" s="7771" t="s">
        <v>4563</v>
      </c>
      <c r="E613" s="7771" t="s">
        <v>4564</v>
      </c>
      <c r="F613" s="7771" t="s">
        <v>2280</v>
      </c>
      <c r="G613" s="7771" t="s">
        <v>28</v>
      </c>
      <c r="H613" s="7771" t="s">
        <v>28</v>
      </c>
      <c r="I613" s="7771" t="s">
        <v>822</v>
      </c>
    </row>
    <row customHeight="1" ht="11.25">
      <c r="A614" s="7771" t="s">
        <v>2266</v>
      </c>
      <c r="B614" s="7771" t="s">
        <v>16</v>
      </c>
      <c r="C614" s="7771" t="s">
        <v>4565</v>
      </c>
      <c r="D614" s="7771" t="s">
        <v>4566</v>
      </c>
      <c r="E614" s="7771" t="s">
        <v>4567</v>
      </c>
      <c r="F614" s="7771" t="s">
        <v>2486</v>
      </c>
      <c r="G614" s="7771" t="s">
        <v>28</v>
      </c>
      <c r="H614" s="7771" t="s">
        <v>28</v>
      </c>
      <c r="I614" s="7771" t="s">
        <v>822</v>
      </c>
    </row>
    <row customHeight="1" ht="11.25">
      <c r="A615" s="7771" t="s">
        <v>2266</v>
      </c>
      <c r="B615" s="7771" t="s">
        <v>16</v>
      </c>
      <c r="C615" s="7771" t="s">
        <v>4568</v>
      </c>
      <c r="D615" s="7771" t="s">
        <v>4569</v>
      </c>
      <c r="E615" s="7771" t="s">
        <v>4570</v>
      </c>
      <c r="F615" s="7771" t="s">
        <v>2385</v>
      </c>
      <c r="G615" s="7771" t="s">
        <v>28</v>
      </c>
      <c r="H615" s="7771" t="s">
        <v>28</v>
      </c>
      <c r="I615" s="7771" t="s">
        <v>822</v>
      </c>
    </row>
    <row customHeight="1" ht="11.25">
      <c r="A616" s="7771" t="s">
        <v>2266</v>
      </c>
      <c r="B616" s="7771" t="s">
        <v>16</v>
      </c>
      <c r="C616" s="7771" t="s">
        <v>4571</v>
      </c>
      <c r="D616" s="7771" t="s">
        <v>4572</v>
      </c>
      <c r="E616" s="7771" t="s">
        <v>4573</v>
      </c>
      <c r="F616" s="7771" t="s">
        <v>2360</v>
      </c>
      <c r="G616" s="7771" t="s">
        <v>28</v>
      </c>
      <c r="H616" s="7771" t="s">
        <v>28</v>
      </c>
      <c r="I616" s="7771" t="s">
        <v>822</v>
      </c>
    </row>
    <row customHeight="1" ht="11.25">
      <c r="A617" s="7771" t="s">
        <v>2266</v>
      </c>
      <c r="B617" s="7771" t="s">
        <v>16</v>
      </c>
      <c r="C617" s="7771" t="s">
        <v>4574</v>
      </c>
      <c r="D617" s="7771" t="s">
        <v>4575</v>
      </c>
      <c r="E617" s="7771" t="s">
        <v>4576</v>
      </c>
      <c r="F617" s="7771" t="s">
        <v>2285</v>
      </c>
      <c r="G617" s="7771" t="s">
        <v>28</v>
      </c>
      <c r="H617" s="7771" t="s">
        <v>28</v>
      </c>
      <c r="I617" s="7771" t="s">
        <v>822</v>
      </c>
    </row>
    <row customHeight="1" ht="11.25">
      <c r="A618" s="7771" t="s">
        <v>2266</v>
      </c>
      <c r="B618" s="7771" t="s">
        <v>16</v>
      </c>
      <c r="C618" s="7771" t="s">
        <v>4577</v>
      </c>
      <c r="D618" s="7771" t="s">
        <v>4578</v>
      </c>
      <c r="E618" s="7771" t="s">
        <v>4579</v>
      </c>
      <c r="F618" s="7771" t="s">
        <v>4580</v>
      </c>
      <c r="G618" s="7771" t="s">
        <v>28</v>
      </c>
      <c r="H618" s="7771" t="s">
        <v>28</v>
      </c>
      <c r="I618" s="7771" t="s">
        <v>822</v>
      </c>
    </row>
    <row customHeight="1" ht="11.25">
      <c r="A619" s="7771" t="s">
        <v>2266</v>
      </c>
      <c r="B619" s="7771" t="s">
        <v>16</v>
      </c>
      <c r="C619" s="7771" t="s">
        <v>4581</v>
      </c>
      <c r="D619" s="7771" t="s">
        <v>4578</v>
      </c>
      <c r="E619" s="7771" t="s">
        <v>4579</v>
      </c>
      <c r="F619" s="7771" t="s">
        <v>2352</v>
      </c>
      <c r="G619" s="7771" t="s">
        <v>28</v>
      </c>
      <c r="H619" s="7771" t="s">
        <v>28</v>
      </c>
      <c r="I619" s="7771" t="s">
        <v>822</v>
      </c>
    </row>
    <row customHeight="1" ht="11.25">
      <c r="A620" s="7771" t="s">
        <v>2266</v>
      </c>
      <c r="B620" s="7771" t="s">
        <v>16</v>
      </c>
      <c r="C620" s="7771" t="s">
        <v>4582</v>
      </c>
      <c r="D620" s="7771" t="s">
        <v>4583</v>
      </c>
      <c r="E620" s="7771" t="s">
        <v>4584</v>
      </c>
      <c r="F620" s="7771" t="s">
        <v>2356</v>
      </c>
      <c r="G620" s="7771" t="s">
        <v>4585</v>
      </c>
      <c r="H620" s="7771" t="s">
        <v>28</v>
      </c>
      <c r="I620" s="7771" t="s">
        <v>822</v>
      </c>
    </row>
    <row customHeight="1" ht="11.25">
      <c r="A621" s="7771" t="s">
        <v>2266</v>
      </c>
      <c r="B621" s="7771" t="s">
        <v>16</v>
      </c>
      <c r="C621" s="7771" t="s">
        <v>4586</v>
      </c>
      <c r="D621" s="7771" t="s">
        <v>4587</v>
      </c>
      <c r="E621" s="7771" t="s">
        <v>4588</v>
      </c>
      <c r="F621" s="7771" t="s">
        <v>2372</v>
      </c>
      <c r="G621" s="7771" t="s">
        <v>28</v>
      </c>
      <c r="H621" s="7771" t="s">
        <v>28</v>
      </c>
      <c r="I621" s="7771" t="s">
        <v>822</v>
      </c>
    </row>
    <row customHeight="1" ht="11.25">
      <c r="A622" s="7771" t="s">
        <v>2266</v>
      </c>
      <c r="B622" s="7771" t="s">
        <v>16</v>
      </c>
      <c r="C622" s="7771" t="s">
        <v>4589</v>
      </c>
      <c r="D622" s="7771" t="s">
        <v>4590</v>
      </c>
      <c r="E622" s="7771" t="s">
        <v>4591</v>
      </c>
      <c r="F622" s="7771" t="s">
        <v>2385</v>
      </c>
      <c r="G622" s="7771" t="s">
        <v>4592</v>
      </c>
      <c r="H622" s="7771" t="s">
        <v>28</v>
      </c>
      <c r="I622" s="7771" t="s">
        <v>822</v>
      </c>
    </row>
    <row customHeight="1" ht="11.25">
      <c r="A623" s="7771" t="s">
        <v>2266</v>
      </c>
      <c r="B623" s="7771" t="s">
        <v>16</v>
      </c>
      <c r="C623" s="7771" t="s">
        <v>4593</v>
      </c>
      <c r="D623" s="7771" t="s">
        <v>4594</v>
      </c>
      <c r="E623" s="7771" t="s">
        <v>4595</v>
      </c>
      <c r="F623" s="7771" t="s">
        <v>2468</v>
      </c>
      <c r="G623" s="7771" t="s">
        <v>4596</v>
      </c>
      <c r="H623" s="7771" t="s">
        <v>28</v>
      </c>
      <c r="I623" s="7771" t="s">
        <v>822</v>
      </c>
    </row>
    <row customHeight="1" ht="11.25">
      <c r="A624" s="7771" t="s">
        <v>2266</v>
      </c>
      <c r="B624" s="7771" t="s">
        <v>16</v>
      </c>
      <c r="C624" s="7771" t="s">
        <v>4597</v>
      </c>
      <c r="D624" s="7771" t="s">
        <v>4598</v>
      </c>
      <c r="E624" s="7771" t="s">
        <v>4599</v>
      </c>
      <c r="F624" s="7771" t="s">
        <v>2629</v>
      </c>
      <c r="G624" s="7771" t="s">
        <v>28</v>
      </c>
      <c r="H624" s="7771" t="s">
        <v>28</v>
      </c>
      <c r="I624" s="7771" t="s">
        <v>822</v>
      </c>
    </row>
    <row customHeight="1" ht="11.25">
      <c r="A625" s="7771" t="s">
        <v>2266</v>
      </c>
      <c r="B625" s="7771" t="s">
        <v>16</v>
      </c>
      <c r="C625" s="7771" t="s">
        <v>4600</v>
      </c>
      <c r="D625" s="7771" t="s">
        <v>4601</v>
      </c>
      <c r="E625" s="7771" t="s">
        <v>4602</v>
      </c>
      <c r="F625" s="7771" t="s">
        <v>2360</v>
      </c>
      <c r="G625" s="7771" t="s">
        <v>4603</v>
      </c>
      <c r="H625" s="7771" t="s">
        <v>28</v>
      </c>
      <c r="I625" s="7771" t="s">
        <v>822</v>
      </c>
    </row>
    <row customHeight="1" ht="11.25">
      <c r="A626" s="7771" t="s">
        <v>2266</v>
      </c>
      <c r="B626" s="7771" t="s">
        <v>16</v>
      </c>
      <c r="C626" s="7771" t="s">
        <v>4604</v>
      </c>
      <c r="D626" s="7771" t="s">
        <v>4605</v>
      </c>
      <c r="E626" s="7771" t="s">
        <v>4606</v>
      </c>
      <c r="F626" s="7771" t="s">
        <v>2347</v>
      </c>
      <c r="G626" s="7771" t="s">
        <v>4607</v>
      </c>
      <c r="H626" s="7771" t="s">
        <v>28</v>
      </c>
      <c r="I626" s="7771" t="s">
        <v>822</v>
      </c>
    </row>
    <row customHeight="1" ht="11.25">
      <c r="A627" s="7771" t="s">
        <v>2266</v>
      </c>
      <c r="B627" s="7771" t="s">
        <v>16</v>
      </c>
      <c r="C627" s="7771" t="s">
        <v>4608</v>
      </c>
      <c r="D627" s="7771" t="s">
        <v>4609</v>
      </c>
      <c r="E627" s="7771" t="s">
        <v>4610</v>
      </c>
      <c r="F627" s="7771" t="s">
        <v>2446</v>
      </c>
      <c r="G627" s="7771" t="s">
        <v>28</v>
      </c>
      <c r="H627" s="7771" t="s">
        <v>28</v>
      </c>
      <c r="I627" s="7771" t="s">
        <v>822</v>
      </c>
    </row>
    <row customHeight="1" ht="11.25">
      <c r="A628" s="7771" t="s">
        <v>2266</v>
      </c>
      <c r="B628" s="7771" t="s">
        <v>16</v>
      </c>
      <c r="C628" s="7771" t="s">
        <v>4611</v>
      </c>
      <c r="D628" s="7771" t="s">
        <v>4612</v>
      </c>
      <c r="E628" s="7771" t="s">
        <v>4613</v>
      </c>
      <c r="F628" s="7771" t="s">
        <v>3027</v>
      </c>
      <c r="G628" s="7771" t="s">
        <v>28</v>
      </c>
      <c r="H628" s="7771" t="s">
        <v>28</v>
      </c>
      <c r="I628" s="7771" t="s">
        <v>822</v>
      </c>
    </row>
    <row customHeight="1" ht="11.25">
      <c r="A629" s="7771" t="s">
        <v>2266</v>
      </c>
      <c r="B629" s="7771" t="s">
        <v>16</v>
      </c>
      <c r="C629" s="7771" t="s">
        <v>4614</v>
      </c>
      <c r="D629" s="7771" t="s">
        <v>4615</v>
      </c>
      <c r="E629" s="7771" t="s">
        <v>4616</v>
      </c>
      <c r="F629" s="7771" t="s">
        <v>4617</v>
      </c>
      <c r="G629" s="7771" t="s">
        <v>4618</v>
      </c>
      <c r="H629" s="7771" t="s">
        <v>28</v>
      </c>
      <c r="I629" s="7771" t="s">
        <v>822</v>
      </c>
    </row>
    <row customHeight="1" ht="11.25">
      <c r="A630" s="7771" t="s">
        <v>2266</v>
      </c>
      <c r="B630" s="7771" t="s">
        <v>16</v>
      </c>
      <c r="C630" s="7771" t="s">
        <v>4619</v>
      </c>
      <c r="D630" s="7771" t="s">
        <v>4620</v>
      </c>
      <c r="E630" s="7771" t="s">
        <v>4621</v>
      </c>
      <c r="F630" s="7771" t="s">
        <v>3528</v>
      </c>
      <c r="G630" s="7771" t="s">
        <v>4622</v>
      </c>
      <c r="H630" s="7771" t="s">
        <v>28</v>
      </c>
      <c r="I630" s="7771" t="s">
        <v>822</v>
      </c>
    </row>
    <row customHeight="1" ht="11.25">
      <c r="A631" s="7771" t="s">
        <v>2266</v>
      </c>
      <c r="B631" s="7771" t="s">
        <v>16</v>
      </c>
      <c r="C631" s="7771" t="s">
        <v>4623</v>
      </c>
      <c r="D631" s="7771" t="s">
        <v>4624</v>
      </c>
      <c r="E631" s="7771" t="s">
        <v>4625</v>
      </c>
      <c r="F631" s="7771" t="s">
        <v>2385</v>
      </c>
      <c r="G631" s="7771" t="s">
        <v>28</v>
      </c>
      <c r="H631" s="7771" t="s">
        <v>28</v>
      </c>
      <c r="I631" s="7771" t="s">
        <v>822</v>
      </c>
    </row>
    <row customHeight="1" ht="11.25">
      <c r="A632" s="7771" t="s">
        <v>2266</v>
      </c>
      <c r="B632" s="7771" t="s">
        <v>16</v>
      </c>
      <c r="C632" s="7771" t="s">
        <v>4626</v>
      </c>
      <c r="D632" s="7771" t="s">
        <v>4627</v>
      </c>
      <c r="E632" s="7771" t="s">
        <v>4628</v>
      </c>
      <c r="F632" s="7771" t="s">
        <v>2300</v>
      </c>
      <c r="G632" s="7771" t="s">
        <v>28</v>
      </c>
      <c r="H632" s="7771" t="s">
        <v>28</v>
      </c>
      <c r="I632" s="7771" t="s">
        <v>822</v>
      </c>
    </row>
    <row customHeight="1" ht="11.25">
      <c r="A633" s="7771" t="s">
        <v>2266</v>
      </c>
      <c r="B633" s="7771" t="s">
        <v>16</v>
      </c>
      <c r="C633" s="7771" t="s">
        <v>4629</v>
      </c>
      <c r="D633" s="7771" t="s">
        <v>4630</v>
      </c>
      <c r="E633" s="7771" t="s">
        <v>4631</v>
      </c>
      <c r="F633" s="7771" t="s">
        <v>2446</v>
      </c>
      <c r="G633" s="7771" t="s">
        <v>4632</v>
      </c>
      <c r="H633" s="7771" t="s">
        <v>28</v>
      </c>
      <c r="I633" s="7771" t="s">
        <v>822</v>
      </c>
    </row>
    <row customHeight="1" ht="11.25">
      <c r="A634" s="7771" t="s">
        <v>2266</v>
      </c>
      <c r="B634" s="7771" t="s">
        <v>16</v>
      </c>
      <c r="C634" s="7771" t="s">
        <v>4633</v>
      </c>
      <c r="D634" s="7771" t="s">
        <v>4634</v>
      </c>
      <c r="E634" s="7771" t="s">
        <v>4635</v>
      </c>
      <c r="F634" s="7771" t="s">
        <v>2441</v>
      </c>
      <c r="G634" s="7771" t="s">
        <v>4636</v>
      </c>
      <c r="H634" s="7771" t="s">
        <v>28</v>
      </c>
      <c r="I634" s="7771" t="s">
        <v>822</v>
      </c>
    </row>
    <row customHeight="1" ht="11.25">
      <c r="A635" s="7771" t="s">
        <v>2266</v>
      </c>
      <c r="B635" s="7771" t="s">
        <v>16</v>
      </c>
      <c r="C635" s="7771" t="s">
        <v>4637</v>
      </c>
      <c r="D635" s="7771" t="s">
        <v>4638</v>
      </c>
      <c r="E635" s="7771" t="s">
        <v>4639</v>
      </c>
      <c r="F635" s="7771" t="s">
        <v>2629</v>
      </c>
      <c r="G635" s="7771" t="s">
        <v>28</v>
      </c>
      <c r="H635" s="7771" t="s">
        <v>28</v>
      </c>
      <c r="I635" s="7771" t="s">
        <v>822</v>
      </c>
    </row>
    <row customHeight="1" ht="11.25">
      <c r="A636" s="7771" t="s">
        <v>2266</v>
      </c>
      <c r="B636" s="7771" t="s">
        <v>16</v>
      </c>
      <c r="C636" s="7771" t="s">
        <v>4640</v>
      </c>
      <c r="D636" s="7771" t="s">
        <v>4641</v>
      </c>
      <c r="E636" s="7771" t="s">
        <v>4642</v>
      </c>
      <c r="F636" s="7771" t="s">
        <v>2473</v>
      </c>
      <c r="G636" s="7771" t="s">
        <v>28</v>
      </c>
      <c r="H636" s="7771" t="s">
        <v>28</v>
      </c>
      <c r="I636" s="7771" t="s">
        <v>822</v>
      </c>
    </row>
    <row customHeight="1" ht="11.25">
      <c r="A637" s="7771" t="s">
        <v>2266</v>
      </c>
      <c r="B637" s="7771" t="s">
        <v>16</v>
      </c>
      <c r="C637" s="7771" t="s">
        <v>4643</v>
      </c>
      <c r="D637" s="7771" t="s">
        <v>4644</v>
      </c>
      <c r="E637" s="7771" t="s">
        <v>4645</v>
      </c>
      <c r="F637" s="7771" t="s">
        <v>2295</v>
      </c>
      <c r="G637" s="7771" t="s">
        <v>28</v>
      </c>
      <c r="H637" s="7771" t="s">
        <v>28</v>
      </c>
      <c r="I637" s="7771" t="s">
        <v>822</v>
      </c>
    </row>
    <row customHeight="1" ht="11.25">
      <c r="A638" s="7771" t="s">
        <v>2266</v>
      </c>
      <c r="B638" s="7771" t="s">
        <v>16</v>
      </c>
      <c r="C638" s="7771" t="s">
        <v>4646</v>
      </c>
      <c r="D638" s="7771" t="s">
        <v>4647</v>
      </c>
      <c r="E638" s="7771" t="s">
        <v>4648</v>
      </c>
      <c r="F638" s="7771" t="s">
        <v>2385</v>
      </c>
      <c r="G638" s="7771" t="s">
        <v>4649</v>
      </c>
      <c r="H638" s="7771" t="s">
        <v>28</v>
      </c>
      <c r="I638" s="7771" t="s">
        <v>822</v>
      </c>
    </row>
    <row customHeight="1" ht="11.25">
      <c r="A639" s="7771" t="s">
        <v>2266</v>
      </c>
      <c r="B639" s="7771" t="s">
        <v>16</v>
      </c>
      <c r="C639" s="7771" t="s">
        <v>4650</v>
      </c>
      <c r="D639" s="7771" t="s">
        <v>4651</v>
      </c>
      <c r="E639" s="7771" t="s">
        <v>4652</v>
      </c>
      <c r="F639" s="7771" t="s">
        <v>2655</v>
      </c>
      <c r="G639" s="7771" t="s">
        <v>28</v>
      </c>
      <c r="H639" s="7771" t="s">
        <v>28</v>
      </c>
      <c r="I639" s="7771" t="s">
        <v>822</v>
      </c>
    </row>
    <row customHeight="1" ht="11.25">
      <c r="A640" s="7771" t="s">
        <v>2266</v>
      </c>
      <c r="B640" s="7771" t="s">
        <v>16</v>
      </c>
      <c r="C640" s="7771" t="s">
        <v>4653</v>
      </c>
      <c r="D640" s="7771" t="s">
        <v>4654</v>
      </c>
      <c r="E640" s="7771" t="s">
        <v>4655</v>
      </c>
      <c r="F640" s="7771" t="s">
        <v>2300</v>
      </c>
      <c r="G640" s="7771" t="s">
        <v>28</v>
      </c>
      <c r="H640" s="7771" t="s">
        <v>28</v>
      </c>
      <c r="I640" s="7771" t="s">
        <v>822</v>
      </c>
    </row>
    <row customHeight="1" ht="11.25">
      <c r="A641" s="7771" t="s">
        <v>2266</v>
      </c>
      <c r="B641" s="7771" t="s">
        <v>16</v>
      </c>
      <c r="C641" s="7771" t="s">
        <v>4656</v>
      </c>
      <c r="D641" s="7771" t="s">
        <v>4657</v>
      </c>
      <c r="E641" s="7771" t="s">
        <v>4658</v>
      </c>
      <c r="F641" s="7771" t="s">
        <v>2280</v>
      </c>
      <c r="G641" s="7771" t="s">
        <v>28</v>
      </c>
      <c r="H641" s="7771" t="s">
        <v>28</v>
      </c>
      <c r="I641" s="7771" t="s">
        <v>822</v>
      </c>
    </row>
    <row customHeight="1" ht="11.25">
      <c r="A642" s="7771" t="s">
        <v>2266</v>
      </c>
      <c r="B642" s="7771" t="s">
        <v>16</v>
      </c>
      <c r="C642" s="7771" t="s">
        <v>4659</v>
      </c>
      <c r="D642" s="7771" t="s">
        <v>4660</v>
      </c>
      <c r="E642" s="7771" t="s">
        <v>4661</v>
      </c>
      <c r="F642" s="7771" t="s">
        <v>2377</v>
      </c>
      <c r="G642" s="7771" t="s">
        <v>28</v>
      </c>
      <c r="H642" s="7771" t="s">
        <v>28</v>
      </c>
      <c r="I642" s="7771" t="s">
        <v>822</v>
      </c>
    </row>
    <row customHeight="1" ht="11.25">
      <c r="A643" s="7771" t="s">
        <v>2266</v>
      </c>
      <c r="B643" s="7771" t="s">
        <v>16</v>
      </c>
      <c r="C643" s="7771" t="s">
        <v>4662</v>
      </c>
      <c r="D643" s="7771" t="s">
        <v>4663</v>
      </c>
      <c r="E643" s="7771" t="s">
        <v>4664</v>
      </c>
      <c r="F643" s="7771" t="s">
        <v>2829</v>
      </c>
      <c r="G643" s="7771" t="s">
        <v>28</v>
      </c>
      <c r="H643" s="7771" t="s">
        <v>28</v>
      </c>
      <c r="I643" s="7771" t="s">
        <v>822</v>
      </c>
    </row>
    <row customHeight="1" ht="11.25">
      <c r="A644" s="7771" t="s">
        <v>2266</v>
      </c>
      <c r="B644" s="7771" t="s">
        <v>16</v>
      </c>
      <c r="C644" s="7771" t="s">
        <v>4665</v>
      </c>
      <c r="D644" s="7771" t="s">
        <v>4666</v>
      </c>
      <c r="E644" s="7771" t="s">
        <v>4667</v>
      </c>
      <c r="F644" s="7771" t="s">
        <v>2300</v>
      </c>
      <c r="G644" s="7771" t="s">
        <v>2404</v>
      </c>
      <c r="H644" s="7771" t="s">
        <v>28</v>
      </c>
      <c r="I644" s="7771" t="s">
        <v>822</v>
      </c>
    </row>
    <row customHeight="1" ht="11.25">
      <c r="A645" s="7771" t="s">
        <v>2266</v>
      </c>
      <c r="B645" s="7771" t="s">
        <v>16</v>
      </c>
      <c r="C645" s="7771" t="s">
        <v>4668</v>
      </c>
      <c r="D645" s="7771" t="s">
        <v>4669</v>
      </c>
      <c r="E645" s="7771" t="s">
        <v>4670</v>
      </c>
      <c r="F645" s="7771" t="s">
        <v>2280</v>
      </c>
      <c r="G645" s="7771" t="s">
        <v>28</v>
      </c>
      <c r="H645" s="7771" t="s">
        <v>28</v>
      </c>
      <c r="I645" s="7771" t="s">
        <v>822</v>
      </c>
    </row>
    <row customHeight="1" ht="11.25">
      <c r="A646" s="7771" t="s">
        <v>2266</v>
      </c>
      <c r="B646" s="7771" t="s">
        <v>16</v>
      </c>
      <c r="C646" s="7771" t="s">
        <v>4671</v>
      </c>
      <c r="D646" s="7771" t="s">
        <v>4672</v>
      </c>
      <c r="E646" s="7771" t="s">
        <v>4673</v>
      </c>
      <c r="F646" s="7771" t="s">
        <v>2441</v>
      </c>
      <c r="G646" s="7771" t="s">
        <v>28</v>
      </c>
      <c r="H646" s="7771" t="s">
        <v>28</v>
      </c>
      <c r="I646" s="7771" t="s">
        <v>822</v>
      </c>
    </row>
    <row customHeight="1" ht="11.25">
      <c r="A647" s="7771" t="s">
        <v>2266</v>
      </c>
      <c r="B647" s="7771" t="s">
        <v>16</v>
      </c>
      <c r="C647" s="7771" t="s">
        <v>4674</v>
      </c>
      <c r="D647" s="7771" t="s">
        <v>4675</v>
      </c>
      <c r="E647" s="7771" t="s">
        <v>4676</v>
      </c>
      <c r="F647" s="7771" t="s">
        <v>4677</v>
      </c>
      <c r="G647" s="7771" t="s">
        <v>28</v>
      </c>
      <c r="H647" s="7771" t="s">
        <v>28</v>
      </c>
      <c r="I647" s="7771" t="s">
        <v>822</v>
      </c>
    </row>
    <row customHeight="1" ht="11.25">
      <c r="A648" s="7771" t="s">
        <v>2266</v>
      </c>
      <c r="B648" s="7771" t="s">
        <v>16</v>
      </c>
      <c r="C648" s="7771" t="s">
        <v>4678</v>
      </c>
      <c r="D648" s="7771" t="s">
        <v>4679</v>
      </c>
      <c r="E648" s="7771" t="s">
        <v>4680</v>
      </c>
      <c r="F648" s="7771" t="s">
        <v>2356</v>
      </c>
      <c r="G648" s="7771" t="s">
        <v>4681</v>
      </c>
      <c r="H648" s="7771" t="s">
        <v>28</v>
      </c>
      <c r="I648" s="7771" t="s">
        <v>822</v>
      </c>
    </row>
    <row customHeight="1" ht="11.25">
      <c r="A649" s="7771" t="s">
        <v>2266</v>
      </c>
      <c r="B649" s="7771" t="s">
        <v>16</v>
      </c>
      <c r="C649" s="7771" t="s">
        <v>4682</v>
      </c>
      <c r="D649" s="7771" t="s">
        <v>4683</v>
      </c>
      <c r="E649" s="7771" t="s">
        <v>4684</v>
      </c>
      <c r="F649" s="7771" t="s">
        <v>2360</v>
      </c>
      <c r="G649" s="7771" t="s">
        <v>28</v>
      </c>
      <c r="H649" s="7771" t="s">
        <v>28</v>
      </c>
      <c r="I649" s="7771" t="s">
        <v>822</v>
      </c>
    </row>
    <row customHeight="1" ht="11.25">
      <c r="A650" s="7771" t="s">
        <v>2266</v>
      </c>
      <c r="B650" s="7771" t="s">
        <v>16</v>
      </c>
      <c r="C650" s="7771" t="s">
        <v>4685</v>
      </c>
      <c r="D650" s="7771" t="s">
        <v>4686</v>
      </c>
      <c r="E650" s="7771" t="s">
        <v>4687</v>
      </c>
      <c r="F650" s="7771" t="s">
        <v>2629</v>
      </c>
      <c r="G650" s="7771" t="s">
        <v>4688</v>
      </c>
      <c r="H650" s="7771" t="s">
        <v>28</v>
      </c>
      <c r="I650" s="7771" t="s">
        <v>822</v>
      </c>
    </row>
    <row customHeight="1" ht="11.25">
      <c r="A651" s="7771" t="s">
        <v>2266</v>
      </c>
      <c r="B651" s="7771" t="s">
        <v>16</v>
      </c>
      <c r="C651" s="7771" t="s">
        <v>4689</v>
      </c>
      <c r="D651" s="7771" t="s">
        <v>4690</v>
      </c>
      <c r="E651" s="7771" t="s">
        <v>4691</v>
      </c>
      <c r="F651" s="7771" t="s">
        <v>3179</v>
      </c>
      <c r="G651" s="7771" t="s">
        <v>4692</v>
      </c>
      <c r="H651" s="7771" t="s">
        <v>28</v>
      </c>
      <c r="I651" s="7771" t="s">
        <v>822</v>
      </c>
    </row>
    <row customHeight="1" ht="11.25">
      <c r="A652" s="7771" t="s">
        <v>2266</v>
      </c>
      <c r="B652" s="7771" t="s">
        <v>16</v>
      </c>
      <c r="C652" s="7771" t="s">
        <v>4693</v>
      </c>
      <c r="D652" s="7771" t="s">
        <v>4694</v>
      </c>
      <c r="E652" s="7771" t="s">
        <v>4695</v>
      </c>
      <c r="F652" s="7771" t="s">
        <v>2330</v>
      </c>
      <c r="G652" s="7771" t="s">
        <v>28</v>
      </c>
      <c r="H652" s="7771" t="s">
        <v>28</v>
      </c>
      <c r="I652" s="7771" t="s">
        <v>822</v>
      </c>
    </row>
    <row customHeight="1" ht="11.25">
      <c r="A653" s="7771" t="s">
        <v>2266</v>
      </c>
      <c r="B653" s="7771" t="s">
        <v>16</v>
      </c>
      <c r="C653" s="7771" t="s">
        <v>4696</v>
      </c>
      <c r="D653" s="7771" t="s">
        <v>4697</v>
      </c>
      <c r="E653" s="7771" t="s">
        <v>4698</v>
      </c>
      <c r="F653" s="7771" t="s">
        <v>2629</v>
      </c>
      <c r="G653" s="7771" t="s">
        <v>28</v>
      </c>
      <c r="H653" s="7771" t="s">
        <v>28</v>
      </c>
      <c r="I653" s="7771" t="s">
        <v>822</v>
      </c>
    </row>
    <row customHeight="1" ht="11.25">
      <c r="A654" s="7771" t="s">
        <v>2266</v>
      </c>
      <c r="B654" s="7771" t="s">
        <v>16</v>
      </c>
      <c r="C654" s="7771" t="s">
        <v>4699</v>
      </c>
      <c r="D654" s="7771" t="s">
        <v>4700</v>
      </c>
      <c r="E654" s="7771" t="s">
        <v>4701</v>
      </c>
      <c r="F654" s="7771" t="s">
        <v>2829</v>
      </c>
      <c r="G654" s="7771" t="s">
        <v>28</v>
      </c>
      <c r="H654" s="7771" t="s">
        <v>28</v>
      </c>
      <c r="I654" s="7771" t="s">
        <v>822</v>
      </c>
    </row>
    <row customHeight="1" ht="11.25">
      <c r="A655" s="7771" t="s">
        <v>2266</v>
      </c>
      <c r="B655" s="7771" t="s">
        <v>16</v>
      </c>
      <c r="C655" s="7771" t="s">
        <v>4702</v>
      </c>
      <c r="D655" s="7771" t="s">
        <v>4703</v>
      </c>
      <c r="E655" s="7771" t="s">
        <v>4704</v>
      </c>
      <c r="F655" s="7771" t="s">
        <v>2441</v>
      </c>
      <c r="G655" s="7771" t="s">
        <v>4705</v>
      </c>
      <c r="H655" s="7771" t="s">
        <v>28</v>
      </c>
      <c r="I655" s="7771" t="s">
        <v>822</v>
      </c>
    </row>
    <row customHeight="1" ht="11.25">
      <c r="A656" s="7771" t="s">
        <v>2266</v>
      </c>
      <c r="B656" s="7771" t="s">
        <v>16</v>
      </c>
      <c r="C656" s="7771" t="s">
        <v>4706</v>
      </c>
      <c r="D656" s="7771" t="s">
        <v>4707</v>
      </c>
      <c r="E656" s="7771" t="s">
        <v>4708</v>
      </c>
      <c r="F656" s="7771" t="s">
        <v>2882</v>
      </c>
      <c r="G656" s="7771" t="s">
        <v>4709</v>
      </c>
      <c r="H656" s="7771" t="s">
        <v>28</v>
      </c>
      <c r="I656" s="7771" t="s">
        <v>822</v>
      </c>
    </row>
    <row customHeight="1" ht="11.25">
      <c r="A657" s="7771" t="s">
        <v>2266</v>
      </c>
      <c r="B657" s="7771" t="s">
        <v>16</v>
      </c>
      <c r="C657" s="7771" t="s">
        <v>4710</v>
      </c>
      <c r="D657" s="7771" t="s">
        <v>4711</v>
      </c>
      <c r="E657" s="7771" t="s">
        <v>4712</v>
      </c>
      <c r="F657" s="7771" t="s">
        <v>2300</v>
      </c>
      <c r="G657" s="7771" t="s">
        <v>28</v>
      </c>
      <c r="H657" s="7771" t="s">
        <v>28</v>
      </c>
      <c r="I657" s="7771" t="s">
        <v>822</v>
      </c>
    </row>
    <row customHeight="1" ht="11.25">
      <c r="A658" s="7771" t="s">
        <v>2266</v>
      </c>
      <c r="B658" s="7771" t="s">
        <v>16</v>
      </c>
      <c r="C658" s="7771" t="s">
        <v>4713</v>
      </c>
      <c r="D658" s="7771" t="s">
        <v>4714</v>
      </c>
      <c r="E658" s="7771" t="s">
        <v>4715</v>
      </c>
      <c r="F658" s="7771" t="s">
        <v>2430</v>
      </c>
      <c r="G658" s="7771" t="s">
        <v>28</v>
      </c>
      <c r="H658" s="7771" t="s">
        <v>28</v>
      </c>
      <c r="I658" s="7771" t="s">
        <v>822</v>
      </c>
    </row>
    <row customHeight="1" ht="11.25">
      <c r="A659" s="7771" t="s">
        <v>2266</v>
      </c>
      <c r="B659" s="7771" t="s">
        <v>16</v>
      </c>
      <c r="C659" s="7771" t="s">
        <v>4716</v>
      </c>
      <c r="D659" s="7771" t="s">
        <v>4717</v>
      </c>
      <c r="E659" s="7771" t="s">
        <v>4718</v>
      </c>
      <c r="F659" s="7771" t="s">
        <v>2385</v>
      </c>
      <c r="G659" s="7771" t="s">
        <v>4719</v>
      </c>
      <c r="H659" s="7771" t="s">
        <v>28</v>
      </c>
      <c r="I659" s="7771" t="s">
        <v>822</v>
      </c>
    </row>
    <row customHeight="1" ht="11.25">
      <c r="A660" s="7771" t="s">
        <v>2266</v>
      </c>
      <c r="B660" s="7771" t="s">
        <v>16</v>
      </c>
      <c r="C660" s="7771" t="s">
        <v>4720</v>
      </c>
      <c r="D660" s="7771" t="s">
        <v>4721</v>
      </c>
      <c r="E660" s="7771" t="s">
        <v>3263</v>
      </c>
      <c r="F660" s="7771" t="s">
        <v>4722</v>
      </c>
      <c r="G660" s="7771" t="s">
        <v>4723</v>
      </c>
      <c r="H660" s="7771" t="s">
        <v>28</v>
      </c>
      <c r="I660" s="7771" t="s">
        <v>822</v>
      </c>
    </row>
    <row customHeight="1" ht="11.25">
      <c r="A661" s="7771" t="s">
        <v>2266</v>
      </c>
      <c r="B661" s="7771" t="s">
        <v>16</v>
      </c>
      <c r="C661" s="7771" t="s">
        <v>4724</v>
      </c>
      <c r="D661" s="7771" t="s">
        <v>4725</v>
      </c>
      <c r="E661" s="7771" t="s">
        <v>4726</v>
      </c>
      <c r="F661" s="7771" t="s">
        <v>2356</v>
      </c>
      <c r="G661" s="7771" t="s">
        <v>4727</v>
      </c>
      <c r="H661" s="7771" t="s">
        <v>28</v>
      </c>
      <c r="I661" s="7771" t="s">
        <v>822</v>
      </c>
    </row>
    <row customHeight="1" ht="11.25">
      <c r="A662" s="7771" t="s">
        <v>2266</v>
      </c>
      <c r="B662" s="7771" t="s">
        <v>16</v>
      </c>
      <c r="C662" s="7771" t="s">
        <v>4728</v>
      </c>
      <c r="D662" s="7771" t="s">
        <v>4729</v>
      </c>
      <c r="E662" s="7771" t="s">
        <v>4730</v>
      </c>
      <c r="F662" s="7771" t="s">
        <v>4731</v>
      </c>
      <c r="G662" s="7771" t="s">
        <v>4732</v>
      </c>
      <c r="H662" s="7771" t="s">
        <v>28</v>
      </c>
      <c r="I662" s="7771" t="s">
        <v>822</v>
      </c>
    </row>
    <row customHeight="1" ht="11.25">
      <c r="A663" s="7771" t="s">
        <v>2266</v>
      </c>
      <c r="B663" s="7771" t="s">
        <v>16</v>
      </c>
      <c r="C663" s="7771" t="s">
        <v>13</v>
      </c>
      <c r="D663" s="7771" t="s">
        <v>49</v>
      </c>
      <c r="E663" s="7771" t="s">
        <v>52</v>
      </c>
      <c r="F663" s="7771" t="s">
        <v>54</v>
      </c>
      <c r="G663" s="7771" t="s">
        <v>4733</v>
      </c>
      <c r="H663" s="7771" t="s">
        <v>28</v>
      </c>
      <c r="I663" s="7771" t="s">
        <v>822</v>
      </c>
    </row>
    <row customHeight="1" ht="11.25">
      <c r="A664" s="7771" t="s">
        <v>2266</v>
      </c>
      <c r="B664" s="7771" t="s">
        <v>16</v>
      </c>
      <c r="C664" s="7771" t="s">
        <v>4734</v>
      </c>
      <c r="D664" s="7771" t="s">
        <v>4735</v>
      </c>
      <c r="E664" s="7771" t="s">
        <v>4736</v>
      </c>
      <c r="F664" s="7771" t="s">
        <v>4737</v>
      </c>
      <c r="G664" s="7771" t="s">
        <v>4738</v>
      </c>
      <c r="H664" s="7771" t="s">
        <v>28</v>
      </c>
      <c r="I664" s="7771" t="s">
        <v>822</v>
      </c>
    </row>
    <row customHeight="1" ht="11.25">
      <c r="A665" s="7771" t="s">
        <v>2266</v>
      </c>
      <c r="B665" s="7771" t="s">
        <v>16</v>
      </c>
      <c r="C665" s="7771" t="s">
        <v>4739</v>
      </c>
      <c r="D665" s="7771" t="s">
        <v>4740</v>
      </c>
      <c r="E665" s="7771" t="s">
        <v>4741</v>
      </c>
      <c r="F665" s="7771" t="s">
        <v>4742</v>
      </c>
      <c r="G665" s="7771" t="s">
        <v>4743</v>
      </c>
      <c r="H665" s="7771" t="s">
        <v>28</v>
      </c>
      <c r="I665" s="7771" t="s">
        <v>822</v>
      </c>
    </row>
    <row customHeight="1" ht="11.25">
      <c r="A666" s="7771" t="s">
        <v>2266</v>
      </c>
      <c r="B666" s="7771" t="s">
        <v>16</v>
      </c>
      <c r="C666" s="7771" t="s">
        <v>4744</v>
      </c>
      <c r="D666" s="7771" t="s">
        <v>4745</v>
      </c>
      <c r="E666" s="7771" t="s">
        <v>4746</v>
      </c>
      <c r="F666" s="7771" t="s">
        <v>4747</v>
      </c>
      <c r="G666" s="7771" t="s">
        <v>4748</v>
      </c>
      <c r="H666" s="7771" t="s">
        <v>28</v>
      </c>
      <c r="I666" s="7771" t="s">
        <v>822</v>
      </c>
    </row>
    <row customHeight="1" ht="11.25">
      <c r="A667" s="7771" t="s">
        <v>2266</v>
      </c>
      <c r="B667" s="7771" t="s">
        <v>16</v>
      </c>
      <c r="C667" s="7771" t="s">
        <v>4749</v>
      </c>
      <c r="D667" s="7771" t="s">
        <v>4750</v>
      </c>
      <c r="E667" s="7771" t="s">
        <v>4751</v>
      </c>
      <c r="F667" s="7771" t="s">
        <v>4752</v>
      </c>
      <c r="G667" s="7771" t="s">
        <v>28</v>
      </c>
      <c r="H667" s="7771" t="s">
        <v>28</v>
      </c>
      <c r="I667" s="7771" t="s">
        <v>822</v>
      </c>
    </row>
    <row customHeight="1" ht="11.25">
      <c r="A668" s="7771" t="s">
        <v>2266</v>
      </c>
      <c r="B668" s="7771" t="s">
        <v>16</v>
      </c>
      <c r="C668" s="7771" t="s">
        <v>4753</v>
      </c>
      <c r="D668" s="7771" t="s">
        <v>4754</v>
      </c>
      <c r="E668" s="7771" t="s">
        <v>4009</v>
      </c>
      <c r="F668" s="7771" t="s">
        <v>4755</v>
      </c>
      <c r="G668" s="7771" t="s">
        <v>28</v>
      </c>
      <c r="H668" s="7771" t="s">
        <v>28</v>
      </c>
      <c r="I668" s="7771" t="s">
        <v>822</v>
      </c>
    </row>
    <row customHeight="1" ht="11.25">
      <c r="A669" s="7771" t="s">
        <v>2266</v>
      </c>
      <c r="B669" s="7771" t="s">
        <v>16</v>
      </c>
      <c r="C669" s="7771" t="s">
        <v>4756</v>
      </c>
      <c r="D669" s="7771" t="s">
        <v>4757</v>
      </c>
      <c r="E669" s="7771" t="s">
        <v>4434</v>
      </c>
      <c r="F669" s="7771" t="s">
        <v>4758</v>
      </c>
      <c r="G669" s="7771" t="s">
        <v>28</v>
      </c>
      <c r="H669" s="7771" t="s">
        <v>28</v>
      </c>
      <c r="I669" s="7771" t="s">
        <v>822</v>
      </c>
    </row>
    <row customHeight="1" ht="11.25">
      <c r="A670" s="7771" t="s">
        <v>2266</v>
      </c>
      <c r="B670" s="7771" t="s">
        <v>16</v>
      </c>
      <c r="C670" s="7771" t="s">
        <v>4759</v>
      </c>
      <c r="D670" s="7771" t="s">
        <v>4760</v>
      </c>
      <c r="E670" s="7771" t="s">
        <v>4761</v>
      </c>
      <c r="F670" s="7771" t="s">
        <v>4762</v>
      </c>
      <c r="G670" s="7771" t="s">
        <v>4763</v>
      </c>
      <c r="H670" s="7771" t="s">
        <v>28</v>
      </c>
      <c r="I670" s="7771" t="s">
        <v>822</v>
      </c>
    </row>
    <row customHeight="1" ht="11.25">
      <c r="A671" s="7771" t="s">
        <v>2266</v>
      </c>
      <c r="B671" s="7771" t="s">
        <v>16</v>
      </c>
      <c r="C671" s="7771" t="s">
        <v>4764</v>
      </c>
      <c r="D671" s="7771" t="s">
        <v>4765</v>
      </c>
      <c r="E671" s="7771" t="s">
        <v>4766</v>
      </c>
      <c r="F671" s="7771" t="s">
        <v>2739</v>
      </c>
      <c r="G671" s="7771" t="s">
        <v>4767</v>
      </c>
      <c r="H671" s="7771" t="s">
        <v>28</v>
      </c>
      <c r="I671" s="7771" t="s">
        <v>822</v>
      </c>
    </row>
    <row customHeight="1" ht="11.25">
      <c r="A672" s="7771" t="s">
        <v>2266</v>
      </c>
      <c r="B672" s="7771" t="s">
        <v>16</v>
      </c>
      <c r="C672" s="7771" t="s">
        <v>4768</v>
      </c>
      <c r="D672" s="7771" t="s">
        <v>4769</v>
      </c>
      <c r="E672" s="7771" t="s">
        <v>4009</v>
      </c>
      <c r="F672" s="7771" t="s">
        <v>4770</v>
      </c>
      <c r="G672" s="7771" t="s">
        <v>28</v>
      </c>
      <c r="H672" s="7771" t="s">
        <v>28</v>
      </c>
      <c r="I672" s="7771" t="s">
        <v>822</v>
      </c>
    </row>
    <row customHeight="1" ht="11.25">
      <c r="A673" s="7771" t="s">
        <v>2266</v>
      </c>
      <c r="B673" s="7771" t="s">
        <v>16</v>
      </c>
      <c r="C673" s="7771" t="s">
        <v>4771</v>
      </c>
      <c r="D673" s="7771" t="s">
        <v>4772</v>
      </c>
      <c r="E673" s="7771" t="s">
        <v>4498</v>
      </c>
      <c r="F673" s="7771" t="s">
        <v>4773</v>
      </c>
      <c r="G673" s="7771" t="s">
        <v>28</v>
      </c>
      <c r="H673" s="7771" t="s">
        <v>28</v>
      </c>
      <c r="I673" s="7771" t="s">
        <v>822</v>
      </c>
    </row>
    <row customHeight="1" ht="11.25">
      <c r="A674" s="7771" t="s">
        <v>2266</v>
      </c>
      <c r="B674" s="7771" t="s">
        <v>16</v>
      </c>
      <c r="C674" s="7771" t="s">
        <v>4774</v>
      </c>
      <c r="D674" s="7771" t="s">
        <v>4775</v>
      </c>
      <c r="E674" s="7771" t="s">
        <v>2363</v>
      </c>
      <c r="F674" s="7771" t="s">
        <v>3528</v>
      </c>
      <c r="G674" s="7771" t="s">
        <v>28</v>
      </c>
      <c r="H674" s="7771" t="s">
        <v>28</v>
      </c>
      <c r="I674" s="7771" t="s">
        <v>908</v>
      </c>
    </row>
    <row customHeight="1" ht="11.25">
      <c r="A675" s="7771" t="s">
        <v>2266</v>
      </c>
      <c r="B675" s="7771" t="s">
        <v>16</v>
      </c>
      <c r="C675" s="7771" t="s">
        <v>2267</v>
      </c>
      <c r="D675" s="7771" t="s">
        <v>2268</v>
      </c>
      <c r="E675" s="7771" t="s">
        <v>2269</v>
      </c>
      <c r="F675" s="7771" t="s">
        <v>2270</v>
      </c>
      <c r="G675" s="7771" t="s">
        <v>2271</v>
      </c>
      <c r="H675" s="7771" t="s">
        <v>28</v>
      </c>
      <c r="I675" s="7771" t="s">
        <v>908</v>
      </c>
    </row>
    <row customHeight="1" ht="11.25">
      <c r="A676" s="7771" t="s">
        <v>2266</v>
      </c>
      <c r="B676" s="7771" t="s">
        <v>16</v>
      </c>
      <c r="C676" s="7771" t="s">
        <v>2282</v>
      </c>
      <c r="D676" s="7771" t="s">
        <v>2283</v>
      </c>
      <c r="E676" s="7771" t="s">
        <v>2284</v>
      </c>
      <c r="F676" s="7771" t="s">
        <v>2285</v>
      </c>
      <c r="G676" s="7771" t="s">
        <v>2286</v>
      </c>
      <c r="H676" s="7771" t="s">
        <v>28</v>
      </c>
      <c r="I676" s="7771" t="s">
        <v>908</v>
      </c>
    </row>
    <row customHeight="1" ht="11.25">
      <c r="A677" s="7771" t="s">
        <v>2266</v>
      </c>
      <c r="B677" s="7771" t="s">
        <v>16</v>
      </c>
      <c r="C677" s="7771" t="s">
        <v>2287</v>
      </c>
      <c r="D677" s="7771" t="s">
        <v>2288</v>
      </c>
      <c r="E677" s="7771" t="s">
        <v>2289</v>
      </c>
      <c r="F677" s="7771" t="s">
        <v>2290</v>
      </c>
      <c r="G677" s="7771" t="s">
        <v>2291</v>
      </c>
      <c r="H677" s="7771" t="s">
        <v>28</v>
      </c>
      <c r="I677" s="7771" t="s">
        <v>908</v>
      </c>
    </row>
    <row customHeight="1" ht="11.25">
      <c r="A678" s="7771" t="s">
        <v>2266</v>
      </c>
      <c r="B678" s="7771" t="s">
        <v>16</v>
      </c>
      <c r="C678" s="7771" t="s">
        <v>2292</v>
      </c>
      <c r="D678" s="7771" t="s">
        <v>2293</v>
      </c>
      <c r="E678" s="7771" t="s">
        <v>2294</v>
      </c>
      <c r="F678" s="7771" t="s">
        <v>2295</v>
      </c>
      <c r="G678" s="7771" t="s">
        <v>2296</v>
      </c>
      <c r="H678" s="7771" t="s">
        <v>28</v>
      </c>
      <c r="I678" s="7771" t="s">
        <v>908</v>
      </c>
    </row>
    <row customHeight="1" ht="11.25">
      <c r="A679" s="7771" t="s">
        <v>2266</v>
      </c>
      <c r="B679" s="7771" t="s">
        <v>16</v>
      </c>
      <c r="C679" s="7771" t="s">
        <v>2301</v>
      </c>
      <c r="D679" s="7771" t="s">
        <v>2302</v>
      </c>
      <c r="E679" s="7771" t="s">
        <v>2303</v>
      </c>
      <c r="F679" s="7771" t="s">
        <v>2280</v>
      </c>
      <c r="G679" s="7771" t="s">
        <v>28</v>
      </c>
      <c r="H679" s="7771" t="s">
        <v>28</v>
      </c>
      <c r="I679" s="7771" t="s">
        <v>908</v>
      </c>
    </row>
    <row customHeight="1" ht="11.25">
      <c r="A680" s="7771" t="s">
        <v>2266</v>
      </c>
      <c r="B680" s="7771" t="s">
        <v>16</v>
      </c>
      <c r="C680" s="7771" t="s">
        <v>2304</v>
      </c>
      <c r="D680" s="7771" t="s">
        <v>2305</v>
      </c>
      <c r="E680" s="7771" t="s">
        <v>2306</v>
      </c>
      <c r="F680" s="7771" t="s">
        <v>2295</v>
      </c>
      <c r="G680" s="7771" t="s">
        <v>2307</v>
      </c>
      <c r="H680" s="7771" t="s">
        <v>28</v>
      </c>
      <c r="I680" s="7771" t="s">
        <v>908</v>
      </c>
    </row>
    <row customHeight="1" ht="11.25">
      <c r="A681" s="7771" t="s">
        <v>2266</v>
      </c>
      <c r="B681" s="7771" t="s">
        <v>16</v>
      </c>
      <c r="C681" s="7771" t="s">
        <v>2308</v>
      </c>
      <c r="D681" s="7771" t="s">
        <v>2309</v>
      </c>
      <c r="E681" s="7771" t="s">
        <v>2310</v>
      </c>
      <c r="F681" s="7771" t="s">
        <v>2285</v>
      </c>
      <c r="G681" s="7771" t="s">
        <v>2311</v>
      </c>
      <c r="H681" s="7771" t="s">
        <v>28</v>
      </c>
      <c r="I681" s="7771" t="s">
        <v>908</v>
      </c>
    </row>
    <row customHeight="1" ht="11.25">
      <c r="A682" s="7771" t="s">
        <v>2266</v>
      </c>
      <c r="B682" s="7771" t="s">
        <v>16</v>
      </c>
      <c r="C682" s="7771" t="s">
        <v>2312</v>
      </c>
      <c r="D682" s="7771" t="s">
        <v>2313</v>
      </c>
      <c r="E682" s="7771" t="s">
        <v>2314</v>
      </c>
      <c r="F682" s="7771" t="s">
        <v>2315</v>
      </c>
      <c r="G682" s="7771" t="s">
        <v>2316</v>
      </c>
      <c r="H682" s="7771" t="s">
        <v>28</v>
      </c>
      <c r="I682" s="7771" t="s">
        <v>908</v>
      </c>
    </row>
    <row customHeight="1" ht="11.25">
      <c r="A683" s="7771" t="s">
        <v>2266</v>
      </c>
      <c r="B683" s="7771" t="s">
        <v>16</v>
      </c>
      <c r="C683" s="7771" t="s">
        <v>2317</v>
      </c>
      <c r="D683" s="7771" t="s">
        <v>2318</v>
      </c>
      <c r="E683" s="7771" t="s">
        <v>2319</v>
      </c>
      <c r="F683" s="7771" t="s">
        <v>2320</v>
      </c>
      <c r="G683" s="7771" t="s">
        <v>2321</v>
      </c>
      <c r="H683" s="7771" t="s">
        <v>28</v>
      </c>
      <c r="I683" s="7771" t="s">
        <v>908</v>
      </c>
    </row>
    <row customHeight="1" ht="11.25">
      <c r="A684" s="7771" t="s">
        <v>2266</v>
      </c>
      <c r="B684" s="7771" t="s">
        <v>16</v>
      </c>
      <c r="C684" s="7771" t="s">
        <v>2327</v>
      </c>
      <c r="D684" s="7771" t="s">
        <v>2328</v>
      </c>
      <c r="E684" s="7771" t="s">
        <v>2329</v>
      </c>
      <c r="F684" s="7771" t="s">
        <v>2330</v>
      </c>
      <c r="G684" s="7771" t="s">
        <v>2331</v>
      </c>
      <c r="H684" s="7771" t="s">
        <v>28</v>
      </c>
      <c r="I684" s="7771" t="s">
        <v>908</v>
      </c>
    </row>
    <row customHeight="1" ht="11.25">
      <c r="A685" s="7771" t="s">
        <v>2266</v>
      </c>
      <c r="B685" s="7771" t="s">
        <v>16</v>
      </c>
      <c r="C685" s="7771" t="s">
        <v>2339</v>
      </c>
      <c r="D685" s="7771" t="s">
        <v>2340</v>
      </c>
      <c r="E685" s="7771" t="s">
        <v>2341</v>
      </c>
      <c r="F685" s="7771" t="s">
        <v>2342</v>
      </c>
      <c r="G685" s="7771" t="s">
        <v>2343</v>
      </c>
      <c r="H685" s="7771" t="s">
        <v>28</v>
      </c>
      <c r="I685" s="7771" t="s">
        <v>908</v>
      </c>
    </row>
    <row customHeight="1" ht="11.25">
      <c r="A686" s="7771" t="s">
        <v>2266</v>
      </c>
      <c r="B686" s="7771" t="s">
        <v>16</v>
      </c>
      <c r="C686" s="7771" t="s">
        <v>2353</v>
      </c>
      <c r="D686" s="7771" t="s">
        <v>2354</v>
      </c>
      <c r="E686" s="7771" t="s">
        <v>2355</v>
      </c>
      <c r="F686" s="7771" t="s">
        <v>2356</v>
      </c>
      <c r="G686" s="7771" t="s">
        <v>28</v>
      </c>
      <c r="H686" s="7771" t="s">
        <v>28</v>
      </c>
      <c r="I686" s="7771" t="s">
        <v>908</v>
      </c>
    </row>
    <row customHeight="1" ht="11.25">
      <c r="A687" s="7771" t="s">
        <v>2266</v>
      </c>
      <c r="B687" s="7771" t="s">
        <v>16</v>
      </c>
      <c r="C687" s="7771" t="s">
        <v>2369</v>
      </c>
      <c r="D687" s="7771" t="s">
        <v>2370</v>
      </c>
      <c r="E687" s="7771" t="s">
        <v>2371</v>
      </c>
      <c r="F687" s="7771" t="s">
        <v>2372</v>
      </c>
      <c r="G687" s="7771" t="s">
        <v>2373</v>
      </c>
      <c r="H687" s="7771" t="s">
        <v>28</v>
      </c>
      <c r="I687" s="7771" t="s">
        <v>908</v>
      </c>
    </row>
    <row customHeight="1" ht="11.25">
      <c r="A688" s="7771" t="s">
        <v>2266</v>
      </c>
      <c r="B688" s="7771" t="s">
        <v>16</v>
      </c>
      <c r="C688" s="7771" t="s">
        <v>2374</v>
      </c>
      <c r="D688" s="7771" t="s">
        <v>2375</v>
      </c>
      <c r="E688" s="7771" t="s">
        <v>2376</v>
      </c>
      <c r="F688" s="7771" t="s">
        <v>2377</v>
      </c>
      <c r="G688" s="7771" t="s">
        <v>2378</v>
      </c>
      <c r="H688" s="7771" t="s">
        <v>28</v>
      </c>
      <c r="I688" s="7771" t="s">
        <v>908</v>
      </c>
    </row>
    <row customHeight="1" ht="11.25">
      <c r="A689" s="7771" t="s">
        <v>2266</v>
      </c>
      <c r="B689" s="7771" t="s">
        <v>16</v>
      </c>
      <c r="C689" s="7771" t="s">
        <v>2387</v>
      </c>
      <c r="D689" s="7771" t="s">
        <v>2388</v>
      </c>
      <c r="E689" s="7771" t="s">
        <v>2389</v>
      </c>
      <c r="F689" s="7771" t="s">
        <v>2390</v>
      </c>
      <c r="G689" s="7771" t="s">
        <v>2391</v>
      </c>
      <c r="H689" s="7771" t="s">
        <v>28</v>
      </c>
      <c r="I689" s="7771" t="s">
        <v>908</v>
      </c>
    </row>
    <row customHeight="1" ht="11.25">
      <c r="A690" s="7771" t="s">
        <v>2266</v>
      </c>
      <c r="B690" s="7771" t="s">
        <v>16</v>
      </c>
      <c r="C690" s="7771" t="s">
        <v>2392</v>
      </c>
      <c r="D690" s="7771" t="s">
        <v>2393</v>
      </c>
      <c r="E690" s="7771" t="s">
        <v>2394</v>
      </c>
      <c r="F690" s="7771" t="s">
        <v>2280</v>
      </c>
      <c r="G690" s="7771" t="s">
        <v>2395</v>
      </c>
      <c r="H690" s="7771" t="s">
        <v>28</v>
      </c>
      <c r="I690" s="7771" t="s">
        <v>908</v>
      </c>
    </row>
    <row customHeight="1" ht="11.25">
      <c r="A691" s="7771" t="s">
        <v>2266</v>
      </c>
      <c r="B691" s="7771" t="s">
        <v>16</v>
      </c>
      <c r="C691" s="7771" t="s">
        <v>2396</v>
      </c>
      <c r="D691" s="7771" t="s">
        <v>2397</v>
      </c>
      <c r="E691" s="7771" t="s">
        <v>2398</v>
      </c>
      <c r="F691" s="7771" t="s">
        <v>2399</v>
      </c>
      <c r="G691" s="7771" t="s">
        <v>2400</v>
      </c>
      <c r="H691" s="7771" t="s">
        <v>28</v>
      </c>
      <c r="I691" s="7771" t="s">
        <v>908</v>
      </c>
    </row>
    <row customHeight="1" ht="11.25">
      <c r="A692" s="7771" t="s">
        <v>2266</v>
      </c>
      <c r="B692" s="7771" t="s">
        <v>16</v>
      </c>
      <c r="C692" s="7771" t="s">
        <v>2401</v>
      </c>
      <c r="D692" s="7771" t="s">
        <v>2402</v>
      </c>
      <c r="E692" s="7771" t="s">
        <v>2403</v>
      </c>
      <c r="F692" s="7771" t="s">
        <v>2377</v>
      </c>
      <c r="G692" s="7771" t="s">
        <v>2404</v>
      </c>
      <c r="H692" s="7771" t="s">
        <v>28</v>
      </c>
      <c r="I692" s="7771" t="s">
        <v>908</v>
      </c>
    </row>
    <row customHeight="1" ht="11.25">
      <c r="A693" s="7771" t="s">
        <v>2266</v>
      </c>
      <c r="B693" s="7771" t="s">
        <v>16</v>
      </c>
      <c r="C693" s="7771" t="s">
        <v>2405</v>
      </c>
      <c r="D693" s="7771" t="s">
        <v>2406</v>
      </c>
      <c r="E693" s="7771" t="s">
        <v>2407</v>
      </c>
      <c r="F693" s="7771" t="s">
        <v>2372</v>
      </c>
      <c r="G693" s="7771" t="s">
        <v>2408</v>
      </c>
      <c r="H693" s="7771" t="s">
        <v>28</v>
      </c>
      <c r="I693" s="7771" t="s">
        <v>908</v>
      </c>
    </row>
    <row customHeight="1" ht="11.25">
      <c r="A694" s="7771" t="s">
        <v>2266</v>
      </c>
      <c r="B694" s="7771" t="s">
        <v>16</v>
      </c>
      <c r="C694" s="7771" t="s">
        <v>2418</v>
      </c>
      <c r="D694" s="7771" t="s">
        <v>2419</v>
      </c>
      <c r="E694" s="7771" t="s">
        <v>2420</v>
      </c>
      <c r="F694" s="7771" t="s">
        <v>2377</v>
      </c>
      <c r="G694" s="7771" t="s">
        <v>2421</v>
      </c>
      <c r="H694" s="7771" t="s">
        <v>28</v>
      </c>
      <c r="I694" s="7771" t="s">
        <v>908</v>
      </c>
    </row>
    <row customHeight="1" ht="11.25">
      <c r="A695" s="7771" t="s">
        <v>2266</v>
      </c>
      <c r="B695" s="7771" t="s">
        <v>16</v>
      </c>
      <c r="C695" s="7771" t="s">
        <v>2427</v>
      </c>
      <c r="D695" s="7771" t="s">
        <v>2428</v>
      </c>
      <c r="E695" s="7771" t="s">
        <v>2429</v>
      </c>
      <c r="F695" s="7771" t="s">
        <v>2430</v>
      </c>
      <c r="G695" s="7771" t="s">
        <v>28</v>
      </c>
      <c r="H695" s="7771" t="s">
        <v>28</v>
      </c>
      <c r="I695" s="7771" t="s">
        <v>908</v>
      </c>
    </row>
    <row customHeight="1" ht="11.25">
      <c r="A696" s="7771" t="s">
        <v>2266</v>
      </c>
      <c r="B696" s="7771" t="s">
        <v>16</v>
      </c>
      <c r="C696" s="7771" t="s">
        <v>2431</v>
      </c>
      <c r="D696" s="7771" t="s">
        <v>2432</v>
      </c>
      <c r="E696" s="7771" t="s">
        <v>2433</v>
      </c>
      <c r="F696" s="7771" t="s">
        <v>2434</v>
      </c>
      <c r="G696" s="7771" t="s">
        <v>28</v>
      </c>
      <c r="H696" s="7771" t="s">
        <v>28</v>
      </c>
      <c r="I696" s="7771" t="s">
        <v>908</v>
      </c>
    </row>
    <row customHeight="1" ht="11.25">
      <c r="A697" s="7771" t="s">
        <v>2266</v>
      </c>
      <c r="B697" s="7771" t="s">
        <v>16</v>
      </c>
      <c r="C697" s="7771" t="s">
        <v>2435</v>
      </c>
      <c r="D697" s="7771" t="s">
        <v>2436</v>
      </c>
      <c r="E697" s="7771" t="s">
        <v>2437</v>
      </c>
      <c r="F697" s="7771" t="s">
        <v>2285</v>
      </c>
      <c r="G697" s="7771" t="s">
        <v>28</v>
      </c>
      <c r="H697" s="7771" t="s">
        <v>28</v>
      </c>
      <c r="I697" s="7771" t="s">
        <v>908</v>
      </c>
    </row>
    <row customHeight="1" ht="11.25">
      <c r="A698" s="7771" t="s">
        <v>2266</v>
      </c>
      <c r="B698" s="7771" t="s">
        <v>16</v>
      </c>
      <c r="C698" s="7771" t="s">
        <v>2443</v>
      </c>
      <c r="D698" s="7771" t="s">
        <v>2444</v>
      </c>
      <c r="E698" s="7771" t="s">
        <v>2445</v>
      </c>
      <c r="F698" s="7771" t="s">
        <v>2446</v>
      </c>
      <c r="G698" s="7771" t="s">
        <v>2447</v>
      </c>
      <c r="H698" s="7771" t="s">
        <v>28</v>
      </c>
      <c r="I698" s="7771" t="s">
        <v>908</v>
      </c>
    </row>
    <row customHeight="1" ht="11.25">
      <c r="A699" s="7771" t="s">
        <v>2266</v>
      </c>
      <c r="B699" s="7771" t="s">
        <v>16</v>
      </c>
      <c r="C699" s="7771" t="s">
        <v>2448</v>
      </c>
      <c r="D699" s="7771" t="s">
        <v>2449</v>
      </c>
      <c r="E699" s="7771" t="s">
        <v>2450</v>
      </c>
      <c r="F699" s="7771" t="s">
        <v>2451</v>
      </c>
      <c r="G699" s="7771" t="s">
        <v>2452</v>
      </c>
      <c r="H699" s="7771" t="s">
        <v>28</v>
      </c>
      <c r="I699" s="7771" t="s">
        <v>908</v>
      </c>
    </row>
    <row customHeight="1" ht="11.25">
      <c r="A700" s="7771" t="s">
        <v>2266</v>
      </c>
      <c r="B700" s="7771" t="s">
        <v>16</v>
      </c>
      <c r="C700" s="7771" t="s">
        <v>2470</v>
      </c>
      <c r="D700" s="7771" t="s">
        <v>2471</v>
      </c>
      <c r="E700" s="7771" t="s">
        <v>2472</v>
      </c>
      <c r="F700" s="7771" t="s">
        <v>2473</v>
      </c>
      <c r="G700" s="7771" t="s">
        <v>2474</v>
      </c>
      <c r="H700" s="7771" t="s">
        <v>28</v>
      </c>
      <c r="I700" s="7771" t="s">
        <v>908</v>
      </c>
    </row>
    <row customHeight="1" ht="11.25">
      <c r="A701" s="7771" t="s">
        <v>2266</v>
      </c>
      <c r="B701" s="7771" t="s">
        <v>16</v>
      </c>
      <c r="C701" s="7771" t="s">
        <v>2475</v>
      </c>
      <c r="D701" s="7771" t="s">
        <v>2476</v>
      </c>
      <c r="E701" s="7771" t="s">
        <v>2477</v>
      </c>
      <c r="F701" s="7771" t="s">
        <v>2478</v>
      </c>
      <c r="G701" s="7771" t="s">
        <v>28</v>
      </c>
      <c r="H701" s="7771" t="s">
        <v>28</v>
      </c>
      <c r="I701" s="7771" t="s">
        <v>908</v>
      </c>
    </row>
    <row customHeight="1" ht="11.25">
      <c r="A702" s="7771" t="s">
        <v>2266</v>
      </c>
      <c r="B702" s="7771" t="s">
        <v>16</v>
      </c>
      <c r="C702" s="7771" t="s">
        <v>2479</v>
      </c>
      <c r="D702" s="7771" t="s">
        <v>2480</v>
      </c>
      <c r="E702" s="7771" t="s">
        <v>2481</v>
      </c>
      <c r="F702" s="7771" t="s">
        <v>2451</v>
      </c>
      <c r="G702" s="7771" t="s">
        <v>2482</v>
      </c>
      <c r="H702" s="7771" t="s">
        <v>28</v>
      </c>
      <c r="I702" s="7771" t="s">
        <v>908</v>
      </c>
    </row>
    <row customHeight="1" ht="11.25">
      <c r="A703" s="7771" t="s">
        <v>2266</v>
      </c>
      <c r="B703" s="7771" t="s">
        <v>16</v>
      </c>
      <c r="C703" s="7771" t="s">
        <v>2492</v>
      </c>
      <c r="D703" s="7771" t="s">
        <v>2493</v>
      </c>
      <c r="E703" s="7771" t="s">
        <v>2494</v>
      </c>
      <c r="F703" s="7771" t="s">
        <v>2495</v>
      </c>
      <c r="G703" s="7771" t="s">
        <v>28</v>
      </c>
      <c r="H703" s="7771" t="s">
        <v>28</v>
      </c>
      <c r="I703" s="7771" t="s">
        <v>908</v>
      </c>
    </row>
    <row customHeight="1" ht="11.25">
      <c r="A704" s="7771" t="s">
        <v>2266</v>
      </c>
      <c r="B704" s="7771" t="s">
        <v>16</v>
      </c>
      <c r="C704" s="7771" t="s">
        <v>2500</v>
      </c>
      <c r="D704" s="7771" t="s">
        <v>2501</v>
      </c>
      <c r="E704" s="7771" t="s">
        <v>2502</v>
      </c>
      <c r="F704" s="7771" t="s">
        <v>2503</v>
      </c>
      <c r="G704" s="7771" t="s">
        <v>2504</v>
      </c>
      <c r="H704" s="7771" t="s">
        <v>28</v>
      </c>
      <c r="I704" s="7771" t="s">
        <v>908</v>
      </c>
    </row>
    <row customHeight="1" ht="11.25">
      <c r="A705" s="7771" t="s">
        <v>2266</v>
      </c>
      <c r="B705" s="7771" t="s">
        <v>16</v>
      </c>
      <c r="C705" s="7771" t="s">
        <v>2505</v>
      </c>
      <c r="D705" s="7771" t="s">
        <v>2506</v>
      </c>
      <c r="E705" s="7771" t="s">
        <v>2507</v>
      </c>
      <c r="F705" s="7771" t="s">
        <v>2300</v>
      </c>
      <c r="G705" s="7771" t="s">
        <v>2508</v>
      </c>
      <c r="H705" s="7771" t="s">
        <v>28</v>
      </c>
      <c r="I705" s="7771" t="s">
        <v>908</v>
      </c>
    </row>
    <row customHeight="1" ht="11.25">
      <c r="A706" s="7771" t="s">
        <v>2266</v>
      </c>
      <c r="B706" s="7771" t="s">
        <v>16</v>
      </c>
      <c r="C706" s="7771" t="s">
        <v>2513</v>
      </c>
      <c r="D706" s="7771" t="s">
        <v>2514</v>
      </c>
      <c r="E706" s="7771" t="s">
        <v>2269</v>
      </c>
      <c r="F706" s="7771" t="s">
        <v>2446</v>
      </c>
      <c r="G706" s="7771" t="s">
        <v>2271</v>
      </c>
      <c r="H706" s="7771" t="s">
        <v>28</v>
      </c>
      <c r="I706" s="7771" t="s">
        <v>908</v>
      </c>
    </row>
    <row customHeight="1" ht="11.25">
      <c r="A707" s="7771" t="s">
        <v>2266</v>
      </c>
      <c r="B707" s="7771" t="s">
        <v>16</v>
      </c>
      <c r="C707" s="7771" t="s">
        <v>2515</v>
      </c>
      <c r="D707" s="7771" t="s">
        <v>2516</v>
      </c>
      <c r="E707" s="7771" t="s">
        <v>2517</v>
      </c>
      <c r="F707" s="7771" t="s">
        <v>2518</v>
      </c>
      <c r="G707" s="7771" t="s">
        <v>2519</v>
      </c>
      <c r="H707" s="7771" t="s">
        <v>28</v>
      </c>
      <c r="I707" s="7771" t="s">
        <v>908</v>
      </c>
    </row>
    <row customHeight="1" ht="11.25">
      <c r="A708" s="7771" t="s">
        <v>2266</v>
      </c>
      <c r="B708" s="7771" t="s">
        <v>16</v>
      </c>
      <c r="C708" s="7771" t="s">
        <v>2528</v>
      </c>
      <c r="D708" s="7771" t="s">
        <v>2529</v>
      </c>
      <c r="E708" s="7771" t="s">
        <v>2530</v>
      </c>
      <c r="F708" s="7771" t="s">
        <v>2463</v>
      </c>
      <c r="G708" s="7771" t="s">
        <v>2531</v>
      </c>
      <c r="H708" s="7771" t="s">
        <v>28</v>
      </c>
      <c r="I708" s="7771" t="s">
        <v>908</v>
      </c>
    </row>
    <row customHeight="1" ht="11.25">
      <c r="A709" s="7771" t="s">
        <v>2266</v>
      </c>
      <c r="B709" s="7771" t="s">
        <v>16</v>
      </c>
      <c r="C709" s="7771" t="s">
        <v>2532</v>
      </c>
      <c r="D709" s="7771" t="s">
        <v>2533</v>
      </c>
      <c r="E709" s="7771" t="s">
        <v>2534</v>
      </c>
      <c r="F709" s="7771" t="s">
        <v>2377</v>
      </c>
      <c r="G709" s="7771" t="s">
        <v>28</v>
      </c>
      <c r="H709" s="7771" t="s">
        <v>28</v>
      </c>
      <c r="I709" s="7771" t="s">
        <v>908</v>
      </c>
    </row>
    <row customHeight="1" ht="11.25">
      <c r="A710" s="7771" t="s">
        <v>2266</v>
      </c>
      <c r="B710" s="7771" t="s">
        <v>16</v>
      </c>
      <c r="C710" s="7771" t="s">
        <v>2540</v>
      </c>
      <c r="D710" s="7771" t="s">
        <v>2541</v>
      </c>
      <c r="E710" s="7771" t="s">
        <v>2542</v>
      </c>
      <c r="F710" s="7771" t="s">
        <v>2441</v>
      </c>
      <c r="G710" s="7771" t="s">
        <v>2543</v>
      </c>
      <c r="H710" s="7771" t="s">
        <v>28</v>
      </c>
      <c r="I710" s="7771" t="s">
        <v>908</v>
      </c>
    </row>
    <row customHeight="1" ht="11.25">
      <c r="A711" s="7771" t="s">
        <v>2266</v>
      </c>
      <c r="B711" s="7771" t="s">
        <v>16</v>
      </c>
      <c r="C711" s="7771" t="s">
        <v>2548</v>
      </c>
      <c r="D711" s="7771" t="s">
        <v>2549</v>
      </c>
      <c r="E711" s="7771" t="s">
        <v>2550</v>
      </c>
      <c r="F711" s="7771" t="s">
        <v>2295</v>
      </c>
      <c r="G711" s="7771" t="s">
        <v>28</v>
      </c>
      <c r="H711" s="7771" t="s">
        <v>28</v>
      </c>
      <c r="I711" s="7771" t="s">
        <v>908</v>
      </c>
    </row>
    <row customHeight="1" ht="11.25">
      <c r="A712" s="7771" t="s">
        <v>2266</v>
      </c>
      <c r="B712" s="7771" t="s">
        <v>16</v>
      </c>
      <c r="C712" s="7771" t="s">
        <v>2551</v>
      </c>
      <c r="D712" s="7771" t="s">
        <v>2552</v>
      </c>
      <c r="E712" s="7771" t="s">
        <v>2553</v>
      </c>
      <c r="F712" s="7771" t="s">
        <v>2503</v>
      </c>
      <c r="G712" s="7771" t="s">
        <v>28</v>
      </c>
      <c r="H712" s="7771" t="s">
        <v>28</v>
      </c>
      <c r="I712" s="7771" t="s">
        <v>908</v>
      </c>
    </row>
    <row customHeight="1" ht="11.25">
      <c r="A713" s="7771" t="s">
        <v>2266</v>
      </c>
      <c r="B713" s="7771" t="s">
        <v>16</v>
      </c>
      <c r="C713" s="7771" t="s">
        <v>2557</v>
      </c>
      <c r="D713" s="7771" t="s">
        <v>2558</v>
      </c>
      <c r="E713" s="7771" t="s">
        <v>2559</v>
      </c>
      <c r="F713" s="7771" t="s">
        <v>2285</v>
      </c>
      <c r="G713" s="7771" t="s">
        <v>2560</v>
      </c>
      <c r="H713" s="7771" t="s">
        <v>28</v>
      </c>
      <c r="I713" s="7771" t="s">
        <v>908</v>
      </c>
    </row>
    <row customHeight="1" ht="11.25">
      <c r="A714" s="7771" t="s">
        <v>2266</v>
      </c>
      <c r="B714" s="7771" t="s">
        <v>16</v>
      </c>
      <c r="C714" s="7771" t="s">
        <v>2568</v>
      </c>
      <c r="D714" s="7771" t="s">
        <v>2569</v>
      </c>
      <c r="E714" s="7771" t="s">
        <v>2570</v>
      </c>
      <c r="F714" s="7771" t="s">
        <v>2360</v>
      </c>
      <c r="G714" s="7771" t="s">
        <v>28</v>
      </c>
      <c r="H714" s="7771" t="s">
        <v>28</v>
      </c>
      <c r="I714" s="7771" t="s">
        <v>908</v>
      </c>
    </row>
    <row customHeight="1" ht="11.25">
      <c r="A715" s="7771" t="s">
        <v>2266</v>
      </c>
      <c r="B715" s="7771" t="s">
        <v>16</v>
      </c>
      <c r="C715" s="7771" t="s">
        <v>2571</v>
      </c>
      <c r="D715" s="7771" t="s">
        <v>2572</v>
      </c>
      <c r="E715" s="7771" t="s">
        <v>2573</v>
      </c>
      <c r="F715" s="7771" t="s">
        <v>2399</v>
      </c>
      <c r="G715" s="7771" t="s">
        <v>2574</v>
      </c>
      <c r="H715" s="7771" t="s">
        <v>28</v>
      </c>
      <c r="I715" s="7771" t="s">
        <v>908</v>
      </c>
    </row>
    <row customHeight="1" ht="11.25">
      <c r="A716" s="7771" t="s">
        <v>2266</v>
      </c>
      <c r="B716" s="7771" t="s">
        <v>16</v>
      </c>
      <c r="C716" s="7771" t="s">
        <v>2575</v>
      </c>
      <c r="D716" s="7771" t="s">
        <v>2576</v>
      </c>
      <c r="E716" s="7771" t="s">
        <v>2577</v>
      </c>
      <c r="F716" s="7771" t="s">
        <v>2578</v>
      </c>
      <c r="G716" s="7771" t="s">
        <v>2579</v>
      </c>
      <c r="H716" s="7771" t="s">
        <v>28</v>
      </c>
      <c r="I716" s="7771" t="s">
        <v>908</v>
      </c>
    </row>
    <row customHeight="1" ht="11.25">
      <c r="A717" s="7771" t="s">
        <v>2266</v>
      </c>
      <c r="B717" s="7771" t="s">
        <v>16</v>
      </c>
      <c r="C717" s="7771" t="s">
        <v>2580</v>
      </c>
      <c r="D717" s="7771" t="s">
        <v>2581</v>
      </c>
      <c r="E717" s="7771" t="s">
        <v>2582</v>
      </c>
      <c r="F717" s="7771" t="s">
        <v>2583</v>
      </c>
      <c r="G717" s="7771" t="s">
        <v>2584</v>
      </c>
      <c r="H717" s="7771" t="s">
        <v>28</v>
      </c>
      <c r="I717" s="7771" t="s">
        <v>908</v>
      </c>
    </row>
    <row customHeight="1" ht="11.25">
      <c r="A718" s="7771" t="s">
        <v>2266</v>
      </c>
      <c r="B718" s="7771" t="s">
        <v>16</v>
      </c>
      <c r="C718" s="7771" t="s">
        <v>4776</v>
      </c>
      <c r="D718" s="7771" t="s">
        <v>4777</v>
      </c>
      <c r="E718" s="7771" t="s">
        <v>4778</v>
      </c>
      <c r="F718" s="7771" t="s">
        <v>2368</v>
      </c>
      <c r="G718" s="7771" t="s">
        <v>4124</v>
      </c>
      <c r="H718" s="7771" t="s">
        <v>28</v>
      </c>
      <c r="I718" s="7771" t="s">
        <v>908</v>
      </c>
    </row>
    <row customHeight="1" ht="11.25">
      <c r="A719" s="7771" t="s">
        <v>2266</v>
      </c>
      <c r="B719" s="7771" t="s">
        <v>16</v>
      </c>
      <c r="C719" s="7771" t="s">
        <v>2585</v>
      </c>
      <c r="D719" s="7771" t="s">
        <v>2586</v>
      </c>
      <c r="E719" s="7771" t="s">
        <v>2587</v>
      </c>
      <c r="F719" s="7771" t="s">
        <v>2280</v>
      </c>
      <c r="G719" s="7771" t="s">
        <v>2588</v>
      </c>
      <c r="H719" s="7771" t="s">
        <v>28</v>
      </c>
      <c r="I719" s="7771" t="s">
        <v>908</v>
      </c>
    </row>
    <row customHeight="1" ht="11.25">
      <c r="A720" s="7771" t="s">
        <v>2266</v>
      </c>
      <c r="B720" s="7771" t="s">
        <v>16</v>
      </c>
      <c r="C720" s="7771" t="s">
        <v>2597</v>
      </c>
      <c r="D720" s="7771" t="s">
        <v>2598</v>
      </c>
      <c r="E720" s="7771" t="s">
        <v>2599</v>
      </c>
      <c r="F720" s="7771" t="s">
        <v>2280</v>
      </c>
      <c r="G720" s="7771" t="s">
        <v>2600</v>
      </c>
      <c r="H720" s="7771" t="s">
        <v>28</v>
      </c>
      <c r="I720" s="7771" t="s">
        <v>908</v>
      </c>
    </row>
    <row customHeight="1" ht="11.25">
      <c r="A721" s="7771" t="s">
        <v>2266</v>
      </c>
      <c r="B721" s="7771" t="s">
        <v>16</v>
      </c>
      <c r="C721" s="7771" t="s">
        <v>2608</v>
      </c>
      <c r="D721" s="7771" t="s">
        <v>2609</v>
      </c>
      <c r="E721" s="7771" t="s">
        <v>2610</v>
      </c>
      <c r="F721" s="7771" t="s">
        <v>2295</v>
      </c>
      <c r="G721" s="7771" t="s">
        <v>2611</v>
      </c>
      <c r="H721" s="7771" t="s">
        <v>28</v>
      </c>
      <c r="I721" s="7771" t="s">
        <v>908</v>
      </c>
    </row>
    <row customHeight="1" ht="11.25">
      <c r="A722" s="7771" t="s">
        <v>2266</v>
      </c>
      <c r="B722" s="7771" t="s">
        <v>16</v>
      </c>
      <c r="C722" s="7771" t="s">
        <v>2617</v>
      </c>
      <c r="D722" s="7771" t="s">
        <v>2618</v>
      </c>
      <c r="E722" s="7771" t="s">
        <v>2619</v>
      </c>
      <c r="F722" s="7771" t="s">
        <v>2592</v>
      </c>
      <c r="G722" s="7771" t="s">
        <v>2620</v>
      </c>
      <c r="H722" s="7771" t="s">
        <v>28</v>
      </c>
      <c r="I722" s="7771" t="s">
        <v>908</v>
      </c>
    </row>
    <row customHeight="1" ht="11.25">
      <c r="A723" s="7771" t="s">
        <v>2266</v>
      </c>
      <c r="B723" s="7771" t="s">
        <v>16</v>
      </c>
      <c r="C723" s="7771" t="s">
        <v>2626</v>
      </c>
      <c r="D723" s="7771" t="s">
        <v>2627</v>
      </c>
      <c r="E723" s="7771" t="s">
        <v>2628</v>
      </c>
      <c r="F723" s="7771" t="s">
        <v>2629</v>
      </c>
      <c r="G723" s="7771" t="s">
        <v>2630</v>
      </c>
      <c r="H723" s="7771" t="s">
        <v>28</v>
      </c>
      <c r="I723" s="7771" t="s">
        <v>908</v>
      </c>
    </row>
    <row customHeight="1" ht="11.25">
      <c r="A724" s="7771" t="s">
        <v>2266</v>
      </c>
      <c r="B724" s="7771" t="s">
        <v>16</v>
      </c>
      <c r="C724" s="7771" t="s">
        <v>2631</v>
      </c>
      <c r="D724" s="7771" t="s">
        <v>2632</v>
      </c>
      <c r="E724" s="7771" t="s">
        <v>2633</v>
      </c>
      <c r="F724" s="7771" t="s">
        <v>2377</v>
      </c>
      <c r="G724" s="7771" t="s">
        <v>2634</v>
      </c>
      <c r="H724" s="7771" t="s">
        <v>28</v>
      </c>
      <c r="I724" s="7771" t="s">
        <v>908</v>
      </c>
    </row>
    <row customHeight="1" ht="11.25">
      <c r="A725" s="7771" t="s">
        <v>2266</v>
      </c>
      <c r="B725" s="7771" t="s">
        <v>16</v>
      </c>
      <c r="C725" s="7771" t="s">
        <v>2635</v>
      </c>
      <c r="D725" s="7771" t="s">
        <v>2636</v>
      </c>
      <c r="E725" s="7771" t="s">
        <v>2637</v>
      </c>
      <c r="F725" s="7771" t="s">
        <v>2372</v>
      </c>
      <c r="G725" s="7771" t="s">
        <v>2638</v>
      </c>
      <c r="H725" s="7771" t="s">
        <v>28</v>
      </c>
      <c r="I725" s="7771" t="s">
        <v>908</v>
      </c>
    </row>
    <row customHeight="1" ht="11.25">
      <c r="A726" s="7771" t="s">
        <v>2266</v>
      </c>
      <c r="B726" s="7771" t="s">
        <v>16</v>
      </c>
      <c r="C726" s="7771" t="s">
        <v>2644</v>
      </c>
      <c r="D726" s="7771" t="s">
        <v>2645</v>
      </c>
      <c r="E726" s="7771" t="s">
        <v>2646</v>
      </c>
      <c r="F726" s="7771" t="s">
        <v>2372</v>
      </c>
      <c r="G726" s="7771" t="s">
        <v>2647</v>
      </c>
      <c r="H726" s="7771" t="s">
        <v>28</v>
      </c>
      <c r="I726" s="7771" t="s">
        <v>908</v>
      </c>
    </row>
    <row customHeight="1" ht="11.25">
      <c r="A727" s="7771" t="s">
        <v>2266</v>
      </c>
      <c r="B727" s="7771" t="s">
        <v>16</v>
      </c>
      <c r="C727" s="7771" t="s">
        <v>2648</v>
      </c>
      <c r="D727" s="7771" t="s">
        <v>2649</v>
      </c>
      <c r="E727" s="7771" t="s">
        <v>2650</v>
      </c>
      <c r="F727" s="7771" t="s">
        <v>2280</v>
      </c>
      <c r="G727" s="7771" t="s">
        <v>2651</v>
      </c>
      <c r="H727" s="7771" t="s">
        <v>28</v>
      </c>
      <c r="I727" s="7771" t="s">
        <v>908</v>
      </c>
    </row>
    <row customHeight="1" ht="11.25">
      <c r="A728" s="7771" t="s">
        <v>2266</v>
      </c>
      <c r="B728" s="7771" t="s">
        <v>16</v>
      </c>
      <c r="C728" s="7771" t="s">
        <v>2660</v>
      </c>
      <c r="D728" s="7771" t="s">
        <v>2661</v>
      </c>
      <c r="E728" s="7771" t="s">
        <v>2662</v>
      </c>
      <c r="F728" s="7771" t="s">
        <v>2356</v>
      </c>
      <c r="G728" s="7771" t="s">
        <v>28</v>
      </c>
      <c r="H728" s="7771" t="s">
        <v>28</v>
      </c>
      <c r="I728" s="7771" t="s">
        <v>908</v>
      </c>
    </row>
    <row customHeight="1" ht="11.25">
      <c r="A729" s="7771" t="s">
        <v>2266</v>
      </c>
      <c r="B729" s="7771" t="s">
        <v>16</v>
      </c>
      <c r="C729" s="7771" t="s">
        <v>2663</v>
      </c>
      <c r="D729" s="7771" t="s">
        <v>2664</v>
      </c>
      <c r="E729" s="7771" t="s">
        <v>2665</v>
      </c>
      <c r="F729" s="7771" t="s">
        <v>2518</v>
      </c>
      <c r="G729" s="7771" t="s">
        <v>2666</v>
      </c>
      <c r="H729" s="7771" t="s">
        <v>28</v>
      </c>
      <c r="I729" s="7771" t="s">
        <v>908</v>
      </c>
    </row>
    <row customHeight="1" ht="11.25">
      <c r="A730" s="7771" t="s">
        <v>2266</v>
      </c>
      <c r="B730" s="7771" t="s">
        <v>16</v>
      </c>
      <c r="C730" s="7771" t="s">
        <v>2667</v>
      </c>
      <c r="D730" s="7771" t="s">
        <v>2668</v>
      </c>
      <c r="E730" s="7771" t="s">
        <v>2669</v>
      </c>
      <c r="F730" s="7771" t="s">
        <v>2285</v>
      </c>
      <c r="G730" s="7771" t="s">
        <v>28</v>
      </c>
      <c r="H730" s="7771" t="s">
        <v>28</v>
      </c>
      <c r="I730" s="7771" t="s">
        <v>908</v>
      </c>
    </row>
    <row customHeight="1" ht="11.25">
      <c r="A731" s="7771" t="s">
        <v>2266</v>
      </c>
      <c r="B731" s="7771" t="s">
        <v>16</v>
      </c>
      <c r="C731" s="7771" t="s">
        <v>2670</v>
      </c>
      <c r="D731" s="7771" t="s">
        <v>2671</v>
      </c>
      <c r="E731" s="7771" t="s">
        <v>2672</v>
      </c>
      <c r="F731" s="7771" t="s">
        <v>2538</v>
      </c>
      <c r="G731" s="7771" t="s">
        <v>28</v>
      </c>
      <c r="H731" s="7771" t="s">
        <v>28</v>
      </c>
      <c r="I731" s="7771" t="s">
        <v>908</v>
      </c>
    </row>
    <row customHeight="1" ht="11.25">
      <c r="A732" s="7771" t="s">
        <v>2266</v>
      </c>
      <c r="B732" s="7771" t="s">
        <v>16</v>
      </c>
      <c r="C732" s="7771" t="s">
        <v>2673</v>
      </c>
      <c r="D732" s="7771" t="s">
        <v>2671</v>
      </c>
      <c r="E732" s="7771" t="s">
        <v>2674</v>
      </c>
      <c r="F732" s="7771" t="s">
        <v>2360</v>
      </c>
      <c r="G732" s="7771" t="s">
        <v>2675</v>
      </c>
      <c r="H732" s="7771" t="s">
        <v>28</v>
      </c>
      <c r="I732" s="7771" t="s">
        <v>908</v>
      </c>
    </row>
    <row customHeight="1" ht="11.25">
      <c r="A733" s="7771" t="s">
        <v>2266</v>
      </c>
      <c r="B733" s="7771" t="s">
        <v>16</v>
      </c>
      <c r="C733" s="7771" t="s">
        <v>2676</v>
      </c>
      <c r="D733" s="7771" t="s">
        <v>2677</v>
      </c>
      <c r="E733" s="7771" t="s">
        <v>2678</v>
      </c>
      <c r="F733" s="7771" t="s">
        <v>2679</v>
      </c>
      <c r="G733" s="7771" t="s">
        <v>28</v>
      </c>
      <c r="H733" s="7771" t="s">
        <v>28</v>
      </c>
      <c r="I733" s="7771" t="s">
        <v>908</v>
      </c>
    </row>
    <row customHeight="1" ht="11.25">
      <c r="A734" s="7771" t="s">
        <v>2266</v>
      </c>
      <c r="B734" s="7771" t="s">
        <v>16</v>
      </c>
      <c r="C734" s="7771" t="s">
        <v>2680</v>
      </c>
      <c r="D734" s="7771" t="s">
        <v>2681</v>
      </c>
      <c r="E734" s="7771" t="s">
        <v>2682</v>
      </c>
      <c r="F734" s="7771" t="s">
        <v>2290</v>
      </c>
      <c r="G734" s="7771" t="s">
        <v>2683</v>
      </c>
      <c r="H734" s="7771" t="s">
        <v>28</v>
      </c>
      <c r="I734" s="7771" t="s">
        <v>908</v>
      </c>
    </row>
    <row customHeight="1" ht="11.25">
      <c r="A735" s="7771" t="s">
        <v>2266</v>
      </c>
      <c r="B735" s="7771" t="s">
        <v>16</v>
      </c>
      <c r="C735" s="7771" t="s">
        <v>2688</v>
      </c>
      <c r="D735" s="7771" t="s">
        <v>2689</v>
      </c>
      <c r="E735" s="7771" t="s">
        <v>2690</v>
      </c>
      <c r="F735" s="7771" t="s">
        <v>2629</v>
      </c>
      <c r="G735" s="7771" t="s">
        <v>2691</v>
      </c>
      <c r="H735" s="7771" t="s">
        <v>28</v>
      </c>
      <c r="I735" s="7771" t="s">
        <v>908</v>
      </c>
    </row>
    <row customHeight="1" ht="11.25">
      <c r="A736" s="7771" t="s">
        <v>2266</v>
      </c>
      <c r="B736" s="7771" t="s">
        <v>16</v>
      </c>
      <c r="C736" s="7771" t="s">
        <v>2705</v>
      </c>
      <c r="D736" s="7771" t="s">
        <v>2706</v>
      </c>
      <c r="E736" s="7771" t="s">
        <v>2707</v>
      </c>
      <c r="F736" s="7771" t="s">
        <v>2368</v>
      </c>
      <c r="G736" s="7771" t="s">
        <v>28</v>
      </c>
      <c r="H736" s="7771" t="s">
        <v>28</v>
      </c>
      <c r="I736" s="7771" t="s">
        <v>908</v>
      </c>
    </row>
    <row customHeight="1" ht="11.25">
      <c r="A737" s="7771" t="s">
        <v>2266</v>
      </c>
      <c r="B737" s="7771" t="s">
        <v>16</v>
      </c>
      <c r="C737" s="7771" t="s">
        <v>2708</v>
      </c>
      <c r="D737" s="7771" t="s">
        <v>2709</v>
      </c>
      <c r="E737" s="7771" t="s">
        <v>2710</v>
      </c>
      <c r="F737" s="7771" t="s">
        <v>2285</v>
      </c>
      <c r="G737" s="7771" t="s">
        <v>2711</v>
      </c>
      <c r="H737" s="7771" t="s">
        <v>28</v>
      </c>
      <c r="I737" s="7771" t="s">
        <v>908</v>
      </c>
    </row>
    <row customHeight="1" ht="11.25">
      <c r="A738" s="7771" t="s">
        <v>2266</v>
      </c>
      <c r="B738" s="7771" t="s">
        <v>16</v>
      </c>
      <c r="C738" s="7771" t="s">
        <v>2716</v>
      </c>
      <c r="D738" s="7771" t="s">
        <v>2717</v>
      </c>
      <c r="E738" s="7771" t="s">
        <v>2718</v>
      </c>
      <c r="F738" s="7771" t="s">
        <v>2592</v>
      </c>
      <c r="G738" s="7771" t="s">
        <v>2719</v>
      </c>
      <c r="H738" s="7771" t="s">
        <v>28</v>
      </c>
      <c r="I738" s="7771" t="s">
        <v>908</v>
      </c>
    </row>
    <row customHeight="1" ht="11.25">
      <c r="A739" s="7771" t="s">
        <v>2266</v>
      </c>
      <c r="B739" s="7771" t="s">
        <v>16</v>
      </c>
      <c r="C739" s="7771" t="s">
        <v>2729</v>
      </c>
      <c r="D739" s="7771" t="s">
        <v>2730</v>
      </c>
      <c r="E739" s="7771" t="s">
        <v>2731</v>
      </c>
      <c r="F739" s="7771" t="s">
        <v>2280</v>
      </c>
      <c r="G739" s="7771" t="s">
        <v>2732</v>
      </c>
      <c r="H739" s="7771" t="s">
        <v>28</v>
      </c>
      <c r="I739" s="7771" t="s">
        <v>908</v>
      </c>
    </row>
    <row customHeight="1" ht="11.25">
      <c r="A740" s="7771" t="s">
        <v>2266</v>
      </c>
      <c r="B740" s="7771" t="s">
        <v>16</v>
      </c>
      <c r="C740" s="7771" t="s">
        <v>2733</v>
      </c>
      <c r="D740" s="7771" t="s">
        <v>2734</v>
      </c>
      <c r="E740" s="7771" t="s">
        <v>2735</v>
      </c>
      <c r="F740" s="7771" t="s">
        <v>2399</v>
      </c>
      <c r="G740" s="7771" t="s">
        <v>2651</v>
      </c>
      <c r="H740" s="7771" t="s">
        <v>28</v>
      </c>
      <c r="I740" s="7771" t="s">
        <v>908</v>
      </c>
    </row>
    <row customHeight="1" ht="11.25">
      <c r="A741" s="7771" t="s">
        <v>2266</v>
      </c>
      <c r="B741" s="7771" t="s">
        <v>16</v>
      </c>
      <c r="C741" s="7771" t="s">
        <v>2736</v>
      </c>
      <c r="D741" s="7771" t="s">
        <v>2737</v>
      </c>
      <c r="E741" s="7771" t="s">
        <v>2738</v>
      </c>
      <c r="F741" s="7771" t="s">
        <v>2739</v>
      </c>
      <c r="G741" s="7771" t="s">
        <v>28</v>
      </c>
      <c r="H741" s="7771" t="s">
        <v>28</v>
      </c>
      <c r="I741" s="7771" t="s">
        <v>908</v>
      </c>
    </row>
    <row customHeight="1" ht="11.25">
      <c r="A742" s="7771" t="s">
        <v>2266</v>
      </c>
      <c r="B742" s="7771" t="s">
        <v>16</v>
      </c>
      <c r="C742" s="7771" t="s">
        <v>4779</v>
      </c>
      <c r="D742" s="7771" t="s">
        <v>4780</v>
      </c>
      <c r="E742" s="7771" t="s">
        <v>4781</v>
      </c>
      <c r="F742" s="7771" t="s">
        <v>2739</v>
      </c>
      <c r="G742" s="7771" t="s">
        <v>4782</v>
      </c>
      <c r="H742" s="7771" t="s">
        <v>28</v>
      </c>
      <c r="I742" s="7771" t="s">
        <v>908</v>
      </c>
    </row>
    <row customHeight="1" ht="11.25">
      <c r="A743" s="7771" t="s">
        <v>2266</v>
      </c>
      <c r="B743" s="7771" t="s">
        <v>16</v>
      </c>
      <c r="C743" s="7771" t="s">
        <v>2746</v>
      </c>
      <c r="D743" s="7771" t="s">
        <v>2747</v>
      </c>
      <c r="E743" s="7771" t="s">
        <v>2748</v>
      </c>
      <c r="F743" s="7771" t="s">
        <v>2629</v>
      </c>
      <c r="G743" s="7771" t="s">
        <v>2749</v>
      </c>
      <c r="H743" s="7771" t="s">
        <v>28</v>
      </c>
      <c r="I743" s="7771" t="s">
        <v>908</v>
      </c>
    </row>
    <row customHeight="1" ht="11.25">
      <c r="A744" s="7771" t="s">
        <v>2266</v>
      </c>
      <c r="B744" s="7771" t="s">
        <v>16</v>
      </c>
      <c r="C744" s="7771" t="s">
        <v>2750</v>
      </c>
      <c r="D744" s="7771" t="s">
        <v>2751</v>
      </c>
      <c r="E744" s="7771" t="s">
        <v>2752</v>
      </c>
      <c r="F744" s="7771" t="s">
        <v>2753</v>
      </c>
      <c r="G744" s="7771" t="s">
        <v>28</v>
      </c>
      <c r="H744" s="7771" t="s">
        <v>28</v>
      </c>
      <c r="I744" s="7771" t="s">
        <v>908</v>
      </c>
    </row>
    <row customHeight="1" ht="11.25">
      <c r="A745" s="7771" t="s">
        <v>2266</v>
      </c>
      <c r="B745" s="7771" t="s">
        <v>16</v>
      </c>
      <c r="C745" s="7771" t="s">
        <v>2758</v>
      </c>
      <c r="D745" s="7771" t="s">
        <v>2759</v>
      </c>
      <c r="E745" s="7771" t="s">
        <v>2760</v>
      </c>
      <c r="F745" s="7771" t="s">
        <v>2761</v>
      </c>
      <c r="G745" s="7771" t="s">
        <v>2762</v>
      </c>
      <c r="H745" s="7771" t="s">
        <v>28</v>
      </c>
      <c r="I745" s="7771" t="s">
        <v>908</v>
      </c>
    </row>
    <row customHeight="1" ht="11.25">
      <c r="A746" s="7771" t="s">
        <v>2266</v>
      </c>
      <c r="B746" s="7771" t="s">
        <v>16</v>
      </c>
      <c r="C746" s="7771" t="s">
        <v>2767</v>
      </c>
      <c r="D746" s="7771" t="s">
        <v>2768</v>
      </c>
      <c r="E746" s="7771" t="s">
        <v>2769</v>
      </c>
      <c r="F746" s="7771" t="s">
        <v>2770</v>
      </c>
      <c r="G746" s="7771" t="s">
        <v>2771</v>
      </c>
      <c r="H746" s="7771" t="s">
        <v>28</v>
      </c>
      <c r="I746" s="7771" t="s">
        <v>908</v>
      </c>
    </row>
    <row customHeight="1" ht="11.25">
      <c r="A747" s="7771" t="s">
        <v>2266</v>
      </c>
      <c r="B747" s="7771" t="s">
        <v>16</v>
      </c>
      <c r="C747" s="7771" t="s">
        <v>2776</v>
      </c>
      <c r="D747" s="7771" t="s">
        <v>2777</v>
      </c>
      <c r="E747" s="7771" t="s">
        <v>2778</v>
      </c>
      <c r="F747" s="7771" t="s">
        <v>2538</v>
      </c>
      <c r="G747" s="7771" t="s">
        <v>2779</v>
      </c>
      <c r="H747" s="7771" t="s">
        <v>28</v>
      </c>
      <c r="I747" s="7771" t="s">
        <v>908</v>
      </c>
    </row>
    <row customHeight="1" ht="11.25">
      <c r="A748" s="7771" t="s">
        <v>2266</v>
      </c>
      <c r="B748" s="7771" t="s">
        <v>16</v>
      </c>
      <c r="C748" s="7771" t="s">
        <v>2780</v>
      </c>
      <c r="D748" s="7771" t="s">
        <v>2781</v>
      </c>
      <c r="E748" s="7771" t="s">
        <v>2782</v>
      </c>
      <c r="F748" s="7771" t="s">
        <v>2538</v>
      </c>
      <c r="G748" s="7771" t="s">
        <v>2783</v>
      </c>
      <c r="H748" s="7771" t="s">
        <v>28</v>
      </c>
      <c r="I748" s="7771" t="s">
        <v>908</v>
      </c>
    </row>
    <row customHeight="1" ht="11.25">
      <c r="A749" s="7771" t="s">
        <v>2266</v>
      </c>
      <c r="B749" s="7771" t="s">
        <v>16</v>
      </c>
      <c r="C749" s="7771" t="s">
        <v>2784</v>
      </c>
      <c r="D749" s="7771" t="s">
        <v>2785</v>
      </c>
      <c r="E749" s="7771" t="s">
        <v>2786</v>
      </c>
      <c r="F749" s="7771" t="s">
        <v>2486</v>
      </c>
      <c r="G749" s="7771" t="s">
        <v>2787</v>
      </c>
      <c r="H749" s="7771" t="s">
        <v>28</v>
      </c>
      <c r="I749" s="7771" t="s">
        <v>908</v>
      </c>
    </row>
    <row customHeight="1" ht="11.25">
      <c r="A750" s="7771" t="s">
        <v>2266</v>
      </c>
      <c r="B750" s="7771" t="s">
        <v>16</v>
      </c>
      <c r="C750" s="7771" t="s">
        <v>2788</v>
      </c>
      <c r="D750" s="7771" t="s">
        <v>2789</v>
      </c>
      <c r="E750" s="7771" t="s">
        <v>2790</v>
      </c>
      <c r="F750" s="7771" t="s">
        <v>2791</v>
      </c>
      <c r="G750" s="7771" t="s">
        <v>2792</v>
      </c>
      <c r="H750" s="7771" t="s">
        <v>28</v>
      </c>
      <c r="I750" s="7771" t="s">
        <v>908</v>
      </c>
    </row>
    <row customHeight="1" ht="11.25">
      <c r="A751" s="7771" t="s">
        <v>2266</v>
      </c>
      <c r="B751" s="7771" t="s">
        <v>16</v>
      </c>
      <c r="C751" s="7771" t="s">
        <v>2802</v>
      </c>
      <c r="D751" s="7771" t="s">
        <v>2803</v>
      </c>
      <c r="E751" s="7771" t="s">
        <v>2804</v>
      </c>
      <c r="F751" s="7771" t="s">
        <v>2342</v>
      </c>
      <c r="G751" s="7771" t="s">
        <v>2805</v>
      </c>
      <c r="H751" s="7771" t="s">
        <v>28</v>
      </c>
      <c r="I751" s="7771" t="s">
        <v>908</v>
      </c>
    </row>
    <row customHeight="1" ht="11.25">
      <c r="A752" s="7771" t="s">
        <v>2266</v>
      </c>
      <c r="B752" s="7771" t="s">
        <v>16</v>
      </c>
      <c r="C752" s="7771" t="s">
        <v>2806</v>
      </c>
      <c r="D752" s="7771" t="s">
        <v>2807</v>
      </c>
      <c r="E752" s="7771" t="s">
        <v>2808</v>
      </c>
      <c r="F752" s="7771" t="s">
        <v>2486</v>
      </c>
      <c r="G752" s="7771" t="s">
        <v>2809</v>
      </c>
      <c r="H752" s="7771" t="s">
        <v>28</v>
      </c>
      <c r="I752" s="7771" t="s">
        <v>908</v>
      </c>
    </row>
    <row customHeight="1" ht="11.25">
      <c r="A753" s="7771" t="s">
        <v>2266</v>
      </c>
      <c r="B753" s="7771" t="s">
        <v>16</v>
      </c>
      <c r="C753" s="7771" t="s">
        <v>2810</v>
      </c>
      <c r="D753" s="7771" t="s">
        <v>2811</v>
      </c>
      <c r="E753" s="7771" t="s">
        <v>2812</v>
      </c>
      <c r="F753" s="7771" t="s">
        <v>2813</v>
      </c>
      <c r="G753" s="7771" t="s">
        <v>28</v>
      </c>
      <c r="H753" s="7771" t="s">
        <v>28</v>
      </c>
      <c r="I753" s="7771" t="s">
        <v>908</v>
      </c>
    </row>
    <row customHeight="1" ht="11.25">
      <c r="A754" s="7771" t="s">
        <v>2266</v>
      </c>
      <c r="B754" s="7771" t="s">
        <v>16</v>
      </c>
      <c r="C754" s="7771" t="s">
        <v>2814</v>
      </c>
      <c r="D754" s="7771" t="s">
        <v>2815</v>
      </c>
      <c r="E754" s="7771" t="s">
        <v>2816</v>
      </c>
      <c r="F754" s="7771" t="s">
        <v>2739</v>
      </c>
      <c r="G754" s="7771" t="s">
        <v>2817</v>
      </c>
      <c r="H754" s="7771" t="s">
        <v>28</v>
      </c>
      <c r="I754" s="7771" t="s">
        <v>908</v>
      </c>
    </row>
    <row customHeight="1" ht="11.25">
      <c r="A755" s="7771" t="s">
        <v>2266</v>
      </c>
      <c r="B755" s="7771" t="s">
        <v>16</v>
      </c>
      <c r="C755" s="7771" t="s">
        <v>2826</v>
      </c>
      <c r="D755" s="7771" t="s">
        <v>2827</v>
      </c>
      <c r="E755" s="7771" t="s">
        <v>2828</v>
      </c>
      <c r="F755" s="7771" t="s">
        <v>2829</v>
      </c>
      <c r="G755" s="7771" t="s">
        <v>2830</v>
      </c>
      <c r="H755" s="7771" t="s">
        <v>28</v>
      </c>
      <c r="I755" s="7771" t="s">
        <v>908</v>
      </c>
    </row>
    <row customHeight="1" ht="11.25">
      <c r="A756" s="7771" t="s">
        <v>2266</v>
      </c>
      <c r="B756" s="7771" t="s">
        <v>16</v>
      </c>
      <c r="C756" s="7771" t="s">
        <v>2831</v>
      </c>
      <c r="D756" s="7771" t="s">
        <v>2832</v>
      </c>
      <c r="E756" s="7771" t="s">
        <v>2833</v>
      </c>
      <c r="F756" s="7771" t="s">
        <v>2592</v>
      </c>
      <c r="G756" s="7771" t="s">
        <v>2834</v>
      </c>
      <c r="H756" s="7771" t="s">
        <v>28</v>
      </c>
      <c r="I756" s="7771" t="s">
        <v>908</v>
      </c>
    </row>
    <row customHeight="1" ht="11.25">
      <c r="A757" s="7771" t="s">
        <v>2266</v>
      </c>
      <c r="B757" s="7771" t="s">
        <v>16</v>
      </c>
      <c r="C757" s="7771" t="s">
        <v>2835</v>
      </c>
      <c r="D757" s="7771" t="s">
        <v>2836</v>
      </c>
      <c r="E757" s="7771" t="s">
        <v>2837</v>
      </c>
      <c r="F757" s="7771" t="s">
        <v>2655</v>
      </c>
      <c r="G757" s="7771" t="s">
        <v>2838</v>
      </c>
      <c r="H757" s="7771" t="s">
        <v>28</v>
      </c>
      <c r="I757" s="7771" t="s">
        <v>908</v>
      </c>
    </row>
    <row customHeight="1" ht="11.25">
      <c r="A758" s="7771" t="s">
        <v>2266</v>
      </c>
      <c r="B758" s="7771" t="s">
        <v>16</v>
      </c>
      <c r="C758" s="7771" t="s">
        <v>2839</v>
      </c>
      <c r="D758" s="7771" t="s">
        <v>2840</v>
      </c>
      <c r="E758" s="7771" t="s">
        <v>2841</v>
      </c>
      <c r="F758" s="7771" t="s">
        <v>2347</v>
      </c>
      <c r="G758" s="7771" t="s">
        <v>2842</v>
      </c>
      <c r="H758" s="7771" t="s">
        <v>28</v>
      </c>
      <c r="I758" s="7771" t="s">
        <v>908</v>
      </c>
    </row>
    <row customHeight="1" ht="11.25">
      <c r="A759" s="7771" t="s">
        <v>2266</v>
      </c>
      <c r="B759" s="7771" t="s">
        <v>16</v>
      </c>
      <c r="C759" s="7771" t="s">
        <v>2843</v>
      </c>
      <c r="D759" s="7771" t="s">
        <v>2844</v>
      </c>
      <c r="E759" s="7771" t="s">
        <v>2845</v>
      </c>
      <c r="F759" s="7771" t="s">
        <v>2846</v>
      </c>
      <c r="G759" s="7771" t="s">
        <v>2847</v>
      </c>
      <c r="H759" s="7771" t="s">
        <v>28</v>
      </c>
      <c r="I759" s="7771" t="s">
        <v>908</v>
      </c>
    </row>
    <row customHeight="1" ht="11.25">
      <c r="A760" s="7771" t="s">
        <v>2266</v>
      </c>
      <c r="B760" s="7771" t="s">
        <v>16</v>
      </c>
      <c r="C760" s="7771" t="s">
        <v>2848</v>
      </c>
      <c r="D760" s="7771" t="s">
        <v>2849</v>
      </c>
      <c r="E760" s="7771" t="s">
        <v>2850</v>
      </c>
      <c r="F760" s="7771" t="s">
        <v>2723</v>
      </c>
      <c r="G760" s="7771" t="s">
        <v>28</v>
      </c>
      <c r="H760" s="7771" t="s">
        <v>28</v>
      </c>
      <c r="I760" s="7771" t="s">
        <v>908</v>
      </c>
    </row>
    <row customHeight="1" ht="11.25">
      <c r="A761" s="7771" t="s">
        <v>2266</v>
      </c>
      <c r="B761" s="7771" t="s">
        <v>16</v>
      </c>
      <c r="C761" s="7771" t="s">
        <v>2851</v>
      </c>
      <c r="D761" s="7771" t="s">
        <v>2852</v>
      </c>
      <c r="E761" s="7771" t="s">
        <v>2853</v>
      </c>
      <c r="F761" s="7771" t="s">
        <v>2596</v>
      </c>
      <c r="G761" s="7771" t="s">
        <v>2854</v>
      </c>
      <c r="H761" s="7771" t="s">
        <v>28</v>
      </c>
      <c r="I761" s="7771" t="s">
        <v>908</v>
      </c>
    </row>
    <row customHeight="1" ht="11.25">
      <c r="A762" s="7771" t="s">
        <v>2266</v>
      </c>
      <c r="B762" s="7771" t="s">
        <v>16</v>
      </c>
      <c r="C762" s="7771" t="s">
        <v>2855</v>
      </c>
      <c r="D762" s="7771" t="s">
        <v>2856</v>
      </c>
      <c r="E762" s="7771" t="s">
        <v>2857</v>
      </c>
      <c r="F762" s="7771" t="s">
        <v>2655</v>
      </c>
      <c r="G762" s="7771" t="s">
        <v>2858</v>
      </c>
      <c r="H762" s="7771" t="s">
        <v>28</v>
      </c>
      <c r="I762" s="7771" t="s">
        <v>908</v>
      </c>
    </row>
    <row customHeight="1" ht="11.25">
      <c r="A763" s="7771" t="s">
        <v>2266</v>
      </c>
      <c r="B763" s="7771" t="s">
        <v>16</v>
      </c>
      <c r="C763" s="7771" t="s">
        <v>2859</v>
      </c>
      <c r="D763" s="7771" t="s">
        <v>2860</v>
      </c>
      <c r="E763" s="7771" t="s">
        <v>2861</v>
      </c>
      <c r="F763" s="7771" t="s">
        <v>2430</v>
      </c>
      <c r="G763" s="7771" t="s">
        <v>28</v>
      </c>
      <c r="H763" s="7771" t="s">
        <v>28</v>
      </c>
      <c r="I763" s="7771" t="s">
        <v>908</v>
      </c>
    </row>
    <row customHeight="1" ht="11.25">
      <c r="A764" s="7771" t="s">
        <v>2266</v>
      </c>
      <c r="B764" s="7771" t="s">
        <v>16</v>
      </c>
      <c r="C764" s="7771" t="s">
        <v>2865</v>
      </c>
      <c r="D764" s="7771" t="s">
        <v>2866</v>
      </c>
      <c r="E764" s="7771" t="s">
        <v>2867</v>
      </c>
      <c r="F764" s="7771" t="s">
        <v>2285</v>
      </c>
      <c r="G764" s="7771" t="s">
        <v>28</v>
      </c>
      <c r="H764" s="7771" t="s">
        <v>28</v>
      </c>
      <c r="I764" s="7771" t="s">
        <v>908</v>
      </c>
    </row>
    <row customHeight="1" ht="11.25">
      <c r="A765" s="7771" t="s">
        <v>2266</v>
      </c>
      <c r="B765" s="7771" t="s">
        <v>16</v>
      </c>
      <c r="C765" s="7771" t="s">
        <v>2868</v>
      </c>
      <c r="D765" s="7771" t="s">
        <v>2869</v>
      </c>
      <c r="E765" s="7771" t="s">
        <v>2870</v>
      </c>
      <c r="F765" s="7771" t="s">
        <v>2829</v>
      </c>
      <c r="G765" s="7771" t="s">
        <v>2871</v>
      </c>
      <c r="H765" s="7771" t="s">
        <v>28</v>
      </c>
      <c r="I765" s="7771" t="s">
        <v>908</v>
      </c>
    </row>
    <row customHeight="1" ht="11.25">
      <c r="A766" s="7771" t="s">
        <v>2266</v>
      </c>
      <c r="B766" s="7771" t="s">
        <v>16</v>
      </c>
      <c r="C766" s="7771" t="s">
        <v>2876</v>
      </c>
      <c r="D766" s="7771" t="s">
        <v>2877</v>
      </c>
      <c r="E766" s="7771" t="s">
        <v>2878</v>
      </c>
      <c r="F766" s="7771" t="s">
        <v>2377</v>
      </c>
      <c r="G766" s="7771" t="s">
        <v>2386</v>
      </c>
      <c r="H766" s="7771" t="s">
        <v>28</v>
      </c>
      <c r="I766" s="7771" t="s">
        <v>908</v>
      </c>
    </row>
    <row customHeight="1" ht="11.25">
      <c r="A767" s="7771" t="s">
        <v>2266</v>
      </c>
      <c r="B767" s="7771" t="s">
        <v>16</v>
      </c>
      <c r="C767" s="7771" t="s">
        <v>2879</v>
      </c>
      <c r="D767" s="7771" t="s">
        <v>2880</v>
      </c>
      <c r="E767" s="7771" t="s">
        <v>2881</v>
      </c>
      <c r="F767" s="7771" t="s">
        <v>2882</v>
      </c>
      <c r="G767" s="7771" t="s">
        <v>2883</v>
      </c>
      <c r="H767" s="7771" t="s">
        <v>28</v>
      </c>
      <c r="I767" s="7771" t="s">
        <v>908</v>
      </c>
    </row>
    <row customHeight="1" ht="11.25">
      <c r="A768" s="7771" t="s">
        <v>2266</v>
      </c>
      <c r="B768" s="7771" t="s">
        <v>16</v>
      </c>
      <c r="C768" s="7771" t="s">
        <v>2884</v>
      </c>
      <c r="D768" s="7771" t="s">
        <v>2885</v>
      </c>
      <c r="E768" s="7771" t="s">
        <v>2886</v>
      </c>
      <c r="F768" s="7771" t="s">
        <v>2441</v>
      </c>
      <c r="G768" s="7771" t="s">
        <v>28</v>
      </c>
      <c r="H768" s="7771" t="s">
        <v>28</v>
      </c>
      <c r="I768" s="7771" t="s">
        <v>908</v>
      </c>
    </row>
    <row customHeight="1" ht="11.25">
      <c r="A769" s="7771" t="s">
        <v>2266</v>
      </c>
      <c r="B769" s="7771" t="s">
        <v>16</v>
      </c>
      <c r="C769" s="7771" t="s">
        <v>2887</v>
      </c>
      <c r="D769" s="7771" t="s">
        <v>2888</v>
      </c>
      <c r="E769" s="7771" t="s">
        <v>2889</v>
      </c>
      <c r="F769" s="7771" t="s">
        <v>2412</v>
      </c>
      <c r="G769" s="7771" t="s">
        <v>2890</v>
      </c>
      <c r="H769" s="7771" t="s">
        <v>28</v>
      </c>
      <c r="I769" s="7771" t="s">
        <v>908</v>
      </c>
    </row>
    <row customHeight="1" ht="11.25">
      <c r="A770" s="7771" t="s">
        <v>2266</v>
      </c>
      <c r="B770" s="7771" t="s">
        <v>16</v>
      </c>
      <c r="C770" s="7771" t="s">
        <v>2891</v>
      </c>
      <c r="D770" s="7771" t="s">
        <v>2892</v>
      </c>
      <c r="E770" s="7771" t="s">
        <v>2893</v>
      </c>
      <c r="F770" s="7771" t="s">
        <v>2894</v>
      </c>
      <c r="G770" s="7771" t="s">
        <v>2895</v>
      </c>
      <c r="H770" s="7771" t="s">
        <v>28</v>
      </c>
      <c r="I770" s="7771" t="s">
        <v>908</v>
      </c>
    </row>
    <row customHeight="1" ht="11.25">
      <c r="A771" s="7771" t="s">
        <v>2266</v>
      </c>
      <c r="B771" s="7771" t="s">
        <v>16</v>
      </c>
      <c r="C771" s="7771" t="s">
        <v>2896</v>
      </c>
      <c r="D771" s="7771" t="s">
        <v>2897</v>
      </c>
      <c r="E771" s="7771" t="s">
        <v>2898</v>
      </c>
      <c r="F771" s="7771" t="s">
        <v>2425</v>
      </c>
      <c r="G771" s="7771" t="s">
        <v>2899</v>
      </c>
      <c r="H771" s="7771" t="s">
        <v>28</v>
      </c>
      <c r="I771" s="7771" t="s">
        <v>908</v>
      </c>
    </row>
    <row customHeight="1" ht="11.25">
      <c r="A772" s="7771" t="s">
        <v>2266</v>
      </c>
      <c r="B772" s="7771" t="s">
        <v>16</v>
      </c>
      <c r="C772" s="7771" t="s">
        <v>2903</v>
      </c>
      <c r="D772" s="7771" t="s">
        <v>2904</v>
      </c>
      <c r="E772" s="7771" t="s">
        <v>2905</v>
      </c>
      <c r="F772" s="7771" t="s">
        <v>2385</v>
      </c>
      <c r="G772" s="7771" t="s">
        <v>2906</v>
      </c>
      <c r="H772" s="7771" t="s">
        <v>28</v>
      </c>
      <c r="I772" s="7771" t="s">
        <v>908</v>
      </c>
    </row>
    <row customHeight="1" ht="11.25">
      <c r="A773" s="7771" t="s">
        <v>2266</v>
      </c>
      <c r="B773" s="7771" t="s">
        <v>16</v>
      </c>
      <c r="C773" s="7771" t="s">
        <v>2907</v>
      </c>
      <c r="D773" s="7771" t="s">
        <v>2908</v>
      </c>
      <c r="E773" s="7771" t="s">
        <v>2909</v>
      </c>
      <c r="F773" s="7771" t="s">
        <v>2451</v>
      </c>
      <c r="G773" s="7771" t="s">
        <v>2910</v>
      </c>
      <c r="H773" s="7771" t="s">
        <v>28</v>
      </c>
      <c r="I773" s="7771" t="s">
        <v>908</v>
      </c>
    </row>
    <row customHeight="1" ht="11.25">
      <c r="A774" s="7771" t="s">
        <v>2266</v>
      </c>
      <c r="B774" s="7771" t="s">
        <v>16</v>
      </c>
      <c r="C774" s="7771" t="s">
        <v>2911</v>
      </c>
      <c r="D774" s="7771" t="s">
        <v>2912</v>
      </c>
      <c r="E774" s="7771" t="s">
        <v>2913</v>
      </c>
      <c r="F774" s="7771" t="s">
        <v>2914</v>
      </c>
      <c r="G774" s="7771" t="s">
        <v>2915</v>
      </c>
      <c r="H774" s="7771" t="s">
        <v>28</v>
      </c>
      <c r="I774" s="7771" t="s">
        <v>908</v>
      </c>
    </row>
    <row customHeight="1" ht="11.25">
      <c r="A775" s="7771" t="s">
        <v>2266</v>
      </c>
      <c r="B775" s="7771" t="s">
        <v>16</v>
      </c>
      <c r="C775" s="7771" t="s">
        <v>2918</v>
      </c>
      <c r="D775" s="7771" t="s">
        <v>2919</v>
      </c>
      <c r="E775" s="7771" t="s">
        <v>2920</v>
      </c>
      <c r="F775" s="7771" t="s">
        <v>2921</v>
      </c>
      <c r="G775" s="7771" t="s">
        <v>2922</v>
      </c>
      <c r="H775" s="7771" t="s">
        <v>28</v>
      </c>
      <c r="I775" s="7771" t="s">
        <v>908</v>
      </c>
    </row>
    <row customHeight="1" ht="11.25">
      <c r="A776" s="7771" t="s">
        <v>2266</v>
      </c>
      <c r="B776" s="7771" t="s">
        <v>16</v>
      </c>
      <c r="C776" s="7771" t="s">
        <v>2923</v>
      </c>
      <c r="D776" s="7771" t="s">
        <v>2924</v>
      </c>
      <c r="E776" s="7771" t="s">
        <v>2925</v>
      </c>
      <c r="F776" s="7771" t="s">
        <v>2430</v>
      </c>
      <c r="G776" s="7771" t="s">
        <v>28</v>
      </c>
      <c r="H776" s="7771" t="s">
        <v>28</v>
      </c>
      <c r="I776" s="7771" t="s">
        <v>908</v>
      </c>
    </row>
    <row customHeight="1" ht="11.25">
      <c r="A777" s="7771" t="s">
        <v>2266</v>
      </c>
      <c r="B777" s="7771" t="s">
        <v>16</v>
      </c>
      <c r="C777" s="7771" t="s">
        <v>2930</v>
      </c>
      <c r="D777" s="7771" t="s">
        <v>2931</v>
      </c>
      <c r="E777" s="7771" t="s">
        <v>2932</v>
      </c>
      <c r="F777" s="7771" t="s">
        <v>2933</v>
      </c>
      <c r="G777" s="7771" t="s">
        <v>28</v>
      </c>
      <c r="H777" s="7771" t="s">
        <v>28</v>
      </c>
      <c r="I777" s="7771" t="s">
        <v>908</v>
      </c>
    </row>
    <row customHeight="1" ht="11.25">
      <c r="A778" s="7771" t="s">
        <v>2266</v>
      </c>
      <c r="B778" s="7771" t="s">
        <v>16</v>
      </c>
      <c r="C778" s="7771" t="s">
        <v>2934</v>
      </c>
      <c r="D778" s="7771" t="s">
        <v>2935</v>
      </c>
      <c r="E778" s="7771" t="s">
        <v>2936</v>
      </c>
      <c r="F778" s="7771" t="s">
        <v>2629</v>
      </c>
      <c r="G778" s="7771" t="s">
        <v>2937</v>
      </c>
      <c r="H778" s="7771" t="s">
        <v>28</v>
      </c>
      <c r="I778" s="7771" t="s">
        <v>908</v>
      </c>
    </row>
    <row customHeight="1" ht="11.25">
      <c r="A779" s="7771" t="s">
        <v>2266</v>
      </c>
      <c r="B779" s="7771" t="s">
        <v>16</v>
      </c>
      <c r="C779" s="7771" t="s">
        <v>2949</v>
      </c>
      <c r="D779" s="7771" t="s">
        <v>2950</v>
      </c>
      <c r="E779" s="7771" t="s">
        <v>2951</v>
      </c>
      <c r="F779" s="7771" t="s">
        <v>2952</v>
      </c>
      <c r="G779" s="7771" t="s">
        <v>28</v>
      </c>
      <c r="H779" s="7771" t="s">
        <v>28</v>
      </c>
      <c r="I779" s="7771" t="s">
        <v>908</v>
      </c>
    </row>
    <row customHeight="1" ht="11.25">
      <c r="A780" s="7771" t="s">
        <v>2266</v>
      </c>
      <c r="B780" s="7771" t="s">
        <v>16</v>
      </c>
      <c r="C780" s="7771" t="s">
        <v>4783</v>
      </c>
      <c r="D780" s="7771" t="s">
        <v>4784</v>
      </c>
      <c r="E780" s="7771" t="s">
        <v>4785</v>
      </c>
      <c r="F780" s="7771" t="s">
        <v>2290</v>
      </c>
      <c r="G780" s="7771" t="s">
        <v>28</v>
      </c>
      <c r="H780" s="7771" t="s">
        <v>28</v>
      </c>
      <c r="I780" s="7771" t="s">
        <v>908</v>
      </c>
    </row>
    <row customHeight="1" ht="11.25">
      <c r="A781" s="7771" t="s">
        <v>2266</v>
      </c>
      <c r="B781" s="7771" t="s">
        <v>16</v>
      </c>
      <c r="C781" s="7771" t="s">
        <v>2960</v>
      </c>
      <c r="D781" s="7771" t="s">
        <v>2961</v>
      </c>
      <c r="E781" s="7771" t="s">
        <v>2962</v>
      </c>
      <c r="F781" s="7771" t="s">
        <v>2813</v>
      </c>
      <c r="G781" s="7771" t="s">
        <v>2963</v>
      </c>
      <c r="H781" s="7771" t="s">
        <v>28</v>
      </c>
      <c r="I781" s="7771" t="s">
        <v>908</v>
      </c>
    </row>
    <row customHeight="1" ht="11.25">
      <c r="A782" s="7771" t="s">
        <v>2266</v>
      </c>
      <c r="B782" s="7771" t="s">
        <v>16</v>
      </c>
      <c r="C782" s="7771" t="s">
        <v>2964</v>
      </c>
      <c r="D782" s="7771" t="s">
        <v>2965</v>
      </c>
      <c r="E782" s="7771" t="s">
        <v>2966</v>
      </c>
      <c r="F782" s="7771" t="s">
        <v>2280</v>
      </c>
      <c r="G782" s="7771" t="s">
        <v>2967</v>
      </c>
      <c r="H782" s="7771" t="s">
        <v>28</v>
      </c>
      <c r="I782" s="7771" t="s">
        <v>908</v>
      </c>
    </row>
    <row customHeight="1" ht="11.25">
      <c r="A783" s="7771" t="s">
        <v>2266</v>
      </c>
      <c r="B783" s="7771" t="s">
        <v>16</v>
      </c>
      <c r="C783" s="7771" t="s">
        <v>2971</v>
      </c>
      <c r="D783" s="7771" t="s">
        <v>2972</v>
      </c>
      <c r="E783" s="7771" t="s">
        <v>2973</v>
      </c>
      <c r="F783" s="7771" t="s">
        <v>2629</v>
      </c>
      <c r="G783" s="7771" t="s">
        <v>2974</v>
      </c>
      <c r="H783" s="7771" t="s">
        <v>28</v>
      </c>
      <c r="I783" s="7771" t="s">
        <v>908</v>
      </c>
    </row>
    <row customHeight="1" ht="11.25">
      <c r="A784" s="7771" t="s">
        <v>2266</v>
      </c>
      <c r="B784" s="7771" t="s">
        <v>16</v>
      </c>
      <c r="C784" s="7771" t="s">
        <v>2975</v>
      </c>
      <c r="D784" s="7771" t="s">
        <v>2976</v>
      </c>
      <c r="E784" s="7771" t="s">
        <v>2977</v>
      </c>
      <c r="F784" s="7771" t="s">
        <v>2468</v>
      </c>
      <c r="G784" s="7771" t="s">
        <v>28</v>
      </c>
      <c r="H784" s="7771" t="s">
        <v>28</v>
      </c>
      <c r="I784" s="7771" t="s">
        <v>908</v>
      </c>
    </row>
    <row customHeight="1" ht="11.25">
      <c r="A785" s="7771" t="s">
        <v>2266</v>
      </c>
      <c r="B785" s="7771" t="s">
        <v>16</v>
      </c>
      <c r="C785" s="7771" t="s">
        <v>2985</v>
      </c>
      <c r="D785" s="7771" t="s">
        <v>2986</v>
      </c>
      <c r="E785" s="7771" t="s">
        <v>2987</v>
      </c>
      <c r="F785" s="7771" t="s">
        <v>2988</v>
      </c>
      <c r="G785" s="7771" t="s">
        <v>2989</v>
      </c>
      <c r="H785" s="7771" t="s">
        <v>28</v>
      </c>
      <c r="I785" s="7771" t="s">
        <v>908</v>
      </c>
    </row>
    <row customHeight="1" ht="11.25">
      <c r="A786" s="7771" t="s">
        <v>2266</v>
      </c>
      <c r="B786" s="7771" t="s">
        <v>16</v>
      </c>
      <c r="C786" s="7771" t="s">
        <v>2990</v>
      </c>
      <c r="D786" s="7771" t="s">
        <v>2991</v>
      </c>
      <c r="E786" s="7771" t="s">
        <v>2992</v>
      </c>
      <c r="F786" s="7771" t="s">
        <v>2372</v>
      </c>
      <c r="G786" s="7771" t="s">
        <v>2993</v>
      </c>
      <c r="H786" s="7771" t="s">
        <v>28</v>
      </c>
      <c r="I786" s="7771" t="s">
        <v>908</v>
      </c>
    </row>
    <row customHeight="1" ht="11.25">
      <c r="A787" s="7771" t="s">
        <v>2266</v>
      </c>
      <c r="B787" s="7771" t="s">
        <v>16</v>
      </c>
      <c r="C787" s="7771" t="s">
        <v>3003</v>
      </c>
      <c r="D787" s="7771" t="s">
        <v>3004</v>
      </c>
      <c r="E787" s="7771" t="s">
        <v>3005</v>
      </c>
      <c r="F787" s="7771" t="s">
        <v>590</v>
      </c>
      <c r="G787" s="7771" t="s">
        <v>3006</v>
      </c>
      <c r="H787" s="7771" t="s">
        <v>28</v>
      </c>
      <c r="I787" s="7771" t="s">
        <v>908</v>
      </c>
    </row>
    <row customHeight="1" ht="11.25">
      <c r="A788" s="7771" t="s">
        <v>2266</v>
      </c>
      <c r="B788" s="7771" t="s">
        <v>16</v>
      </c>
      <c r="C788" s="7771" t="s">
        <v>28</v>
      </c>
      <c r="D788" s="7771" t="s">
        <v>3011</v>
      </c>
      <c r="E788" s="7771" t="s">
        <v>3012</v>
      </c>
      <c r="F788" s="7771" t="s">
        <v>2285</v>
      </c>
      <c r="G788" s="7771" t="s">
        <v>28</v>
      </c>
      <c r="H788" s="7771" t="s">
        <v>28</v>
      </c>
      <c r="I788" s="7771" t="s">
        <v>908</v>
      </c>
    </row>
    <row customHeight="1" ht="11.25">
      <c r="A789" s="7771" t="s">
        <v>2266</v>
      </c>
      <c r="B789" s="7771" t="s">
        <v>16</v>
      </c>
      <c r="C789" s="7771" t="s">
        <v>3013</v>
      </c>
      <c r="D789" s="7771" t="s">
        <v>3014</v>
      </c>
      <c r="E789" s="7771" t="s">
        <v>3015</v>
      </c>
      <c r="F789" s="7771" t="s">
        <v>3016</v>
      </c>
      <c r="G789" s="7771" t="s">
        <v>3017</v>
      </c>
      <c r="H789" s="7771" t="s">
        <v>28</v>
      </c>
      <c r="I789" s="7771" t="s">
        <v>908</v>
      </c>
    </row>
    <row customHeight="1" ht="11.25">
      <c r="A790" s="7771" t="s">
        <v>2266</v>
      </c>
      <c r="B790" s="7771" t="s">
        <v>16</v>
      </c>
      <c r="C790" s="7771" t="s">
        <v>3018</v>
      </c>
      <c r="D790" s="7771" t="s">
        <v>3019</v>
      </c>
      <c r="E790" s="7771" t="s">
        <v>3020</v>
      </c>
      <c r="F790" s="7771" t="s">
        <v>2377</v>
      </c>
      <c r="G790" s="7771" t="s">
        <v>28</v>
      </c>
      <c r="H790" s="7771" t="s">
        <v>28</v>
      </c>
      <c r="I790" s="7771" t="s">
        <v>908</v>
      </c>
    </row>
    <row customHeight="1" ht="11.25">
      <c r="A791" s="7771" t="s">
        <v>2266</v>
      </c>
      <c r="B791" s="7771" t="s">
        <v>16</v>
      </c>
      <c r="C791" s="7771" t="s">
        <v>3024</v>
      </c>
      <c r="D791" s="7771" t="s">
        <v>3025</v>
      </c>
      <c r="E791" s="7771" t="s">
        <v>3026</v>
      </c>
      <c r="F791" s="7771" t="s">
        <v>3027</v>
      </c>
      <c r="G791" s="7771" t="s">
        <v>3028</v>
      </c>
      <c r="H791" s="7771" t="s">
        <v>28</v>
      </c>
      <c r="I791" s="7771" t="s">
        <v>908</v>
      </c>
    </row>
    <row customHeight="1" ht="11.25">
      <c r="A792" s="7771" t="s">
        <v>2266</v>
      </c>
      <c r="B792" s="7771" t="s">
        <v>16</v>
      </c>
      <c r="C792" s="7771" t="s">
        <v>3029</v>
      </c>
      <c r="D792" s="7771" t="s">
        <v>3030</v>
      </c>
      <c r="E792" s="7771" t="s">
        <v>3031</v>
      </c>
      <c r="F792" s="7771" t="s">
        <v>2441</v>
      </c>
      <c r="G792" s="7771" t="s">
        <v>3032</v>
      </c>
      <c r="H792" s="7771" t="s">
        <v>28</v>
      </c>
      <c r="I792" s="7771" t="s">
        <v>908</v>
      </c>
    </row>
    <row customHeight="1" ht="11.25">
      <c r="A793" s="7771" t="s">
        <v>2266</v>
      </c>
      <c r="B793" s="7771" t="s">
        <v>16</v>
      </c>
      <c r="C793" s="7771" t="s">
        <v>3033</v>
      </c>
      <c r="D793" s="7771" t="s">
        <v>3034</v>
      </c>
      <c r="E793" s="7771" t="s">
        <v>3035</v>
      </c>
      <c r="F793" s="7771" t="s">
        <v>3036</v>
      </c>
      <c r="G793" s="7771" t="s">
        <v>28</v>
      </c>
      <c r="H793" s="7771" t="s">
        <v>28</v>
      </c>
      <c r="I793" s="7771" t="s">
        <v>908</v>
      </c>
    </row>
    <row customHeight="1" ht="11.25">
      <c r="A794" s="7771" t="s">
        <v>2266</v>
      </c>
      <c r="B794" s="7771" t="s">
        <v>16</v>
      </c>
      <c r="C794" s="7771" t="s">
        <v>3037</v>
      </c>
      <c r="D794" s="7771" t="s">
        <v>3038</v>
      </c>
      <c r="E794" s="7771" t="s">
        <v>3039</v>
      </c>
      <c r="F794" s="7771" t="s">
        <v>2829</v>
      </c>
      <c r="G794" s="7771" t="s">
        <v>3040</v>
      </c>
      <c r="H794" s="7771" t="s">
        <v>28</v>
      </c>
      <c r="I794" s="7771" t="s">
        <v>908</v>
      </c>
    </row>
    <row customHeight="1" ht="11.25">
      <c r="A795" s="7771" t="s">
        <v>2266</v>
      </c>
      <c r="B795" s="7771" t="s">
        <v>16</v>
      </c>
      <c r="C795" s="7771" t="s">
        <v>3041</v>
      </c>
      <c r="D795" s="7771" t="s">
        <v>3042</v>
      </c>
      <c r="E795" s="7771" t="s">
        <v>3043</v>
      </c>
      <c r="F795" s="7771" t="s">
        <v>2981</v>
      </c>
      <c r="G795" s="7771" t="s">
        <v>28</v>
      </c>
      <c r="H795" s="7771" t="s">
        <v>28</v>
      </c>
      <c r="I795" s="7771" t="s">
        <v>908</v>
      </c>
    </row>
    <row customHeight="1" ht="11.25">
      <c r="A796" s="7771" t="s">
        <v>2266</v>
      </c>
      <c r="B796" s="7771" t="s">
        <v>16</v>
      </c>
      <c r="C796" s="7771" t="s">
        <v>3044</v>
      </c>
      <c r="D796" s="7771" t="s">
        <v>3045</v>
      </c>
      <c r="E796" s="7771" t="s">
        <v>3046</v>
      </c>
      <c r="F796" s="7771" t="s">
        <v>2360</v>
      </c>
      <c r="G796" s="7771" t="s">
        <v>3047</v>
      </c>
      <c r="H796" s="7771" t="s">
        <v>28</v>
      </c>
      <c r="I796" s="7771" t="s">
        <v>908</v>
      </c>
    </row>
    <row customHeight="1" ht="11.25">
      <c r="A797" s="7771" t="s">
        <v>2266</v>
      </c>
      <c r="B797" s="7771" t="s">
        <v>16</v>
      </c>
      <c r="C797" s="7771" t="s">
        <v>3048</v>
      </c>
      <c r="D797" s="7771" t="s">
        <v>3049</v>
      </c>
      <c r="E797" s="7771" t="s">
        <v>3050</v>
      </c>
      <c r="F797" s="7771" t="s">
        <v>2451</v>
      </c>
      <c r="G797" s="7771" t="s">
        <v>3051</v>
      </c>
      <c r="H797" s="7771" t="s">
        <v>28</v>
      </c>
      <c r="I797" s="7771" t="s">
        <v>908</v>
      </c>
    </row>
    <row customHeight="1" ht="11.25">
      <c r="A798" s="7771" t="s">
        <v>2266</v>
      </c>
      <c r="B798" s="7771" t="s">
        <v>16</v>
      </c>
      <c r="C798" s="7771" t="s">
        <v>3052</v>
      </c>
      <c r="D798" s="7771" t="s">
        <v>3053</v>
      </c>
      <c r="E798" s="7771" t="s">
        <v>3054</v>
      </c>
      <c r="F798" s="7771" t="s">
        <v>2592</v>
      </c>
      <c r="G798" s="7771" t="s">
        <v>3055</v>
      </c>
      <c r="H798" s="7771" t="s">
        <v>28</v>
      </c>
      <c r="I798" s="7771" t="s">
        <v>908</v>
      </c>
    </row>
    <row customHeight="1" ht="11.25">
      <c r="A799" s="7771" t="s">
        <v>2266</v>
      </c>
      <c r="B799" s="7771" t="s">
        <v>16</v>
      </c>
      <c r="C799" s="7771" t="s">
        <v>3056</v>
      </c>
      <c r="D799" s="7771" t="s">
        <v>3057</v>
      </c>
      <c r="E799" s="7771" t="s">
        <v>3058</v>
      </c>
      <c r="F799" s="7771" t="s">
        <v>2360</v>
      </c>
      <c r="G799" s="7771" t="s">
        <v>28</v>
      </c>
      <c r="H799" s="7771" t="s">
        <v>28</v>
      </c>
      <c r="I799" s="7771" t="s">
        <v>908</v>
      </c>
    </row>
    <row customHeight="1" ht="11.25">
      <c r="A800" s="7771" t="s">
        <v>2266</v>
      </c>
      <c r="B800" s="7771" t="s">
        <v>16</v>
      </c>
      <c r="C800" s="7771" t="s">
        <v>3059</v>
      </c>
      <c r="D800" s="7771" t="s">
        <v>3060</v>
      </c>
      <c r="E800" s="7771" t="s">
        <v>3061</v>
      </c>
      <c r="F800" s="7771" t="s">
        <v>2360</v>
      </c>
      <c r="G800" s="7771" t="s">
        <v>3062</v>
      </c>
      <c r="H800" s="7771" t="s">
        <v>28</v>
      </c>
      <c r="I800" s="7771" t="s">
        <v>908</v>
      </c>
    </row>
    <row customHeight="1" ht="11.25">
      <c r="A801" s="7771" t="s">
        <v>2266</v>
      </c>
      <c r="B801" s="7771" t="s">
        <v>16</v>
      </c>
      <c r="C801" s="7771" t="s">
        <v>3063</v>
      </c>
      <c r="D801" s="7771" t="s">
        <v>3064</v>
      </c>
      <c r="E801" s="7771" t="s">
        <v>3065</v>
      </c>
      <c r="F801" s="7771" t="s">
        <v>3066</v>
      </c>
      <c r="G801" s="7771" t="s">
        <v>28</v>
      </c>
      <c r="H801" s="7771" t="s">
        <v>28</v>
      </c>
      <c r="I801" s="7771" t="s">
        <v>908</v>
      </c>
    </row>
    <row customHeight="1" ht="11.25">
      <c r="A802" s="7771" t="s">
        <v>2266</v>
      </c>
      <c r="B802" s="7771" t="s">
        <v>16</v>
      </c>
      <c r="C802" s="7771" t="s">
        <v>3067</v>
      </c>
      <c r="D802" s="7771" t="s">
        <v>3068</v>
      </c>
      <c r="E802" s="7771" t="s">
        <v>3069</v>
      </c>
      <c r="F802" s="7771" t="s">
        <v>2451</v>
      </c>
      <c r="G802" s="7771" t="s">
        <v>2825</v>
      </c>
      <c r="H802" s="7771" t="s">
        <v>28</v>
      </c>
      <c r="I802" s="7771" t="s">
        <v>908</v>
      </c>
    </row>
    <row customHeight="1" ht="11.25">
      <c r="A803" s="7771" t="s">
        <v>2266</v>
      </c>
      <c r="B803" s="7771" t="s">
        <v>16</v>
      </c>
      <c r="C803" s="7771" t="s">
        <v>3070</v>
      </c>
      <c r="D803" s="7771" t="s">
        <v>3071</v>
      </c>
      <c r="E803" s="7771" t="s">
        <v>3072</v>
      </c>
      <c r="F803" s="7771" t="s">
        <v>2473</v>
      </c>
      <c r="G803" s="7771" t="s">
        <v>3073</v>
      </c>
      <c r="H803" s="7771" t="s">
        <v>28</v>
      </c>
      <c r="I803" s="7771" t="s">
        <v>908</v>
      </c>
    </row>
    <row customHeight="1" ht="11.25">
      <c r="A804" s="7771" t="s">
        <v>2266</v>
      </c>
      <c r="B804" s="7771" t="s">
        <v>16</v>
      </c>
      <c r="C804" s="7771" t="s">
        <v>3074</v>
      </c>
      <c r="D804" s="7771" t="s">
        <v>3075</v>
      </c>
      <c r="E804" s="7771" t="s">
        <v>3076</v>
      </c>
      <c r="F804" s="7771" t="s">
        <v>2330</v>
      </c>
      <c r="G804" s="7771" t="s">
        <v>3077</v>
      </c>
      <c r="H804" s="7771" t="s">
        <v>28</v>
      </c>
      <c r="I804" s="7771" t="s">
        <v>908</v>
      </c>
    </row>
    <row customHeight="1" ht="11.25">
      <c r="A805" s="7771" t="s">
        <v>2266</v>
      </c>
      <c r="B805" s="7771" t="s">
        <v>16</v>
      </c>
      <c r="C805" s="7771" t="s">
        <v>3078</v>
      </c>
      <c r="D805" s="7771" t="s">
        <v>3079</v>
      </c>
      <c r="E805" s="7771" t="s">
        <v>3080</v>
      </c>
      <c r="F805" s="7771" t="s">
        <v>2280</v>
      </c>
      <c r="G805" s="7771" t="s">
        <v>3081</v>
      </c>
      <c r="H805" s="7771" t="s">
        <v>28</v>
      </c>
      <c r="I805" s="7771" t="s">
        <v>908</v>
      </c>
    </row>
    <row customHeight="1" ht="11.25">
      <c r="A806" s="7771" t="s">
        <v>2266</v>
      </c>
      <c r="B806" s="7771" t="s">
        <v>16</v>
      </c>
      <c r="C806" s="7771" t="s">
        <v>3082</v>
      </c>
      <c r="D806" s="7771" t="s">
        <v>3083</v>
      </c>
      <c r="E806" s="7771" t="s">
        <v>3084</v>
      </c>
      <c r="F806" s="7771" t="s">
        <v>2280</v>
      </c>
      <c r="G806" s="7771" t="s">
        <v>28</v>
      </c>
      <c r="H806" s="7771" t="s">
        <v>28</v>
      </c>
      <c r="I806" s="7771" t="s">
        <v>908</v>
      </c>
    </row>
    <row customHeight="1" ht="11.25">
      <c r="A807" s="7771" t="s">
        <v>2266</v>
      </c>
      <c r="B807" s="7771" t="s">
        <v>16</v>
      </c>
      <c r="C807" s="7771" t="s">
        <v>3085</v>
      </c>
      <c r="D807" s="7771" t="s">
        <v>3086</v>
      </c>
      <c r="E807" s="7771" t="s">
        <v>3087</v>
      </c>
      <c r="F807" s="7771" t="s">
        <v>2468</v>
      </c>
      <c r="G807" s="7771" t="s">
        <v>3088</v>
      </c>
      <c r="H807" s="7771" t="s">
        <v>28</v>
      </c>
      <c r="I807" s="7771" t="s">
        <v>908</v>
      </c>
    </row>
    <row customHeight="1" ht="11.25">
      <c r="A808" s="7771" t="s">
        <v>2266</v>
      </c>
      <c r="B808" s="7771" t="s">
        <v>16</v>
      </c>
      <c r="C808" s="7771" t="s">
        <v>3089</v>
      </c>
      <c r="D808" s="7771" t="s">
        <v>3090</v>
      </c>
      <c r="E808" s="7771" t="s">
        <v>3091</v>
      </c>
      <c r="F808" s="7771" t="s">
        <v>2425</v>
      </c>
      <c r="G808" s="7771" t="s">
        <v>3092</v>
      </c>
      <c r="H808" s="7771" t="s">
        <v>28</v>
      </c>
      <c r="I808" s="7771" t="s">
        <v>908</v>
      </c>
    </row>
    <row customHeight="1" ht="11.25">
      <c r="A809" s="7771" t="s">
        <v>2266</v>
      </c>
      <c r="B809" s="7771" t="s">
        <v>16</v>
      </c>
      <c r="C809" s="7771" t="s">
        <v>3093</v>
      </c>
      <c r="D809" s="7771" t="s">
        <v>3094</v>
      </c>
      <c r="E809" s="7771" t="s">
        <v>3095</v>
      </c>
      <c r="F809" s="7771" t="s">
        <v>2412</v>
      </c>
      <c r="G809" s="7771" t="s">
        <v>3096</v>
      </c>
      <c r="H809" s="7771" t="s">
        <v>28</v>
      </c>
      <c r="I809" s="7771" t="s">
        <v>908</v>
      </c>
    </row>
    <row customHeight="1" ht="11.25">
      <c r="A810" s="7771" t="s">
        <v>2266</v>
      </c>
      <c r="B810" s="7771" t="s">
        <v>16</v>
      </c>
      <c r="C810" s="7771" t="s">
        <v>4786</v>
      </c>
      <c r="D810" s="7771" t="s">
        <v>4787</v>
      </c>
      <c r="E810" s="7771" t="s">
        <v>4788</v>
      </c>
      <c r="F810" s="7771" t="s">
        <v>2642</v>
      </c>
      <c r="G810" s="7771" t="s">
        <v>4789</v>
      </c>
      <c r="H810" s="7771" t="s">
        <v>28</v>
      </c>
      <c r="I810" s="7771" t="s">
        <v>908</v>
      </c>
    </row>
    <row customHeight="1" ht="11.25">
      <c r="A811" s="7771" t="s">
        <v>2266</v>
      </c>
      <c r="B811" s="7771" t="s">
        <v>16</v>
      </c>
      <c r="C811" s="7771" t="s">
        <v>3100</v>
      </c>
      <c r="D811" s="7771" t="s">
        <v>3101</v>
      </c>
      <c r="E811" s="7771" t="s">
        <v>3102</v>
      </c>
      <c r="F811" s="7771" t="s">
        <v>2372</v>
      </c>
      <c r="G811" s="7771" t="s">
        <v>3103</v>
      </c>
      <c r="H811" s="7771" t="s">
        <v>28</v>
      </c>
      <c r="I811" s="7771" t="s">
        <v>908</v>
      </c>
    </row>
    <row customHeight="1" ht="11.25">
      <c r="A812" s="7771" t="s">
        <v>2266</v>
      </c>
      <c r="B812" s="7771" t="s">
        <v>16</v>
      </c>
      <c r="C812" s="7771" t="s">
        <v>3104</v>
      </c>
      <c r="D812" s="7771" t="s">
        <v>3105</v>
      </c>
      <c r="E812" s="7771" t="s">
        <v>3106</v>
      </c>
      <c r="F812" s="7771" t="s">
        <v>2347</v>
      </c>
      <c r="G812" s="7771" t="s">
        <v>3107</v>
      </c>
      <c r="H812" s="7771" t="s">
        <v>28</v>
      </c>
      <c r="I812" s="7771" t="s">
        <v>908</v>
      </c>
    </row>
    <row customHeight="1" ht="11.25">
      <c r="A813" s="7771" t="s">
        <v>2266</v>
      </c>
      <c r="B813" s="7771" t="s">
        <v>16</v>
      </c>
      <c r="C813" s="7771" t="s">
        <v>3108</v>
      </c>
      <c r="D813" s="7771" t="s">
        <v>3109</v>
      </c>
      <c r="E813" s="7771" t="s">
        <v>3110</v>
      </c>
      <c r="F813" s="7771" t="s">
        <v>3111</v>
      </c>
      <c r="G813" s="7771" t="s">
        <v>3112</v>
      </c>
      <c r="H813" s="7771" t="s">
        <v>28</v>
      </c>
      <c r="I813" s="7771" t="s">
        <v>908</v>
      </c>
    </row>
    <row customHeight="1" ht="11.25">
      <c r="A814" s="7771" t="s">
        <v>2266</v>
      </c>
      <c r="B814" s="7771" t="s">
        <v>16</v>
      </c>
      <c r="C814" s="7771" t="s">
        <v>3113</v>
      </c>
      <c r="D814" s="7771" t="s">
        <v>3114</v>
      </c>
      <c r="E814" s="7771" t="s">
        <v>3115</v>
      </c>
      <c r="F814" s="7771" t="s">
        <v>2280</v>
      </c>
      <c r="G814" s="7771" t="s">
        <v>3116</v>
      </c>
      <c r="H814" s="7771" t="s">
        <v>28</v>
      </c>
      <c r="I814" s="7771" t="s">
        <v>908</v>
      </c>
    </row>
    <row customHeight="1" ht="11.25">
      <c r="A815" s="7771" t="s">
        <v>2266</v>
      </c>
      <c r="B815" s="7771" t="s">
        <v>16</v>
      </c>
      <c r="C815" s="7771" t="s">
        <v>3117</v>
      </c>
      <c r="D815" s="7771" t="s">
        <v>3118</v>
      </c>
      <c r="E815" s="7771" t="s">
        <v>3119</v>
      </c>
      <c r="F815" s="7771" t="s">
        <v>3120</v>
      </c>
      <c r="G815" s="7771" t="s">
        <v>3121</v>
      </c>
      <c r="H815" s="7771" t="s">
        <v>28</v>
      </c>
      <c r="I815" s="7771" t="s">
        <v>908</v>
      </c>
    </row>
    <row customHeight="1" ht="11.25">
      <c r="A816" s="7771" t="s">
        <v>2266</v>
      </c>
      <c r="B816" s="7771" t="s">
        <v>16</v>
      </c>
      <c r="C816" s="7771" t="s">
        <v>3122</v>
      </c>
      <c r="D816" s="7771" t="s">
        <v>3123</v>
      </c>
      <c r="E816" s="7771" t="s">
        <v>3124</v>
      </c>
      <c r="F816" s="7771" t="s">
        <v>3125</v>
      </c>
      <c r="G816" s="7771" t="s">
        <v>3126</v>
      </c>
      <c r="H816" s="7771" t="s">
        <v>28</v>
      </c>
      <c r="I816" s="7771" t="s">
        <v>908</v>
      </c>
    </row>
    <row customHeight="1" ht="11.25">
      <c r="A817" s="7771" t="s">
        <v>2266</v>
      </c>
      <c r="B817" s="7771" t="s">
        <v>16</v>
      </c>
      <c r="C817" s="7771" t="s">
        <v>3127</v>
      </c>
      <c r="D817" s="7771" t="s">
        <v>3128</v>
      </c>
      <c r="E817" s="7771" t="s">
        <v>3129</v>
      </c>
      <c r="F817" s="7771" t="s">
        <v>2655</v>
      </c>
      <c r="G817" s="7771" t="s">
        <v>3130</v>
      </c>
      <c r="H817" s="7771" t="s">
        <v>28</v>
      </c>
      <c r="I817" s="7771" t="s">
        <v>908</v>
      </c>
    </row>
    <row customHeight="1" ht="11.25">
      <c r="A818" s="7771" t="s">
        <v>2266</v>
      </c>
      <c r="B818" s="7771" t="s">
        <v>16</v>
      </c>
      <c r="C818" s="7771" t="s">
        <v>3131</v>
      </c>
      <c r="D818" s="7771" t="s">
        <v>3132</v>
      </c>
      <c r="E818" s="7771" t="s">
        <v>3133</v>
      </c>
      <c r="F818" s="7771" t="s">
        <v>2377</v>
      </c>
      <c r="G818" s="7771" t="s">
        <v>3134</v>
      </c>
      <c r="H818" s="7771" t="s">
        <v>28</v>
      </c>
      <c r="I818" s="7771" t="s">
        <v>908</v>
      </c>
    </row>
    <row customHeight="1" ht="11.25">
      <c r="A819" s="7771" t="s">
        <v>2266</v>
      </c>
      <c r="B819" s="7771" t="s">
        <v>16</v>
      </c>
      <c r="C819" s="7771" t="s">
        <v>3135</v>
      </c>
      <c r="D819" s="7771" t="s">
        <v>3136</v>
      </c>
      <c r="E819" s="7771" t="s">
        <v>3137</v>
      </c>
      <c r="F819" s="7771" t="s">
        <v>2655</v>
      </c>
      <c r="G819" s="7771" t="s">
        <v>3138</v>
      </c>
      <c r="H819" s="7771" t="s">
        <v>28</v>
      </c>
      <c r="I819" s="7771" t="s">
        <v>908</v>
      </c>
    </row>
    <row customHeight="1" ht="11.25">
      <c r="A820" s="7771" t="s">
        <v>2266</v>
      </c>
      <c r="B820" s="7771" t="s">
        <v>16</v>
      </c>
      <c r="C820" s="7771" t="s">
        <v>3139</v>
      </c>
      <c r="D820" s="7771" t="s">
        <v>3140</v>
      </c>
      <c r="E820" s="7771" t="s">
        <v>3141</v>
      </c>
      <c r="F820" s="7771" t="s">
        <v>2320</v>
      </c>
      <c r="G820" s="7771" t="s">
        <v>28</v>
      </c>
      <c r="H820" s="7771" t="s">
        <v>28</v>
      </c>
      <c r="I820" s="7771" t="s">
        <v>908</v>
      </c>
    </row>
    <row customHeight="1" ht="11.25">
      <c r="A821" s="7771" t="s">
        <v>2266</v>
      </c>
      <c r="B821" s="7771" t="s">
        <v>16</v>
      </c>
      <c r="C821" s="7771" t="s">
        <v>3142</v>
      </c>
      <c r="D821" s="7771" t="s">
        <v>3143</v>
      </c>
      <c r="E821" s="7771" t="s">
        <v>3144</v>
      </c>
      <c r="F821" s="7771" t="s">
        <v>2399</v>
      </c>
      <c r="G821" s="7771" t="s">
        <v>3145</v>
      </c>
      <c r="H821" s="7771" t="s">
        <v>28</v>
      </c>
      <c r="I821" s="7771" t="s">
        <v>908</v>
      </c>
    </row>
    <row customHeight="1" ht="11.25">
      <c r="A822" s="7771" t="s">
        <v>2266</v>
      </c>
      <c r="B822" s="7771" t="s">
        <v>16</v>
      </c>
      <c r="C822" s="7771" t="s">
        <v>3146</v>
      </c>
      <c r="D822" s="7771" t="s">
        <v>3147</v>
      </c>
      <c r="E822" s="7771" t="s">
        <v>3148</v>
      </c>
      <c r="F822" s="7771" t="s">
        <v>2629</v>
      </c>
      <c r="G822" s="7771" t="s">
        <v>3149</v>
      </c>
      <c r="H822" s="7771" t="s">
        <v>28</v>
      </c>
      <c r="I822" s="7771" t="s">
        <v>908</v>
      </c>
    </row>
    <row customHeight="1" ht="11.25">
      <c r="A823" s="7771" t="s">
        <v>2266</v>
      </c>
      <c r="B823" s="7771" t="s">
        <v>16</v>
      </c>
      <c r="C823" s="7771" t="s">
        <v>3150</v>
      </c>
      <c r="D823" s="7771" t="s">
        <v>3151</v>
      </c>
      <c r="E823" s="7771" t="s">
        <v>3152</v>
      </c>
      <c r="F823" s="7771" t="s">
        <v>2412</v>
      </c>
      <c r="G823" s="7771" t="s">
        <v>3153</v>
      </c>
      <c r="H823" s="7771" t="s">
        <v>28</v>
      </c>
      <c r="I823" s="7771" t="s">
        <v>908</v>
      </c>
    </row>
    <row customHeight="1" ht="11.25">
      <c r="A824" s="7771" t="s">
        <v>2266</v>
      </c>
      <c r="B824" s="7771" t="s">
        <v>16</v>
      </c>
      <c r="C824" s="7771" t="s">
        <v>3154</v>
      </c>
      <c r="D824" s="7771" t="s">
        <v>3155</v>
      </c>
      <c r="E824" s="7771" t="s">
        <v>3156</v>
      </c>
      <c r="F824" s="7771" t="s">
        <v>3157</v>
      </c>
      <c r="G824" s="7771" t="s">
        <v>3158</v>
      </c>
      <c r="H824" s="7771" t="s">
        <v>28</v>
      </c>
      <c r="I824" s="7771" t="s">
        <v>908</v>
      </c>
    </row>
    <row customHeight="1" ht="11.25">
      <c r="A825" s="7771" t="s">
        <v>2266</v>
      </c>
      <c r="B825" s="7771" t="s">
        <v>16</v>
      </c>
      <c r="C825" s="7771" t="s">
        <v>3159</v>
      </c>
      <c r="D825" s="7771" t="s">
        <v>3160</v>
      </c>
      <c r="E825" s="7771" t="s">
        <v>3161</v>
      </c>
      <c r="F825" s="7771" t="s">
        <v>2655</v>
      </c>
      <c r="G825" s="7771" t="s">
        <v>3162</v>
      </c>
      <c r="H825" s="7771" t="s">
        <v>28</v>
      </c>
      <c r="I825" s="7771" t="s">
        <v>908</v>
      </c>
    </row>
    <row customHeight="1" ht="11.25">
      <c r="A826" s="7771" t="s">
        <v>2266</v>
      </c>
      <c r="B826" s="7771" t="s">
        <v>16</v>
      </c>
      <c r="C826" s="7771" t="s">
        <v>3163</v>
      </c>
      <c r="D826" s="7771" t="s">
        <v>3164</v>
      </c>
      <c r="E826" s="7771" t="s">
        <v>3165</v>
      </c>
      <c r="F826" s="7771" t="s">
        <v>2655</v>
      </c>
      <c r="G826" s="7771" t="s">
        <v>3166</v>
      </c>
      <c r="H826" s="7771" t="s">
        <v>28</v>
      </c>
      <c r="I826" s="7771" t="s">
        <v>908</v>
      </c>
    </row>
    <row customHeight="1" ht="11.25">
      <c r="A827" s="7771" t="s">
        <v>2266</v>
      </c>
      <c r="B827" s="7771" t="s">
        <v>16</v>
      </c>
      <c r="C827" s="7771" t="s">
        <v>3167</v>
      </c>
      <c r="D827" s="7771" t="s">
        <v>3168</v>
      </c>
      <c r="E827" s="7771" t="s">
        <v>3169</v>
      </c>
      <c r="F827" s="7771" t="s">
        <v>3170</v>
      </c>
      <c r="G827" s="7771" t="s">
        <v>3171</v>
      </c>
      <c r="H827" s="7771" t="s">
        <v>28</v>
      </c>
      <c r="I827" s="7771" t="s">
        <v>908</v>
      </c>
    </row>
    <row customHeight="1" ht="11.25">
      <c r="A828" s="7771" t="s">
        <v>2266</v>
      </c>
      <c r="B828" s="7771" t="s">
        <v>16</v>
      </c>
      <c r="C828" s="7771" t="s">
        <v>3172</v>
      </c>
      <c r="D828" s="7771" t="s">
        <v>3173</v>
      </c>
      <c r="E828" s="7771" t="s">
        <v>3174</v>
      </c>
      <c r="F828" s="7771" t="s">
        <v>2486</v>
      </c>
      <c r="G828" s="7771" t="s">
        <v>3175</v>
      </c>
      <c r="H828" s="7771" t="s">
        <v>28</v>
      </c>
      <c r="I828" s="7771" t="s">
        <v>908</v>
      </c>
    </row>
    <row customHeight="1" ht="11.25">
      <c r="A829" s="7771" t="s">
        <v>2266</v>
      </c>
      <c r="B829" s="7771" t="s">
        <v>16</v>
      </c>
      <c r="C829" s="7771" t="s">
        <v>3176</v>
      </c>
      <c r="D829" s="7771" t="s">
        <v>3177</v>
      </c>
      <c r="E829" s="7771" t="s">
        <v>3178</v>
      </c>
      <c r="F829" s="7771" t="s">
        <v>3179</v>
      </c>
      <c r="G829" s="7771" t="s">
        <v>28</v>
      </c>
      <c r="H829" s="7771" t="s">
        <v>28</v>
      </c>
      <c r="I829" s="7771" t="s">
        <v>908</v>
      </c>
    </row>
    <row customHeight="1" ht="11.25">
      <c r="A830" s="7771" t="s">
        <v>2266</v>
      </c>
      <c r="B830" s="7771" t="s">
        <v>16</v>
      </c>
      <c r="C830" s="7771" t="s">
        <v>3180</v>
      </c>
      <c r="D830" s="7771" t="s">
        <v>3181</v>
      </c>
      <c r="E830" s="7771" t="s">
        <v>3182</v>
      </c>
      <c r="F830" s="7771" t="s">
        <v>2503</v>
      </c>
      <c r="G830" s="7771" t="s">
        <v>3183</v>
      </c>
      <c r="H830" s="7771" t="s">
        <v>28</v>
      </c>
      <c r="I830" s="7771" t="s">
        <v>908</v>
      </c>
    </row>
    <row customHeight="1" ht="11.25">
      <c r="A831" s="7771" t="s">
        <v>2266</v>
      </c>
      <c r="B831" s="7771" t="s">
        <v>16</v>
      </c>
      <c r="C831" s="7771" t="s">
        <v>3184</v>
      </c>
      <c r="D831" s="7771" t="s">
        <v>3185</v>
      </c>
      <c r="E831" s="7771" t="s">
        <v>3186</v>
      </c>
      <c r="F831" s="7771" t="s">
        <v>2385</v>
      </c>
      <c r="G831" s="7771" t="s">
        <v>28</v>
      </c>
      <c r="H831" s="7771" t="s">
        <v>28</v>
      </c>
      <c r="I831" s="7771" t="s">
        <v>908</v>
      </c>
    </row>
    <row customHeight="1" ht="11.25">
      <c r="A832" s="7771" t="s">
        <v>2266</v>
      </c>
      <c r="B832" s="7771" t="s">
        <v>16</v>
      </c>
      <c r="C832" s="7771" t="s">
        <v>3187</v>
      </c>
      <c r="D832" s="7771" t="s">
        <v>3188</v>
      </c>
      <c r="E832" s="7771" t="s">
        <v>3189</v>
      </c>
      <c r="F832" s="7771" t="s">
        <v>3190</v>
      </c>
      <c r="G832" s="7771" t="s">
        <v>28</v>
      </c>
      <c r="H832" s="7771" t="s">
        <v>28</v>
      </c>
      <c r="I832" s="7771" t="s">
        <v>908</v>
      </c>
    </row>
    <row customHeight="1" ht="11.25">
      <c r="A833" s="7771" t="s">
        <v>2266</v>
      </c>
      <c r="B833" s="7771" t="s">
        <v>16</v>
      </c>
      <c r="C833" s="7771" t="s">
        <v>3191</v>
      </c>
      <c r="D833" s="7771" t="s">
        <v>3192</v>
      </c>
      <c r="E833" s="7771" t="s">
        <v>3193</v>
      </c>
      <c r="F833" s="7771" t="s">
        <v>2295</v>
      </c>
      <c r="G833" s="7771" t="s">
        <v>28</v>
      </c>
      <c r="H833" s="7771" t="s">
        <v>28</v>
      </c>
      <c r="I833" s="7771" t="s">
        <v>908</v>
      </c>
    </row>
    <row customHeight="1" ht="11.25">
      <c r="A834" s="7771" t="s">
        <v>2266</v>
      </c>
      <c r="B834" s="7771" t="s">
        <v>16</v>
      </c>
      <c r="C834" s="7771" t="s">
        <v>3194</v>
      </c>
      <c r="D834" s="7771" t="s">
        <v>3195</v>
      </c>
      <c r="E834" s="7771" t="s">
        <v>3196</v>
      </c>
      <c r="F834" s="7771" t="s">
        <v>2320</v>
      </c>
      <c r="G834" s="7771" t="s">
        <v>3197</v>
      </c>
      <c r="H834" s="7771" t="s">
        <v>28</v>
      </c>
      <c r="I834" s="7771" t="s">
        <v>908</v>
      </c>
    </row>
    <row customHeight="1" ht="11.25">
      <c r="A835" s="7771" t="s">
        <v>2266</v>
      </c>
      <c r="B835" s="7771" t="s">
        <v>16</v>
      </c>
      <c r="C835" s="7771" t="s">
        <v>3198</v>
      </c>
      <c r="D835" s="7771" t="s">
        <v>3199</v>
      </c>
      <c r="E835" s="7771" t="s">
        <v>3200</v>
      </c>
      <c r="F835" s="7771" t="s">
        <v>2451</v>
      </c>
      <c r="G835" s="7771" t="s">
        <v>28</v>
      </c>
      <c r="H835" s="7771" t="s">
        <v>28</v>
      </c>
      <c r="I835" s="7771" t="s">
        <v>908</v>
      </c>
    </row>
    <row customHeight="1" ht="11.25">
      <c r="A836" s="7771" t="s">
        <v>2266</v>
      </c>
      <c r="B836" s="7771" t="s">
        <v>16</v>
      </c>
      <c r="C836" s="7771" t="s">
        <v>3201</v>
      </c>
      <c r="D836" s="7771" t="s">
        <v>3202</v>
      </c>
      <c r="E836" s="7771" t="s">
        <v>3203</v>
      </c>
      <c r="F836" s="7771" t="s">
        <v>2800</v>
      </c>
      <c r="G836" s="7771" t="s">
        <v>28</v>
      </c>
      <c r="H836" s="7771" t="s">
        <v>28</v>
      </c>
      <c r="I836" s="7771" t="s">
        <v>908</v>
      </c>
    </row>
    <row customHeight="1" ht="11.25">
      <c r="A837" s="7771" t="s">
        <v>2266</v>
      </c>
      <c r="B837" s="7771" t="s">
        <v>16</v>
      </c>
      <c r="C837" s="7771" t="s">
        <v>3204</v>
      </c>
      <c r="D837" s="7771" t="s">
        <v>3205</v>
      </c>
      <c r="E837" s="7771" t="s">
        <v>3206</v>
      </c>
      <c r="F837" s="7771" t="s">
        <v>3207</v>
      </c>
      <c r="G837" s="7771" t="s">
        <v>28</v>
      </c>
      <c r="H837" s="7771" t="s">
        <v>28</v>
      </c>
      <c r="I837" s="7771" t="s">
        <v>908</v>
      </c>
    </row>
    <row customHeight="1" ht="11.25">
      <c r="A838" s="7771" t="s">
        <v>2266</v>
      </c>
      <c r="B838" s="7771" t="s">
        <v>16</v>
      </c>
      <c r="C838" s="7771" t="s">
        <v>3208</v>
      </c>
      <c r="D838" s="7771" t="s">
        <v>3209</v>
      </c>
      <c r="E838" s="7771" t="s">
        <v>3210</v>
      </c>
      <c r="F838" s="7771" t="s">
        <v>3211</v>
      </c>
      <c r="G838" s="7771" t="s">
        <v>28</v>
      </c>
      <c r="H838" s="7771" t="s">
        <v>28</v>
      </c>
      <c r="I838" s="7771" t="s">
        <v>908</v>
      </c>
    </row>
    <row customHeight="1" ht="11.25">
      <c r="A839" s="7771" t="s">
        <v>2266</v>
      </c>
      <c r="B839" s="7771" t="s">
        <v>16</v>
      </c>
      <c r="C839" s="7771" t="s">
        <v>3212</v>
      </c>
      <c r="D839" s="7771" t="s">
        <v>3213</v>
      </c>
      <c r="E839" s="7771" t="s">
        <v>3214</v>
      </c>
      <c r="F839" s="7771" t="s">
        <v>2360</v>
      </c>
      <c r="G839" s="7771" t="s">
        <v>28</v>
      </c>
      <c r="H839" s="7771" t="s">
        <v>28</v>
      </c>
      <c r="I839" s="7771" t="s">
        <v>908</v>
      </c>
    </row>
    <row customHeight="1" ht="11.25">
      <c r="A840" s="7771" t="s">
        <v>2266</v>
      </c>
      <c r="B840" s="7771" t="s">
        <v>16</v>
      </c>
      <c r="C840" s="7771" t="s">
        <v>3215</v>
      </c>
      <c r="D840" s="7771" t="s">
        <v>3216</v>
      </c>
      <c r="E840" s="7771" t="s">
        <v>3217</v>
      </c>
      <c r="F840" s="7771" t="s">
        <v>2360</v>
      </c>
      <c r="G840" s="7771" t="s">
        <v>3218</v>
      </c>
      <c r="H840" s="7771" t="s">
        <v>28</v>
      </c>
      <c r="I840" s="7771" t="s">
        <v>908</v>
      </c>
    </row>
    <row customHeight="1" ht="11.25">
      <c r="A841" s="7771" t="s">
        <v>2266</v>
      </c>
      <c r="B841" s="7771" t="s">
        <v>16</v>
      </c>
      <c r="C841" s="7771" t="s">
        <v>3223</v>
      </c>
      <c r="D841" s="7771" t="s">
        <v>3224</v>
      </c>
      <c r="E841" s="7771" t="s">
        <v>3225</v>
      </c>
      <c r="F841" s="7771" t="s">
        <v>3226</v>
      </c>
      <c r="G841" s="7771" t="s">
        <v>28</v>
      </c>
      <c r="H841" s="7771" t="s">
        <v>28</v>
      </c>
      <c r="I841" s="7771" t="s">
        <v>908</v>
      </c>
    </row>
    <row customHeight="1" ht="11.25">
      <c r="A842" s="7771" t="s">
        <v>2266</v>
      </c>
      <c r="B842" s="7771" t="s">
        <v>16</v>
      </c>
      <c r="C842" s="7771" t="s">
        <v>3227</v>
      </c>
      <c r="D842" s="7771" t="s">
        <v>3228</v>
      </c>
      <c r="E842" s="7771" t="s">
        <v>2913</v>
      </c>
      <c r="F842" s="7771" t="s">
        <v>3229</v>
      </c>
      <c r="G842" s="7771" t="s">
        <v>28</v>
      </c>
      <c r="H842" s="7771" t="s">
        <v>28</v>
      </c>
      <c r="I842" s="7771" t="s">
        <v>908</v>
      </c>
    </row>
    <row customHeight="1" ht="11.25">
      <c r="A843" s="7771" t="s">
        <v>2266</v>
      </c>
      <c r="B843" s="7771" t="s">
        <v>16</v>
      </c>
      <c r="C843" s="7771" t="s">
        <v>3230</v>
      </c>
      <c r="D843" s="7771" t="s">
        <v>3231</v>
      </c>
      <c r="E843" s="7771" t="s">
        <v>2913</v>
      </c>
      <c r="F843" s="7771" t="s">
        <v>3232</v>
      </c>
      <c r="G843" s="7771" t="s">
        <v>3233</v>
      </c>
      <c r="H843" s="7771" t="s">
        <v>28</v>
      </c>
      <c r="I843" s="7771" t="s">
        <v>908</v>
      </c>
    </row>
    <row customHeight="1" ht="11.25">
      <c r="A844" s="7771" t="s">
        <v>2266</v>
      </c>
      <c r="B844" s="7771" t="s">
        <v>16</v>
      </c>
      <c r="C844" s="7771" t="s">
        <v>3242</v>
      </c>
      <c r="D844" s="7771" t="s">
        <v>3243</v>
      </c>
      <c r="E844" s="7771" t="s">
        <v>3244</v>
      </c>
      <c r="F844" s="7771" t="s">
        <v>2468</v>
      </c>
      <c r="G844" s="7771" t="s">
        <v>2691</v>
      </c>
      <c r="H844" s="7771" t="s">
        <v>28</v>
      </c>
      <c r="I844" s="7771" t="s">
        <v>908</v>
      </c>
    </row>
    <row customHeight="1" ht="11.25">
      <c r="A845" s="7771" t="s">
        <v>2266</v>
      </c>
      <c r="B845" s="7771" t="s">
        <v>16</v>
      </c>
      <c r="C845" s="7771" t="s">
        <v>3258</v>
      </c>
      <c r="D845" s="7771" t="s">
        <v>3259</v>
      </c>
      <c r="E845" s="7771" t="s">
        <v>3260</v>
      </c>
      <c r="F845" s="7771" t="s">
        <v>2518</v>
      </c>
      <c r="G845" s="7771" t="s">
        <v>28</v>
      </c>
      <c r="H845" s="7771" t="s">
        <v>28</v>
      </c>
      <c r="I845" s="7771" t="s">
        <v>908</v>
      </c>
    </row>
    <row customHeight="1" ht="11.25">
      <c r="A846" s="7771" t="s">
        <v>2266</v>
      </c>
      <c r="B846" s="7771" t="s">
        <v>16</v>
      </c>
      <c r="C846" s="7771" t="s">
        <v>3264</v>
      </c>
      <c r="D846" s="7771" t="s">
        <v>3265</v>
      </c>
      <c r="E846" s="7771" t="s">
        <v>3266</v>
      </c>
      <c r="F846" s="7771" t="s">
        <v>2280</v>
      </c>
      <c r="G846" s="7771" t="s">
        <v>3267</v>
      </c>
      <c r="H846" s="7771" t="s">
        <v>28</v>
      </c>
      <c r="I846" s="7771" t="s">
        <v>908</v>
      </c>
    </row>
    <row customHeight="1" ht="11.25">
      <c r="A847" s="7771" t="s">
        <v>2266</v>
      </c>
      <c r="B847" s="7771" t="s">
        <v>16</v>
      </c>
      <c r="C847" s="7771" t="s">
        <v>3271</v>
      </c>
      <c r="D847" s="7771" t="s">
        <v>3272</v>
      </c>
      <c r="E847" s="7771" t="s">
        <v>3273</v>
      </c>
      <c r="F847" s="7771" t="s">
        <v>3274</v>
      </c>
      <c r="G847" s="7771" t="s">
        <v>28</v>
      </c>
      <c r="H847" s="7771" t="s">
        <v>28</v>
      </c>
      <c r="I847" s="7771" t="s">
        <v>908</v>
      </c>
    </row>
    <row customHeight="1" ht="11.25">
      <c r="A848" s="7771" t="s">
        <v>2266</v>
      </c>
      <c r="B848" s="7771" t="s">
        <v>16</v>
      </c>
      <c r="C848" s="7771" t="s">
        <v>3275</v>
      </c>
      <c r="D848" s="7771" t="s">
        <v>3276</v>
      </c>
      <c r="E848" s="7771" t="s">
        <v>3277</v>
      </c>
      <c r="F848" s="7771" t="s">
        <v>2723</v>
      </c>
      <c r="G848" s="7771" t="s">
        <v>28</v>
      </c>
      <c r="H848" s="7771" t="s">
        <v>28</v>
      </c>
      <c r="I848" s="7771" t="s">
        <v>908</v>
      </c>
    </row>
    <row customHeight="1" ht="11.25">
      <c r="A849" s="7771" t="s">
        <v>2266</v>
      </c>
      <c r="B849" s="7771" t="s">
        <v>16</v>
      </c>
      <c r="C849" s="7771" t="s">
        <v>3278</v>
      </c>
      <c r="D849" s="7771" t="s">
        <v>3279</v>
      </c>
      <c r="E849" s="7771" t="s">
        <v>3280</v>
      </c>
      <c r="F849" s="7771" t="s">
        <v>2295</v>
      </c>
      <c r="G849" s="7771" t="s">
        <v>28</v>
      </c>
      <c r="H849" s="7771" t="s">
        <v>28</v>
      </c>
      <c r="I849" s="7771" t="s">
        <v>908</v>
      </c>
    </row>
    <row customHeight="1" ht="11.25">
      <c r="A850" s="7771" t="s">
        <v>2266</v>
      </c>
      <c r="B850" s="7771" t="s">
        <v>16</v>
      </c>
      <c r="C850" s="7771" t="s">
        <v>3281</v>
      </c>
      <c r="D850" s="7771" t="s">
        <v>3282</v>
      </c>
      <c r="E850" s="7771" t="s">
        <v>3283</v>
      </c>
      <c r="F850" s="7771" t="s">
        <v>2894</v>
      </c>
      <c r="G850" s="7771" t="s">
        <v>3284</v>
      </c>
      <c r="H850" s="7771" t="s">
        <v>28</v>
      </c>
      <c r="I850" s="7771" t="s">
        <v>908</v>
      </c>
    </row>
    <row customHeight="1" ht="11.25">
      <c r="A851" s="7771" t="s">
        <v>2266</v>
      </c>
      <c r="B851" s="7771" t="s">
        <v>16</v>
      </c>
      <c r="C851" s="7771" t="s">
        <v>3301</v>
      </c>
      <c r="D851" s="7771" t="s">
        <v>3302</v>
      </c>
      <c r="E851" s="7771" t="s">
        <v>3303</v>
      </c>
      <c r="F851" s="7771" t="s">
        <v>2629</v>
      </c>
      <c r="G851" s="7771" t="s">
        <v>3304</v>
      </c>
      <c r="H851" s="7771" t="s">
        <v>28</v>
      </c>
      <c r="I851" s="7771" t="s">
        <v>908</v>
      </c>
    </row>
    <row customHeight="1" ht="11.25">
      <c r="A852" s="7771" t="s">
        <v>2266</v>
      </c>
      <c r="B852" s="7771" t="s">
        <v>16</v>
      </c>
      <c r="C852" s="7771" t="s">
        <v>3308</v>
      </c>
      <c r="D852" s="7771" t="s">
        <v>3309</v>
      </c>
      <c r="E852" s="7771" t="s">
        <v>3310</v>
      </c>
      <c r="F852" s="7771" t="s">
        <v>2295</v>
      </c>
      <c r="G852" s="7771" t="s">
        <v>28</v>
      </c>
      <c r="H852" s="7771" t="s">
        <v>28</v>
      </c>
      <c r="I852" s="7771" t="s">
        <v>908</v>
      </c>
    </row>
    <row customHeight="1" ht="11.25">
      <c r="A853" s="7771" t="s">
        <v>2266</v>
      </c>
      <c r="B853" s="7771" t="s">
        <v>16</v>
      </c>
      <c r="C853" s="7771" t="s">
        <v>3317</v>
      </c>
      <c r="D853" s="7771" t="s">
        <v>3318</v>
      </c>
      <c r="E853" s="7771" t="s">
        <v>3319</v>
      </c>
      <c r="F853" s="7771" t="s">
        <v>2372</v>
      </c>
      <c r="G853" s="7771" t="s">
        <v>3320</v>
      </c>
      <c r="H853" s="7771" t="s">
        <v>28</v>
      </c>
      <c r="I853" s="7771" t="s">
        <v>908</v>
      </c>
    </row>
    <row customHeight="1" ht="11.25">
      <c r="A854" s="7771" t="s">
        <v>2266</v>
      </c>
      <c r="B854" s="7771" t="s">
        <v>16</v>
      </c>
      <c r="C854" s="7771" t="s">
        <v>3321</v>
      </c>
      <c r="D854" s="7771" t="s">
        <v>3322</v>
      </c>
      <c r="E854" s="7771" t="s">
        <v>3323</v>
      </c>
      <c r="F854" s="7771" t="s">
        <v>2430</v>
      </c>
      <c r="G854" s="7771" t="s">
        <v>28</v>
      </c>
      <c r="H854" s="7771" t="s">
        <v>28</v>
      </c>
      <c r="I854" s="7771" t="s">
        <v>908</v>
      </c>
    </row>
    <row customHeight="1" ht="11.25">
      <c r="A855" s="7771" t="s">
        <v>2266</v>
      </c>
      <c r="B855" s="7771" t="s">
        <v>16</v>
      </c>
      <c r="C855" s="7771" t="s">
        <v>3327</v>
      </c>
      <c r="D855" s="7771" t="s">
        <v>3328</v>
      </c>
      <c r="E855" s="7771" t="s">
        <v>3329</v>
      </c>
      <c r="F855" s="7771" t="s">
        <v>2280</v>
      </c>
      <c r="G855" s="7771" t="s">
        <v>28</v>
      </c>
      <c r="H855" s="7771" t="s">
        <v>28</v>
      </c>
      <c r="I855" s="7771" t="s">
        <v>908</v>
      </c>
    </row>
    <row customHeight="1" ht="11.25">
      <c r="A856" s="7771" t="s">
        <v>2266</v>
      </c>
      <c r="B856" s="7771" t="s">
        <v>16</v>
      </c>
      <c r="C856" s="7771" t="s">
        <v>3336</v>
      </c>
      <c r="D856" s="7771" t="s">
        <v>3337</v>
      </c>
      <c r="E856" s="7771" t="s">
        <v>3338</v>
      </c>
      <c r="F856" s="7771" t="s">
        <v>2399</v>
      </c>
      <c r="G856" s="7771" t="s">
        <v>28</v>
      </c>
      <c r="H856" s="7771" t="s">
        <v>28</v>
      </c>
      <c r="I856" s="7771" t="s">
        <v>908</v>
      </c>
    </row>
    <row customHeight="1" ht="11.25">
      <c r="A857" s="7771" t="s">
        <v>2266</v>
      </c>
      <c r="B857" s="7771" t="s">
        <v>16</v>
      </c>
      <c r="C857" s="7771" t="s">
        <v>3343</v>
      </c>
      <c r="D857" s="7771" t="s">
        <v>3344</v>
      </c>
      <c r="E857" s="7771" t="s">
        <v>3345</v>
      </c>
      <c r="F857" s="7771" t="s">
        <v>2377</v>
      </c>
      <c r="G857" s="7771" t="s">
        <v>3346</v>
      </c>
      <c r="H857" s="7771" t="s">
        <v>28</v>
      </c>
      <c r="I857" s="7771" t="s">
        <v>908</v>
      </c>
    </row>
    <row customHeight="1" ht="11.25">
      <c r="A858" s="7771" t="s">
        <v>2266</v>
      </c>
      <c r="B858" s="7771" t="s">
        <v>16</v>
      </c>
      <c r="C858" s="7771" t="s">
        <v>3347</v>
      </c>
      <c r="D858" s="7771" t="s">
        <v>3348</v>
      </c>
      <c r="E858" s="7771" t="s">
        <v>3349</v>
      </c>
      <c r="F858" s="7771" t="s">
        <v>2377</v>
      </c>
      <c r="G858" s="7771" t="s">
        <v>28</v>
      </c>
      <c r="H858" s="7771" t="s">
        <v>28</v>
      </c>
      <c r="I858" s="7771" t="s">
        <v>908</v>
      </c>
    </row>
    <row customHeight="1" ht="11.25">
      <c r="A859" s="7771" t="s">
        <v>2266</v>
      </c>
      <c r="B859" s="7771" t="s">
        <v>16</v>
      </c>
      <c r="C859" s="7771" t="s">
        <v>3353</v>
      </c>
      <c r="D859" s="7771" t="s">
        <v>3354</v>
      </c>
      <c r="E859" s="7771" t="s">
        <v>3355</v>
      </c>
      <c r="F859" s="7771" t="s">
        <v>2342</v>
      </c>
      <c r="G859" s="7771" t="s">
        <v>3356</v>
      </c>
      <c r="H859" s="7771" t="s">
        <v>28</v>
      </c>
      <c r="I859" s="7771" t="s">
        <v>908</v>
      </c>
    </row>
    <row customHeight="1" ht="11.25">
      <c r="A860" s="7771" t="s">
        <v>2266</v>
      </c>
      <c r="B860" s="7771" t="s">
        <v>16</v>
      </c>
      <c r="C860" s="7771" t="s">
        <v>3361</v>
      </c>
      <c r="D860" s="7771" t="s">
        <v>3362</v>
      </c>
      <c r="E860" s="7771" t="s">
        <v>3363</v>
      </c>
      <c r="F860" s="7771" t="s">
        <v>2360</v>
      </c>
      <c r="G860" s="7771" t="s">
        <v>28</v>
      </c>
      <c r="H860" s="7771" t="s">
        <v>28</v>
      </c>
      <c r="I860" s="7771" t="s">
        <v>908</v>
      </c>
    </row>
    <row customHeight="1" ht="11.25">
      <c r="A861" s="7771" t="s">
        <v>2266</v>
      </c>
      <c r="B861" s="7771" t="s">
        <v>16</v>
      </c>
      <c r="C861" s="7771" t="s">
        <v>3377</v>
      </c>
      <c r="D861" s="7771" t="s">
        <v>3378</v>
      </c>
      <c r="E861" s="7771" t="s">
        <v>3379</v>
      </c>
      <c r="F861" s="7771" t="s">
        <v>2377</v>
      </c>
      <c r="G861" s="7771" t="s">
        <v>3380</v>
      </c>
      <c r="H861" s="7771" t="s">
        <v>28</v>
      </c>
      <c r="I861" s="7771" t="s">
        <v>908</v>
      </c>
    </row>
    <row customHeight="1" ht="11.25">
      <c r="A862" s="7771" t="s">
        <v>2266</v>
      </c>
      <c r="B862" s="7771" t="s">
        <v>16</v>
      </c>
      <c r="C862" s="7771" t="s">
        <v>3381</v>
      </c>
      <c r="D862" s="7771" t="s">
        <v>3382</v>
      </c>
      <c r="E862" s="7771" t="s">
        <v>3383</v>
      </c>
      <c r="F862" s="7771" t="s">
        <v>2360</v>
      </c>
      <c r="G862" s="7771" t="s">
        <v>28</v>
      </c>
      <c r="H862" s="7771" t="s">
        <v>28</v>
      </c>
      <c r="I862" s="7771" t="s">
        <v>908</v>
      </c>
    </row>
    <row customHeight="1" ht="11.25">
      <c r="A863" s="7771" t="s">
        <v>2266</v>
      </c>
      <c r="B863" s="7771" t="s">
        <v>16</v>
      </c>
      <c r="C863" s="7771" t="s">
        <v>3392</v>
      </c>
      <c r="D863" s="7771" t="s">
        <v>3393</v>
      </c>
      <c r="E863" s="7771" t="s">
        <v>3394</v>
      </c>
      <c r="F863" s="7771" t="s">
        <v>2280</v>
      </c>
      <c r="G863" s="7771" t="s">
        <v>28</v>
      </c>
      <c r="H863" s="7771" t="s">
        <v>28</v>
      </c>
      <c r="I863" s="7771" t="s">
        <v>908</v>
      </c>
    </row>
    <row customHeight="1" ht="11.25">
      <c r="A864" s="7771" t="s">
        <v>2266</v>
      </c>
      <c r="B864" s="7771" t="s">
        <v>16</v>
      </c>
      <c r="C864" s="7771" t="s">
        <v>3399</v>
      </c>
      <c r="D864" s="7771" t="s">
        <v>3400</v>
      </c>
      <c r="E864" s="7771" t="s">
        <v>3401</v>
      </c>
      <c r="F864" s="7771" t="s">
        <v>2280</v>
      </c>
      <c r="G864" s="7771" t="s">
        <v>3402</v>
      </c>
      <c r="H864" s="7771" t="s">
        <v>28</v>
      </c>
      <c r="I864" s="7771" t="s">
        <v>908</v>
      </c>
    </row>
    <row customHeight="1" ht="11.25">
      <c r="A865" s="7771" t="s">
        <v>2266</v>
      </c>
      <c r="B865" s="7771" t="s">
        <v>16</v>
      </c>
      <c r="C865" s="7771" t="s">
        <v>3403</v>
      </c>
      <c r="D865" s="7771" t="s">
        <v>3404</v>
      </c>
      <c r="E865" s="7771" t="s">
        <v>3405</v>
      </c>
      <c r="F865" s="7771" t="s">
        <v>2300</v>
      </c>
      <c r="G865" s="7771" t="s">
        <v>28</v>
      </c>
      <c r="H865" s="7771" t="s">
        <v>28</v>
      </c>
      <c r="I865" s="7771" t="s">
        <v>908</v>
      </c>
    </row>
    <row customHeight="1" ht="11.25">
      <c r="A866" s="7771" t="s">
        <v>2266</v>
      </c>
      <c r="B866" s="7771" t="s">
        <v>16</v>
      </c>
      <c r="C866" s="7771" t="s">
        <v>3406</v>
      </c>
      <c r="D866" s="7771" t="s">
        <v>3407</v>
      </c>
      <c r="E866" s="7771" t="s">
        <v>3408</v>
      </c>
      <c r="F866" s="7771" t="s">
        <v>2518</v>
      </c>
      <c r="G866" s="7771" t="s">
        <v>2584</v>
      </c>
      <c r="H866" s="7771" t="s">
        <v>28</v>
      </c>
      <c r="I866" s="7771" t="s">
        <v>908</v>
      </c>
    </row>
    <row customHeight="1" ht="11.25">
      <c r="A867" s="7771" t="s">
        <v>2266</v>
      </c>
      <c r="B867" s="7771" t="s">
        <v>16</v>
      </c>
      <c r="C867" s="7771" t="s">
        <v>3409</v>
      </c>
      <c r="D867" s="7771" t="s">
        <v>3410</v>
      </c>
      <c r="E867" s="7771" t="s">
        <v>3411</v>
      </c>
      <c r="F867" s="7771" t="s">
        <v>2770</v>
      </c>
      <c r="G867" s="7771" t="s">
        <v>3412</v>
      </c>
      <c r="H867" s="7771" t="s">
        <v>28</v>
      </c>
      <c r="I867" s="7771" t="s">
        <v>908</v>
      </c>
    </row>
    <row customHeight="1" ht="11.25">
      <c r="A868" s="7771" t="s">
        <v>2266</v>
      </c>
      <c r="B868" s="7771" t="s">
        <v>16</v>
      </c>
      <c r="C868" s="7771" t="s">
        <v>3413</v>
      </c>
      <c r="D868" s="7771" t="s">
        <v>3414</v>
      </c>
      <c r="E868" s="7771" t="s">
        <v>3415</v>
      </c>
      <c r="F868" s="7771" t="s">
        <v>2347</v>
      </c>
      <c r="G868" s="7771" t="s">
        <v>3416</v>
      </c>
      <c r="H868" s="7771" t="s">
        <v>28</v>
      </c>
      <c r="I868" s="7771" t="s">
        <v>908</v>
      </c>
    </row>
    <row customHeight="1" ht="11.25">
      <c r="A869" s="7771" t="s">
        <v>2266</v>
      </c>
      <c r="B869" s="7771" t="s">
        <v>16</v>
      </c>
      <c r="C869" s="7771" t="s">
        <v>4790</v>
      </c>
      <c r="D869" s="7771" t="s">
        <v>4791</v>
      </c>
      <c r="E869" s="7771" t="s">
        <v>4792</v>
      </c>
      <c r="F869" s="7771" t="s">
        <v>3679</v>
      </c>
      <c r="G869" s="7771" t="s">
        <v>4793</v>
      </c>
      <c r="H869" s="7771" t="s">
        <v>28</v>
      </c>
      <c r="I869" s="7771" t="s">
        <v>908</v>
      </c>
    </row>
    <row customHeight="1" ht="11.25">
      <c r="A870" s="7771" t="s">
        <v>2266</v>
      </c>
      <c r="B870" s="7771" t="s">
        <v>16</v>
      </c>
      <c r="C870" s="7771" t="s">
        <v>3421</v>
      </c>
      <c r="D870" s="7771" t="s">
        <v>3422</v>
      </c>
      <c r="E870" s="7771" t="s">
        <v>3423</v>
      </c>
      <c r="F870" s="7771" t="s">
        <v>2390</v>
      </c>
      <c r="G870" s="7771" t="s">
        <v>28</v>
      </c>
      <c r="H870" s="7771" t="s">
        <v>28</v>
      </c>
      <c r="I870" s="7771" t="s">
        <v>908</v>
      </c>
    </row>
    <row customHeight="1" ht="11.25">
      <c r="A871" s="7771" t="s">
        <v>2266</v>
      </c>
      <c r="B871" s="7771" t="s">
        <v>16</v>
      </c>
      <c r="C871" s="7771" t="s">
        <v>3429</v>
      </c>
      <c r="D871" s="7771" t="s">
        <v>3430</v>
      </c>
      <c r="E871" s="7771" t="s">
        <v>3431</v>
      </c>
      <c r="F871" s="7771" t="s">
        <v>2518</v>
      </c>
      <c r="G871" s="7771" t="s">
        <v>3432</v>
      </c>
      <c r="H871" s="7771" t="s">
        <v>28</v>
      </c>
      <c r="I871" s="7771" t="s">
        <v>908</v>
      </c>
    </row>
    <row customHeight="1" ht="11.25">
      <c r="A872" s="7771" t="s">
        <v>2266</v>
      </c>
      <c r="B872" s="7771" t="s">
        <v>16</v>
      </c>
      <c r="C872" s="7771" t="s">
        <v>3436</v>
      </c>
      <c r="D872" s="7771" t="s">
        <v>3437</v>
      </c>
      <c r="E872" s="7771" t="s">
        <v>3438</v>
      </c>
      <c r="F872" s="7771" t="s">
        <v>2285</v>
      </c>
      <c r="G872" s="7771" t="s">
        <v>3439</v>
      </c>
      <c r="H872" s="7771" t="s">
        <v>28</v>
      </c>
      <c r="I872" s="7771" t="s">
        <v>908</v>
      </c>
    </row>
    <row customHeight="1" ht="11.25">
      <c r="A873" s="7771" t="s">
        <v>2266</v>
      </c>
      <c r="B873" s="7771" t="s">
        <v>16</v>
      </c>
      <c r="C873" s="7771" t="s">
        <v>3443</v>
      </c>
      <c r="D873" s="7771" t="s">
        <v>3444</v>
      </c>
      <c r="E873" s="7771" t="s">
        <v>3445</v>
      </c>
      <c r="F873" s="7771" t="s">
        <v>2813</v>
      </c>
      <c r="G873" s="7771" t="s">
        <v>3446</v>
      </c>
      <c r="H873" s="7771" t="s">
        <v>28</v>
      </c>
      <c r="I873" s="7771" t="s">
        <v>908</v>
      </c>
    </row>
    <row customHeight="1" ht="11.25">
      <c r="A874" s="7771" t="s">
        <v>2266</v>
      </c>
      <c r="B874" s="7771" t="s">
        <v>16</v>
      </c>
      <c r="C874" s="7771" t="s">
        <v>3447</v>
      </c>
      <c r="D874" s="7771" t="s">
        <v>3448</v>
      </c>
      <c r="E874" s="7771" t="s">
        <v>3449</v>
      </c>
      <c r="F874" s="7771" t="s">
        <v>2347</v>
      </c>
      <c r="G874" s="7771" t="s">
        <v>28</v>
      </c>
      <c r="H874" s="7771" t="s">
        <v>28</v>
      </c>
      <c r="I874" s="7771" t="s">
        <v>908</v>
      </c>
    </row>
    <row customHeight="1" ht="11.25">
      <c r="A875" s="7771" t="s">
        <v>2266</v>
      </c>
      <c r="B875" s="7771" t="s">
        <v>16</v>
      </c>
      <c r="C875" s="7771" t="s">
        <v>3453</v>
      </c>
      <c r="D875" s="7771" t="s">
        <v>3454</v>
      </c>
      <c r="E875" s="7771" t="s">
        <v>3455</v>
      </c>
      <c r="F875" s="7771" t="s">
        <v>2295</v>
      </c>
      <c r="G875" s="7771" t="s">
        <v>28</v>
      </c>
      <c r="H875" s="7771" t="s">
        <v>28</v>
      </c>
      <c r="I875" s="7771" t="s">
        <v>908</v>
      </c>
    </row>
    <row customHeight="1" ht="11.25">
      <c r="A876" s="7771" t="s">
        <v>2266</v>
      </c>
      <c r="B876" s="7771" t="s">
        <v>16</v>
      </c>
      <c r="C876" s="7771" t="s">
        <v>3456</v>
      </c>
      <c r="D876" s="7771" t="s">
        <v>3454</v>
      </c>
      <c r="E876" s="7771" t="s">
        <v>3455</v>
      </c>
      <c r="F876" s="7771" t="s">
        <v>3457</v>
      </c>
      <c r="G876" s="7771" t="s">
        <v>3458</v>
      </c>
      <c r="H876" s="7771" t="s">
        <v>28</v>
      </c>
      <c r="I876" s="7771" t="s">
        <v>908</v>
      </c>
    </row>
    <row customHeight="1" ht="11.25">
      <c r="A877" s="7771" t="s">
        <v>2266</v>
      </c>
      <c r="B877" s="7771" t="s">
        <v>16</v>
      </c>
      <c r="C877" s="7771" t="s">
        <v>3459</v>
      </c>
      <c r="D877" s="7771" t="s">
        <v>3460</v>
      </c>
      <c r="E877" s="7771" t="s">
        <v>3461</v>
      </c>
      <c r="F877" s="7771" t="s">
        <v>2295</v>
      </c>
      <c r="G877" s="7771" t="s">
        <v>3462</v>
      </c>
      <c r="H877" s="7771" t="s">
        <v>28</v>
      </c>
      <c r="I877" s="7771" t="s">
        <v>908</v>
      </c>
    </row>
    <row customHeight="1" ht="11.25">
      <c r="A878" s="7771" t="s">
        <v>2266</v>
      </c>
      <c r="B878" s="7771" t="s">
        <v>16</v>
      </c>
      <c r="C878" s="7771" t="s">
        <v>3463</v>
      </c>
      <c r="D878" s="7771" t="s">
        <v>3464</v>
      </c>
      <c r="E878" s="7771" t="s">
        <v>3465</v>
      </c>
      <c r="F878" s="7771" t="s">
        <v>2300</v>
      </c>
      <c r="G878" s="7771" t="s">
        <v>3466</v>
      </c>
      <c r="H878" s="7771" t="s">
        <v>28</v>
      </c>
      <c r="I878" s="7771" t="s">
        <v>908</v>
      </c>
    </row>
    <row customHeight="1" ht="11.25">
      <c r="A879" s="7771" t="s">
        <v>2266</v>
      </c>
      <c r="B879" s="7771" t="s">
        <v>16</v>
      </c>
      <c r="C879" s="7771" t="s">
        <v>3467</v>
      </c>
      <c r="D879" s="7771" t="s">
        <v>3468</v>
      </c>
      <c r="E879" s="7771" t="s">
        <v>3469</v>
      </c>
      <c r="F879" s="7771" t="s">
        <v>2933</v>
      </c>
      <c r="G879" s="7771" t="s">
        <v>3470</v>
      </c>
      <c r="H879" s="7771" t="s">
        <v>28</v>
      </c>
      <c r="I879" s="7771" t="s">
        <v>908</v>
      </c>
    </row>
    <row customHeight="1" ht="11.25">
      <c r="A880" s="7771" t="s">
        <v>2266</v>
      </c>
      <c r="B880" s="7771" t="s">
        <v>16</v>
      </c>
      <c r="C880" s="7771" t="s">
        <v>3471</v>
      </c>
      <c r="D880" s="7771" t="s">
        <v>3472</v>
      </c>
      <c r="E880" s="7771" t="s">
        <v>3473</v>
      </c>
      <c r="F880" s="7771" t="s">
        <v>2280</v>
      </c>
      <c r="G880" s="7771" t="s">
        <v>28</v>
      </c>
      <c r="H880" s="7771" t="s">
        <v>28</v>
      </c>
      <c r="I880" s="7771" t="s">
        <v>908</v>
      </c>
    </row>
    <row customHeight="1" ht="11.25">
      <c r="A881" s="7771" t="s">
        <v>2266</v>
      </c>
      <c r="B881" s="7771" t="s">
        <v>16</v>
      </c>
      <c r="C881" s="7771" t="s">
        <v>3474</v>
      </c>
      <c r="D881" s="7771" t="s">
        <v>3475</v>
      </c>
      <c r="E881" s="7771" t="s">
        <v>3476</v>
      </c>
      <c r="F881" s="7771" t="s">
        <v>2300</v>
      </c>
      <c r="G881" s="7771" t="s">
        <v>28</v>
      </c>
      <c r="H881" s="7771" t="s">
        <v>28</v>
      </c>
      <c r="I881" s="7771" t="s">
        <v>908</v>
      </c>
    </row>
    <row customHeight="1" ht="11.25">
      <c r="A882" s="7771" t="s">
        <v>2266</v>
      </c>
      <c r="B882" s="7771" t="s">
        <v>16</v>
      </c>
      <c r="C882" s="7771" t="s">
        <v>3477</v>
      </c>
      <c r="D882" s="7771" t="s">
        <v>3478</v>
      </c>
      <c r="E882" s="7771" t="s">
        <v>3479</v>
      </c>
      <c r="F882" s="7771" t="s">
        <v>3480</v>
      </c>
      <c r="G882" s="7771" t="s">
        <v>3481</v>
      </c>
      <c r="H882" s="7771" t="s">
        <v>28</v>
      </c>
      <c r="I882" s="7771" t="s">
        <v>908</v>
      </c>
    </row>
    <row customHeight="1" ht="11.25">
      <c r="A883" s="7771" t="s">
        <v>2266</v>
      </c>
      <c r="B883" s="7771" t="s">
        <v>16</v>
      </c>
      <c r="C883" s="7771" t="s">
        <v>3482</v>
      </c>
      <c r="D883" s="7771" t="s">
        <v>3483</v>
      </c>
      <c r="E883" s="7771" t="s">
        <v>3484</v>
      </c>
      <c r="F883" s="7771" t="s">
        <v>2385</v>
      </c>
      <c r="G883" s="7771" t="s">
        <v>28</v>
      </c>
      <c r="H883" s="7771" t="s">
        <v>28</v>
      </c>
      <c r="I883" s="7771" t="s">
        <v>908</v>
      </c>
    </row>
    <row customHeight="1" ht="11.25">
      <c r="A884" s="7771" t="s">
        <v>2266</v>
      </c>
      <c r="B884" s="7771" t="s">
        <v>16</v>
      </c>
      <c r="C884" s="7771" t="s">
        <v>3485</v>
      </c>
      <c r="D884" s="7771" t="s">
        <v>3486</v>
      </c>
      <c r="E884" s="7771" t="s">
        <v>3487</v>
      </c>
      <c r="F884" s="7771" t="s">
        <v>2933</v>
      </c>
      <c r="G884" s="7771" t="s">
        <v>28</v>
      </c>
      <c r="H884" s="7771" t="s">
        <v>28</v>
      </c>
      <c r="I884" s="7771" t="s">
        <v>908</v>
      </c>
    </row>
    <row customHeight="1" ht="11.25">
      <c r="A885" s="7771" t="s">
        <v>2266</v>
      </c>
      <c r="B885" s="7771" t="s">
        <v>16</v>
      </c>
      <c r="C885" s="7771" t="s">
        <v>3506</v>
      </c>
      <c r="D885" s="7771" t="s">
        <v>3507</v>
      </c>
      <c r="E885" s="7771" t="s">
        <v>3508</v>
      </c>
      <c r="F885" s="7771" t="s">
        <v>2430</v>
      </c>
      <c r="G885" s="7771" t="s">
        <v>3509</v>
      </c>
      <c r="H885" s="7771" t="s">
        <v>28</v>
      </c>
      <c r="I885" s="7771" t="s">
        <v>908</v>
      </c>
    </row>
    <row customHeight="1" ht="11.25">
      <c r="A886" s="7771" t="s">
        <v>2266</v>
      </c>
      <c r="B886" s="7771" t="s">
        <v>16</v>
      </c>
      <c r="C886" s="7771" t="s">
        <v>3510</v>
      </c>
      <c r="D886" s="7771" t="s">
        <v>3511</v>
      </c>
      <c r="E886" s="7771" t="s">
        <v>3512</v>
      </c>
      <c r="F886" s="7771" t="s">
        <v>2446</v>
      </c>
      <c r="G886" s="7771" t="s">
        <v>3513</v>
      </c>
      <c r="H886" s="7771" t="s">
        <v>28</v>
      </c>
      <c r="I886" s="7771" t="s">
        <v>908</v>
      </c>
    </row>
    <row customHeight="1" ht="11.25">
      <c r="A887" s="7771" t="s">
        <v>2266</v>
      </c>
      <c r="B887" s="7771" t="s">
        <v>16</v>
      </c>
      <c r="C887" s="7771" t="s">
        <v>3514</v>
      </c>
      <c r="D887" s="7771" t="s">
        <v>3515</v>
      </c>
      <c r="E887" s="7771" t="s">
        <v>3516</v>
      </c>
      <c r="F887" s="7771" t="s">
        <v>2300</v>
      </c>
      <c r="G887" s="7771" t="s">
        <v>28</v>
      </c>
      <c r="H887" s="7771" t="s">
        <v>28</v>
      </c>
      <c r="I887" s="7771" t="s">
        <v>908</v>
      </c>
    </row>
    <row customHeight="1" ht="11.25">
      <c r="A888" s="7771" t="s">
        <v>2266</v>
      </c>
      <c r="B888" s="7771" t="s">
        <v>16</v>
      </c>
      <c r="C888" s="7771" t="s">
        <v>3539</v>
      </c>
      <c r="D888" s="7771" t="s">
        <v>3540</v>
      </c>
      <c r="E888" s="7771" t="s">
        <v>3541</v>
      </c>
      <c r="F888" s="7771" t="s">
        <v>2399</v>
      </c>
      <c r="G888" s="7771" t="s">
        <v>28</v>
      </c>
      <c r="H888" s="7771" t="s">
        <v>28</v>
      </c>
      <c r="I888" s="7771" t="s">
        <v>908</v>
      </c>
    </row>
    <row customHeight="1" ht="11.25">
      <c r="A889" s="7771" t="s">
        <v>2266</v>
      </c>
      <c r="B889" s="7771" t="s">
        <v>16</v>
      </c>
      <c r="C889" s="7771" t="s">
        <v>3542</v>
      </c>
      <c r="D889" s="7771" t="s">
        <v>3543</v>
      </c>
      <c r="E889" s="7771" t="s">
        <v>3544</v>
      </c>
      <c r="F889" s="7771" t="s">
        <v>2347</v>
      </c>
      <c r="G889" s="7771" t="s">
        <v>3545</v>
      </c>
      <c r="H889" s="7771" t="s">
        <v>28</v>
      </c>
      <c r="I889" s="7771" t="s">
        <v>908</v>
      </c>
    </row>
    <row customHeight="1" ht="11.25">
      <c r="A890" s="7771" t="s">
        <v>2266</v>
      </c>
      <c r="B890" s="7771" t="s">
        <v>16</v>
      </c>
      <c r="C890" s="7771" t="s">
        <v>3546</v>
      </c>
      <c r="D890" s="7771" t="s">
        <v>3547</v>
      </c>
      <c r="E890" s="7771" t="s">
        <v>3548</v>
      </c>
      <c r="F890" s="7771" t="s">
        <v>2385</v>
      </c>
      <c r="G890" s="7771" t="s">
        <v>3549</v>
      </c>
      <c r="H890" s="7771" t="s">
        <v>28</v>
      </c>
      <c r="I890" s="7771" t="s">
        <v>908</v>
      </c>
    </row>
    <row customHeight="1" ht="11.25">
      <c r="A891" s="7771" t="s">
        <v>2266</v>
      </c>
      <c r="B891" s="7771" t="s">
        <v>16</v>
      </c>
      <c r="C891" s="7771" t="s">
        <v>3550</v>
      </c>
      <c r="D891" s="7771" t="s">
        <v>3551</v>
      </c>
      <c r="E891" s="7771" t="s">
        <v>3552</v>
      </c>
      <c r="F891" s="7771" t="s">
        <v>3125</v>
      </c>
      <c r="G891" s="7771" t="s">
        <v>3553</v>
      </c>
      <c r="H891" s="7771" t="s">
        <v>28</v>
      </c>
      <c r="I891" s="7771" t="s">
        <v>908</v>
      </c>
    </row>
    <row customHeight="1" ht="11.25">
      <c r="A892" s="7771" t="s">
        <v>2266</v>
      </c>
      <c r="B892" s="7771" t="s">
        <v>16</v>
      </c>
      <c r="C892" s="7771" t="s">
        <v>3566</v>
      </c>
      <c r="D892" s="7771" t="s">
        <v>3567</v>
      </c>
      <c r="E892" s="7771" t="s">
        <v>3568</v>
      </c>
      <c r="F892" s="7771" t="s">
        <v>2280</v>
      </c>
      <c r="G892" s="7771" t="s">
        <v>3569</v>
      </c>
      <c r="H892" s="7771" t="s">
        <v>28</v>
      </c>
      <c r="I892" s="7771" t="s">
        <v>908</v>
      </c>
    </row>
    <row customHeight="1" ht="11.25">
      <c r="A893" s="7771" t="s">
        <v>2266</v>
      </c>
      <c r="B893" s="7771" t="s">
        <v>16</v>
      </c>
      <c r="C893" s="7771" t="s">
        <v>3570</v>
      </c>
      <c r="D893" s="7771" t="s">
        <v>3571</v>
      </c>
      <c r="E893" s="7771" t="s">
        <v>3572</v>
      </c>
      <c r="F893" s="7771" t="s">
        <v>3573</v>
      </c>
      <c r="G893" s="7771" t="s">
        <v>3481</v>
      </c>
      <c r="H893" s="7771" t="s">
        <v>28</v>
      </c>
      <c r="I893" s="7771" t="s">
        <v>908</v>
      </c>
    </row>
    <row customHeight="1" ht="11.25">
      <c r="A894" s="7771" t="s">
        <v>2266</v>
      </c>
      <c r="B894" s="7771" t="s">
        <v>16</v>
      </c>
      <c r="C894" s="7771" t="s">
        <v>3577</v>
      </c>
      <c r="D894" s="7771" t="s">
        <v>3578</v>
      </c>
      <c r="E894" s="7771" t="s">
        <v>3579</v>
      </c>
      <c r="F894" s="7771" t="s">
        <v>2655</v>
      </c>
      <c r="G894" s="7771" t="s">
        <v>3580</v>
      </c>
      <c r="H894" s="7771" t="s">
        <v>28</v>
      </c>
      <c r="I894" s="7771" t="s">
        <v>908</v>
      </c>
    </row>
    <row customHeight="1" ht="11.25">
      <c r="A895" s="7771" t="s">
        <v>2266</v>
      </c>
      <c r="B895" s="7771" t="s">
        <v>16</v>
      </c>
      <c r="C895" s="7771" t="s">
        <v>3581</v>
      </c>
      <c r="D895" s="7771" t="s">
        <v>3582</v>
      </c>
      <c r="E895" s="7771" t="s">
        <v>3583</v>
      </c>
      <c r="F895" s="7771" t="s">
        <v>2503</v>
      </c>
      <c r="G895" s="7771" t="s">
        <v>28</v>
      </c>
      <c r="H895" s="7771" t="s">
        <v>28</v>
      </c>
      <c r="I895" s="7771" t="s">
        <v>908</v>
      </c>
    </row>
    <row customHeight="1" ht="11.25">
      <c r="A896" s="7771" t="s">
        <v>2266</v>
      </c>
      <c r="B896" s="7771" t="s">
        <v>16</v>
      </c>
      <c r="C896" s="7771" t="s">
        <v>3588</v>
      </c>
      <c r="D896" s="7771" t="s">
        <v>3589</v>
      </c>
      <c r="E896" s="7771" t="s">
        <v>3590</v>
      </c>
      <c r="F896" s="7771" t="s">
        <v>2412</v>
      </c>
      <c r="G896" s="7771" t="s">
        <v>28</v>
      </c>
      <c r="H896" s="7771" t="s">
        <v>28</v>
      </c>
      <c r="I896" s="7771" t="s">
        <v>908</v>
      </c>
    </row>
    <row customHeight="1" ht="11.25">
      <c r="A897" s="7771" t="s">
        <v>2266</v>
      </c>
      <c r="B897" s="7771" t="s">
        <v>16</v>
      </c>
      <c r="C897" s="7771" t="s">
        <v>3594</v>
      </c>
      <c r="D897" s="7771" t="s">
        <v>3595</v>
      </c>
      <c r="E897" s="7771" t="s">
        <v>3596</v>
      </c>
      <c r="F897" s="7771" t="s">
        <v>2486</v>
      </c>
      <c r="G897" s="7771" t="s">
        <v>28</v>
      </c>
      <c r="H897" s="7771" t="s">
        <v>28</v>
      </c>
      <c r="I897" s="7771" t="s">
        <v>908</v>
      </c>
    </row>
    <row customHeight="1" ht="11.25">
      <c r="A898" s="7771" t="s">
        <v>2266</v>
      </c>
      <c r="B898" s="7771" t="s">
        <v>16</v>
      </c>
      <c r="C898" s="7771" t="s">
        <v>3597</v>
      </c>
      <c r="D898" s="7771" t="s">
        <v>3598</v>
      </c>
      <c r="E898" s="7771" t="s">
        <v>3599</v>
      </c>
      <c r="F898" s="7771" t="s">
        <v>2280</v>
      </c>
      <c r="G898" s="7771" t="s">
        <v>3600</v>
      </c>
      <c r="H898" s="7771" t="s">
        <v>28</v>
      </c>
      <c r="I898" s="7771" t="s">
        <v>908</v>
      </c>
    </row>
    <row customHeight="1" ht="11.25">
      <c r="A899" s="7771" t="s">
        <v>2266</v>
      </c>
      <c r="B899" s="7771" t="s">
        <v>16</v>
      </c>
      <c r="C899" s="7771" t="s">
        <v>3601</v>
      </c>
      <c r="D899" s="7771" t="s">
        <v>3602</v>
      </c>
      <c r="E899" s="7771" t="s">
        <v>3603</v>
      </c>
      <c r="F899" s="7771" t="s">
        <v>2372</v>
      </c>
      <c r="G899" s="7771" t="s">
        <v>28</v>
      </c>
      <c r="H899" s="7771" t="s">
        <v>28</v>
      </c>
      <c r="I899" s="7771" t="s">
        <v>908</v>
      </c>
    </row>
    <row customHeight="1" ht="11.25">
      <c r="A900" s="7771" t="s">
        <v>2266</v>
      </c>
      <c r="B900" s="7771" t="s">
        <v>16</v>
      </c>
      <c r="C900" s="7771" t="s">
        <v>4794</v>
      </c>
      <c r="D900" s="7771" t="s">
        <v>4795</v>
      </c>
      <c r="E900" s="7771" t="s">
        <v>4796</v>
      </c>
      <c r="F900" s="7771" t="s">
        <v>2624</v>
      </c>
      <c r="G900" s="7771" t="s">
        <v>4797</v>
      </c>
      <c r="H900" s="7771" t="s">
        <v>28</v>
      </c>
      <c r="I900" s="7771" t="s">
        <v>908</v>
      </c>
    </row>
    <row customHeight="1" ht="11.25">
      <c r="A901" s="7771" t="s">
        <v>2266</v>
      </c>
      <c r="B901" s="7771" t="s">
        <v>16</v>
      </c>
      <c r="C901" s="7771" t="s">
        <v>3604</v>
      </c>
      <c r="D901" s="7771" t="s">
        <v>3605</v>
      </c>
      <c r="E901" s="7771" t="s">
        <v>3606</v>
      </c>
      <c r="F901" s="7771" t="s">
        <v>2425</v>
      </c>
      <c r="G901" s="7771" t="s">
        <v>3607</v>
      </c>
      <c r="H901" s="7771" t="s">
        <v>28</v>
      </c>
      <c r="I901" s="7771" t="s">
        <v>908</v>
      </c>
    </row>
    <row customHeight="1" ht="11.25">
      <c r="A902" s="7771" t="s">
        <v>2266</v>
      </c>
      <c r="B902" s="7771" t="s">
        <v>16</v>
      </c>
      <c r="C902" s="7771" t="s">
        <v>3612</v>
      </c>
      <c r="D902" s="7771" t="s">
        <v>3613</v>
      </c>
      <c r="E902" s="7771" t="s">
        <v>3614</v>
      </c>
      <c r="F902" s="7771" t="s">
        <v>2377</v>
      </c>
      <c r="G902" s="7771" t="s">
        <v>3615</v>
      </c>
      <c r="H902" s="7771" t="s">
        <v>28</v>
      </c>
      <c r="I902" s="7771" t="s">
        <v>908</v>
      </c>
    </row>
    <row customHeight="1" ht="11.25">
      <c r="A903" s="7771" t="s">
        <v>2266</v>
      </c>
      <c r="B903" s="7771" t="s">
        <v>16</v>
      </c>
      <c r="C903" s="7771" t="s">
        <v>3620</v>
      </c>
      <c r="D903" s="7771" t="s">
        <v>3621</v>
      </c>
      <c r="E903" s="7771" t="s">
        <v>3622</v>
      </c>
      <c r="F903" s="7771" t="s">
        <v>2846</v>
      </c>
      <c r="G903" s="7771" t="s">
        <v>28</v>
      </c>
      <c r="H903" s="7771" t="s">
        <v>28</v>
      </c>
      <c r="I903" s="7771" t="s">
        <v>908</v>
      </c>
    </row>
    <row customHeight="1" ht="11.25">
      <c r="A904" s="7771" t="s">
        <v>2266</v>
      </c>
      <c r="B904" s="7771" t="s">
        <v>16</v>
      </c>
      <c r="C904" s="7771" t="s">
        <v>3623</v>
      </c>
      <c r="D904" s="7771" t="s">
        <v>3624</v>
      </c>
      <c r="E904" s="7771" t="s">
        <v>3625</v>
      </c>
      <c r="F904" s="7771" t="s">
        <v>3626</v>
      </c>
      <c r="G904" s="7771" t="s">
        <v>28</v>
      </c>
      <c r="H904" s="7771" t="s">
        <v>28</v>
      </c>
      <c r="I904" s="7771" t="s">
        <v>908</v>
      </c>
    </row>
    <row customHeight="1" ht="11.25">
      <c r="A905" s="7771" t="s">
        <v>2266</v>
      </c>
      <c r="B905" s="7771" t="s">
        <v>16</v>
      </c>
      <c r="C905" s="7771" t="s">
        <v>3627</v>
      </c>
      <c r="D905" s="7771" t="s">
        <v>3628</v>
      </c>
      <c r="E905" s="7771" t="s">
        <v>3629</v>
      </c>
      <c r="F905" s="7771" t="s">
        <v>2441</v>
      </c>
      <c r="G905" s="7771" t="s">
        <v>28</v>
      </c>
      <c r="H905" s="7771" t="s">
        <v>28</v>
      </c>
      <c r="I905" s="7771" t="s">
        <v>908</v>
      </c>
    </row>
    <row customHeight="1" ht="11.25">
      <c r="A906" s="7771" t="s">
        <v>2266</v>
      </c>
      <c r="B906" s="7771" t="s">
        <v>16</v>
      </c>
      <c r="C906" s="7771" t="s">
        <v>3634</v>
      </c>
      <c r="D906" s="7771" t="s">
        <v>3635</v>
      </c>
      <c r="E906" s="7771" t="s">
        <v>3636</v>
      </c>
      <c r="F906" s="7771" t="s">
        <v>2629</v>
      </c>
      <c r="G906" s="7771" t="s">
        <v>3637</v>
      </c>
      <c r="H906" s="7771" t="s">
        <v>28</v>
      </c>
      <c r="I906" s="7771" t="s">
        <v>908</v>
      </c>
    </row>
    <row customHeight="1" ht="11.25">
      <c r="A907" s="7771" t="s">
        <v>2266</v>
      </c>
      <c r="B907" s="7771" t="s">
        <v>16</v>
      </c>
      <c r="C907" s="7771" t="s">
        <v>3646</v>
      </c>
      <c r="D907" s="7771" t="s">
        <v>3647</v>
      </c>
      <c r="E907" s="7771" t="s">
        <v>3648</v>
      </c>
      <c r="F907" s="7771" t="s">
        <v>2629</v>
      </c>
      <c r="G907" s="7771" t="s">
        <v>3649</v>
      </c>
      <c r="H907" s="7771" t="s">
        <v>28</v>
      </c>
      <c r="I907" s="7771" t="s">
        <v>908</v>
      </c>
    </row>
    <row customHeight="1" ht="11.25">
      <c r="A908" s="7771" t="s">
        <v>2266</v>
      </c>
      <c r="B908" s="7771" t="s">
        <v>16</v>
      </c>
      <c r="C908" s="7771" t="s">
        <v>3650</v>
      </c>
      <c r="D908" s="7771" t="s">
        <v>3651</v>
      </c>
      <c r="E908" s="7771" t="s">
        <v>3652</v>
      </c>
      <c r="F908" s="7771" t="s">
        <v>2295</v>
      </c>
      <c r="G908" s="7771" t="s">
        <v>28</v>
      </c>
      <c r="H908" s="7771" t="s">
        <v>28</v>
      </c>
      <c r="I908" s="7771" t="s">
        <v>908</v>
      </c>
    </row>
    <row customHeight="1" ht="11.25">
      <c r="A909" s="7771" t="s">
        <v>2266</v>
      </c>
      <c r="B909" s="7771" t="s">
        <v>16</v>
      </c>
      <c r="C909" s="7771" t="s">
        <v>3665</v>
      </c>
      <c r="D909" s="7771" t="s">
        <v>3666</v>
      </c>
      <c r="E909" s="7771" t="s">
        <v>3667</v>
      </c>
      <c r="F909" s="7771" t="s">
        <v>2347</v>
      </c>
      <c r="G909" s="7771" t="s">
        <v>3668</v>
      </c>
      <c r="H909" s="7771" t="s">
        <v>28</v>
      </c>
      <c r="I909" s="7771" t="s">
        <v>908</v>
      </c>
    </row>
    <row customHeight="1" ht="11.25">
      <c r="A910" s="7771" t="s">
        <v>2266</v>
      </c>
      <c r="B910" s="7771" t="s">
        <v>16</v>
      </c>
      <c r="C910" s="7771" t="s">
        <v>3669</v>
      </c>
      <c r="D910" s="7771" t="s">
        <v>3670</v>
      </c>
      <c r="E910" s="7771" t="s">
        <v>3671</v>
      </c>
      <c r="F910" s="7771" t="s">
        <v>3125</v>
      </c>
      <c r="G910" s="7771" t="s">
        <v>28</v>
      </c>
      <c r="H910" s="7771" t="s">
        <v>28</v>
      </c>
      <c r="I910" s="7771" t="s">
        <v>908</v>
      </c>
    </row>
    <row customHeight="1" ht="11.25">
      <c r="A911" s="7771" t="s">
        <v>2266</v>
      </c>
      <c r="B911" s="7771" t="s">
        <v>16</v>
      </c>
      <c r="C911" s="7771" t="s">
        <v>3672</v>
      </c>
      <c r="D911" s="7771" t="s">
        <v>3673</v>
      </c>
      <c r="E911" s="7771" t="s">
        <v>3674</v>
      </c>
      <c r="F911" s="7771" t="s">
        <v>2425</v>
      </c>
      <c r="G911" s="7771" t="s">
        <v>3675</v>
      </c>
      <c r="H911" s="7771" t="s">
        <v>28</v>
      </c>
      <c r="I911" s="7771" t="s">
        <v>908</v>
      </c>
    </row>
    <row customHeight="1" ht="11.25">
      <c r="A912" s="7771" t="s">
        <v>2266</v>
      </c>
      <c r="B912" s="7771" t="s">
        <v>16</v>
      </c>
      <c r="C912" s="7771" t="s">
        <v>3676</v>
      </c>
      <c r="D912" s="7771" t="s">
        <v>3677</v>
      </c>
      <c r="E912" s="7771" t="s">
        <v>3678</v>
      </c>
      <c r="F912" s="7771" t="s">
        <v>3679</v>
      </c>
      <c r="G912" s="7771" t="s">
        <v>3680</v>
      </c>
      <c r="H912" s="7771" t="s">
        <v>28</v>
      </c>
      <c r="I912" s="7771" t="s">
        <v>908</v>
      </c>
    </row>
    <row customHeight="1" ht="11.25">
      <c r="A913" s="7771" t="s">
        <v>2266</v>
      </c>
      <c r="B913" s="7771" t="s">
        <v>16</v>
      </c>
      <c r="C913" s="7771" t="s">
        <v>3684</v>
      </c>
      <c r="D913" s="7771" t="s">
        <v>3685</v>
      </c>
      <c r="E913" s="7771" t="s">
        <v>3686</v>
      </c>
      <c r="F913" s="7771" t="s">
        <v>2629</v>
      </c>
      <c r="G913" s="7771" t="s">
        <v>3687</v>
      </c>
      <c r="H913" s="7771" t="s">
        <v>28</v>
      </c>
      <c r="I913" s="7771" t="s">
        <v>908</v>
      </c>
    </row>
    <row customHeight="1" ht="11.25">
      <c r="A914" s="7771" t="s">
        <v>2266</v>
      </c>
      <c r="B914" s="7771" t="s">
        <v>16</v>
      </c>
      <c r="C914" s="7771" t="s">
        <v>3688</v>
      </c>
      <c r="D914" s="7771" t="s">
        <v>3689</v>
      </c>
      <c r="E914" s="7771" t="s">
        <v>3690</v>
      </c>
      <c r="F914" s="7771" t="s">
        <v>2280</v>
      </c>
      <c r="G914" s="7771" t="s">
        <v>3691</v>
      </c>
      <c r="H914" s="7771" t="s">
        <v>28</v>
      </c>
      <c r="I914" s="7771" t="s">
        <v>908</v>
      </c>
    </row>
    <row customHeight="1" ht="11.25">
      <c r="A915" s="7771" t="s">
        <v>2266</v>
      </c>
      <c r="B915" s="7771" t="s">
        <v>16</v>
      </c>
      <c r="C915" s="7771" t="s">
        <v>3699</v>
      </c>
      <c r="D915" s="7771" t="s">
        <v>3700</v>
      </c>
      <c r="E915" s="7771" t="s">
        <v>3701</v>
      </c>
      <c r="F915" s="7771" t="s">
        <v>2390</v>
      </c>
      <c r="G915" s="7771" t="s">
        <v>28</v>
      </c>
      <c r="H915" s="7771" t="s">
        <v>28</v>
      </c>
      <c r="I915" s="7771" t="s">
        <v>908</v>
      </c>
    </row>
    <row customHeight="1" ht="11.25">
      <c r="A916" s="7771" t="s">
        <v>2266</v>
      </c>
      <c r="B916" s="7771" t="s">
        <v>16</v>
      </c>
      <c r="C916" s="7771" t="s">
        <v>3715</v>
      </c>
      <c r="D916" s="7771" t="s">
        <v>3716</v>
      </c>
      <c r="E916" s="7771" t="s">
        <v>3717</v>
      </c>
      <c r="F916" s="7771" t="s">
        <v>2441</v>
      </c>
      <c r="G916" s="7771" t="s">
        <v>3718</v>
      </c>
      <c r="H916" s="7771" t="s">
        <v>28</v>
      </c>
      <c r="I916" s="7771" t="s">
        <v>908</v>
      </c>
    </row>
    <row customHeight="1" ht="11.25">
      <c r="A917" s="7771" t="s">
        <v>2266</v>
      </c>
      <c r="B917" s="7771" t="s">
        <v>16</v>
      </c>
      <c r="C917" s="7771" t="s">
        <v>3730</v>
      </c>
      <c r="D917" s="7771" t="s">
        <v>3731</v>
      </c>
      <c r="E917" s="7771" t="s">
        <v>3732</v>
      </c>
      <c r="F917" s="7771" t="s">
        <v>2451</v>
      </c>
      <c r="G917" s="7771" t="s">
        <v>3733</v>
      </c>
      <c r="H917" s="7771" t="s">
        <v>28</v>
      </c>
      <c r="I917" s="7771" t="s">
        <v>908</v>
      </c>
    </row>
    <row customHeight="1" ht="11.25">
      <c r="A918" s="7771" t="s">
        <v>2266</v>
      </c>
      <c r="B918" s="7771" t="s">
        <v>16</v>
      </c>
      <c r="C918" s="7771" t="s">
        <v>3738</v>
      </c>
      <c r="D918" s="7771" t="s">
        <v>3739</v>
      </c>
      <c r="E918" s="7771" t="s">
        <v>3740</v>
      </c>
      <c r="F918" s="7771" t="s">
        <v>2285</v>
      </c>
      <c r="G918" s="7771" t="s">
        <v>3741</v>
      </c>
      <c r="H918" s="7771" t="s">
        <v>28</v>
      </c>
      <c r="I918" s="7771" t="s">
        <v>908</v>
      </c>
    </row>
    <row customHeight="1" ht="11.25">
      <c r="A919" s="7771" t="s">
        <v>2266</v>
      </c>
      <c r="B919" s="7771" t="s">
        <v>16</v>
      </c>
      <c r="C919" s="7771" t="s">
        <v>4798</v>
      </c>
      <c r="D919" s="7771" t="s">
        <v>4799</v>
      </c>
      <c r="E919" s="7771" t="s">
        <v>4800</v>
      </c>
      <c r="F919" s="7771" t="s">
        <v>2446</v>
      </c>
      <c r="G919" s="7771" t="s">
        <v>4801</v>
      </c>
      <c r="H919" s="7771" t="s">
        <v>28</v>
      </c>
      <c r="I919" s="7771" t="s">
        <v>908</v>
      </c>
    </row>
    <row customHeight="1" ht="11.25">
      <c r="A920" s="7771" t="s">
        <v>2266</v>
      </c>
      <c r="B920" s="7771" t="s">
        <v>16</v>
      </c>
      <c r="C920" s="7771" t="s">
        <v>3759</v>
      </c>
      <c r="D920" s="7771" t="s">
        <v>3760</v>
      </c>
      <c r="E920" s="7771" t="s">
        <v>3761</v>
      </c>
      <c r="F920" s="7771" t="s">
        <v>2446</v>
      </c>
      <c r="G920" s="7771" t="s">
        <v>3762</v>
      </c>
      <c r="H920" s="7771" t="s">
        <v>28</v>
      </c>
      <c r="I920" s="7771" t="s">
        <v>908</v>
      </c>
    </row>
    <row customHeight="1" ht="11.25">
      <c r="A921" s="7771" t="s">
        <v>2266</v>
      </c>
      <c r="B921" s="7771" t="s">
        <v>16</v>
      </c>
      <c r="C921" s="7771" t="s">
        <v>3763</v>
      </c>
      <c r="D921" s="7771" t="s">
        <v>3764</v>
      </c>
      <c r="E921" s="7771" t="s">
        <v>3765</v>
      </c>
      <c r="F921" s="7771" t="s">
        <v>2503</v>
      </c>
      <c r="G921" s="7771" t="s">
        <v>3766</v>
      </c>
      <c r="H921" s="7771" t="s">
        <v>28</v>
      </c>
      <c r="I921" s="7771" t="s">
        <v>908</v>
      </c>
    </row>
    <row customHeight="1" ht="11.25">
      <c r="A922" s="7771" t="s">
        <v>2266</v>
      </c>
      <c r="B922" s="7771" t="s">
        <v>16</v>
      </c>
      <c r="C922" s="7771" t="s">
        <v>3767</v>
      </c>
      <c r="D922" s="7771" t="s">
        <v>3768</v>
      </c>
      <c r="E922" s="7771" t="s">
        <v>3769</v>
      </c>
      <c r="F922" s="7771" t="s">
        <v>2285</v>
      </c>
      <c r="G922" s="7771" t="s">
        <v>3770</v>
      </c>
      <c r="H922" s="7771" t="s">
        <v>28</v>
      </c>
      <c r="I922" s="7771" t="s">
        <v>908</v>
      </c>
    </row>
    <row customHeight="1" ht="11.25">
      <c r="A923" s="7771" t="s">
        <v>2266</v>
      </c>
      <c r="B923" s="7771" t="s">
        <v>16</v>
      </c>
      <c r="C923" s="7771" t="s">
        <v>3777</v>
      </c>
      <c r="D923" s="7771" t="s">
        <v>3778</v>
      </c>
      <c r="E923" s="7771" t="s">
        <v>3779</v>
      </c>
      <c r="F923" s="7771" t="s">
        <v>2377</v>
      </c>
      <c r="G923" s="7771" t="s">
        <v>3780</v>
      </c>
      <c r="H923" s="7771" t="s">
        <v>28</v>
      </c>
      <c r="I923" s="7771" t="s">
        <v>908</v>
      </c>
    </row>
    <row customHeight="1" ht="11.25">
      <c r="A924" s="7771" t="s">
        <v>2266</v>
      </c>
      <c r="B924" s="7771" t="s">
        <v>16</v>
      </c>
      <c r="C924" s="7771" t="s">
        <v>4802</v>
      </c>
      <c r="D924" s="7771" t="s">
        <v>4803</v>
      </c>
      <c r="E924" s="7771" t="s">
        <v>4804</v>
      </c>
      <c r="F924" s="7771" t="s">
        <v>2280</v>
      </c>
      <c r="G924" s="7771" t="s">
        <v>4805</v>
      </c>
      <c r="H924" s="7771" t="s">
        <v>28</v>
      </c>
      <c r="I924" s="7771" t="s">
        <v>908</v>
      </c>
    </row>
    <row customHeight="1" ht="11.25">
      <c r="A925" s="7771" t="s">
        <v>2266</v>
      </c>
      <c r="B925" s="7771" t="s">
        <v>16</v>
      </c>
      <c r="C925" s="7771" t="s">
        <v>3781</v>
      </c>
      <c r="D925" s="7771" t="s">
        <v>3782</v>
      </c>
      <c r="E925" s="7771" t="s">
        <v>3783</v>
      </c>
      <c r="F925" s="7771" t="s">
        <v>2629</v>
      </c>
      <c r="G925" s="7771" t="s">
        <v>3784</v>
      </c>
      <c r="H925" s="7771" t="s">
        <v>28</v>
      </c>
      <c r="I925" s="7771" t="s">
        <v>908</v>
      </c>
    </row>
    <row customHeight="1" ht="11.25">
      <c r="A926" s="7771" t="s">
        <v>2266</v>
      </c>
      <c r="B926" s="7771" t="s">
        <v>16</v>
      </c>
      <c r="C926" s="7771" t="s">
        <v>3795</v>
      </c>
      <c r="D926" s="7771" t="s">
        <v>3796</v>
      </c>
      <c r="E926" s="7771" t="s">
        <v>3797</v>
      </c>
      <c r="F926" s="7771" t="s">
        <v>2538</v>
      </c>
      <c r="G926" s="7771" t="s">
        <v>3798</v>
      </c>
      <c r="H926" s="7771" t="s">
        <v>28</v>
      </c>
      <c r="I926" s="7771" t="s">
        <v>908</v>
      </c>
    </row>
    <row customHeight="1" ht="11.25">
      <c r="A927" s="7771" t="s">
        <v>2266</v>
      </c>
      <c r="B927" s="7771" t="s">
        <v>16</v>
      </c>
      <c r="C927" s="7771" t="s">
        <v>3799</v>
      </c>
      <c r="D927" s="7771" t="s">
        <v>3800</v>
      </c>
      <c r="E927" s="7771" t="s">
        <v>3801</v>
      </c>
      <c r="F927" s="7771" t="s">
        <v>2642</v>
      </c>
      <c r="G927" s="7771" t="s">
        <v>3802</v>
      </c>
      <c r="H927" s="7771" t="s">
        <v>28</v>
      </c>
      <c r="I927" s="7771" t="s">
        <v>908</v>
      </c>
    </row>
    <row customHeight="1" ht="11.25">
      <c r="A928" s="7771" t="s">
        <v>2266</v>
      </c>
      <c r="B928" s="7771" t="s">
        <v>16</v>
      </c>
      <c r="C928" s="7771" t="s">
        <v>3817</v>
      </c>
      <c r="D928" s="7771" t="s">
        <v>3818</v>
      </c>
      <c r="E928" s="7771" t="s">
        <v>3819</v>
      </c>
      <c r="F928" s="7771" t="s">
        <v>2385</v>
      </c>
      <c r="G928" s="7771" t="s">
        <v>3820</v>
      </c>
      <c r="H928" s="7771" t="s">
        <v>28</v>
      </c>
      <c r="I928" s="7771" t="s">
        <v>908</v>
      </c>
    </row>
    <row customHeight="1" ht="11.25">
      <c r="A929" s="7771" t="s">
        <v>2266</v>
      </c>
      <c r="B929" s="7771" t="s">
        <v>16</v>
      </c>
      <c r="C929" s="7771" t="s">
        <v>3821</v>
      </c>
      <c r="D929" s="7771" t="s">
        <v>3822</v>
      </c>
      <c r="E929" s="7771" t="s">
        <v>3823</v>
      </c>
      <c r="F929" s="7771" t="s">
        <v>2342</v>
      </c>
      <c r="G929" s="7771" t="s">
        <v>28</v>
      </c>
      <c r="H929" s="7771" t="s">
        <v>28</v>
      </c>
      <c r="I929" s="7771" t="s">
        <v>908</v>
      </c>
    </row>
    <row customHeight="1" ht="11.25">
      <c r="A930" s="7771" t="s">
        <v>2266</v>
      </c>
      <c r="B930" s="7771" t="s">
        <v>16</v>
      </c>
      <c r="C930" s="7771" t="s">
        <v>3824</v>
      </c>
      <c r="D930" s="7771" t="s">
        <v>3825</v>
      </c>
      <c r="E930" s="7771" t="s">
        <v>3826</v>
      </c>
      <c r="F930" s="7771" t="s">
        <v>2280</v>
      </c>
      <c r="G930" s="7771" t="s">
        <v>3827</v>
      </c>
      <c r="H930" s="7771" t="s">
        <v>28</v>
      </c>
      <c r="I930" s="7771" t="s">
        <v>908</v>
      </c>
    </row>
    <row customHeight="1" ht="11.25">
      <c r="A931" s="7771" t="s">
        <v>2266</v>
      </c>
      <c r="B931" s="7771" t="s">
        <v>16</v>
      </c>
      <c r="C931" s="7771" t="s">
        <v>3828</v>
      </c>
      <c r="D931" s="7771" t="s">
        <v>3829</v>
      </c>
      <c r="E931" s="7771" t="s">
        <v>3830</v>
      </c>
      <c r="F931" s="7771" t="s">
        <v>2300</v>
      </c>
      <c r="G931" s="7771" t="s">
        <v>3831</v>
      </c>
      <c r="H931" s="7771" t="s">
        <v>28</v>
      </c>
      <c r="I931" s="7771" t="s">
        <v>908</v>
      </c>
    </row>
    <row customHeight="1" ht="11.25">
      <c r="A932" s="7771" t="s">
        <v>2266</v>
      </c>
      <c r="B932" s="7771" t="s">
        <v>16</v>
      </c>
      <c r="C932" s="7771" t="s">
        <v>3832</v>
      </c>
      <c r="D932" s="7771" t="s">
        <v>3833</v>
      </c>
      <c r="E932" s="7771" t="s">
        <v>3834</v>
      </c>
      <c r="F932" s="7771" t="s">
        <v>2399</v>
      </c>
      <c r="G932" s="7771" t="s">
        <v>28</v>
      </c>
      <c r="H932" s="7771" t="s">
        <v>28</v>
      </c>
      <c r="I932" s="7771" t="s">
        <v>908</v>
      </c>
    </row>
    <row customHeight="1" ht="11.25">
      <c r="A933" s="7771" t="s">
        <v>2266</v>
      </c>
      <c r="B933" s="7771" t="s">
        <v>16</v>
      </c>
      <c r="C933" s="7771" t="s">
        <v>3835</v>
      </c>
      <c r="D933" s="7771" t="s">
        <v>3836</v>
      </c>
      <c r="E933" s="7771" t="s">
        <v>3837</v>
      </c>
      <c r="F933" s="7771" t="s">
        <v>2399</v>
      </c>
      <c r="G933" s="7771" t="s">
        <v>28</v>
      </c>
      <c r="H933" s="7771" t="s">
        <v>28</v>
      </c>
      <c r="I933" s="7771" t="s">
        <v>908</v>
      </c>
    </row>
    <row customHeight="1" ht="11.25">
      <c r="A934" s="7771" t="s">
        <v>2266</v>
      </c>
      <c r="B934" s="7771" t="s">
        <v>16</v>
      </c>
      <c r="C934" s="7771" t="s">
        <v>3842</v>
      </c>
      <c r="D934" s="7771" t="s">
        <v>3843</v>
      </c>
      <c r="E934" s="7771" t="s">
        <v>3844</v>
      </c>
      <c r="F934" s="7771" t="s">
        <v>3845</v>
      </c>
      <c r="G934" s="7771" t="s">
        <v>3846</v>
      </c>
      <c r="H934" s="7771" t="s">
        <v>28</v>
      </c>
      <c r="I934" s="7771" t="s">
        <v>908</v>
      </c>
    </row>
    <row customHeight="1" ht="11.25">
      <c r="A935" s="7771" t="s">
        <v>2266</v>
      </c>
      <c r="B935" s="7771" t="s">
        <v>16</v>
      </c>
      <c r="C935" s="7771" t="s">
        <v>4806</v>
      </c>
      <c r="D935" s="7771" t="s">
        <v>4807</v>
      </c>
      <c r="E935" s="7771" t="s">
        <v>4808</v>
      </c>
      <c r="F935" s="7771" t="s">
        <v>2385</v>
      </c>
      <c r="G935" s="7771" t="s">
        <v>28</v>
      </c>
      <c r="H935" s="7771" t="s">
        <v>28</v>
      </c>
      <c r="I935" s="7771" t="s">
        <v>908</v>
      </c>
    </row>
    <row customHeight="1" ht="11.25">
      <c r="A936" s="7771" t="s">
        <v>2266</v>
      </c>
      <c r="B936" s="7771" t="s">
        <v>16</v>
      </c>
      <c r="C936" s="7771" t="s">
        <v>3850</v>
      </c>
      <c r="D936" s="7771" t="s">
        <v>3851</v>
      </c>
      <c r="E936" s="7771" t="s">
        <v>3852</v>
      </c>
      <c r="F936" s="7771" t="s">
        <v>2829</v>
      </c>
      <c r="G936" s="7771" t="s">
        <v>3853</v>
      </c>
      <c r="H936" s="7771" t="s">
        <v>28</v>
      </c>
      <c r="I936" s="7771" t="s">
        <v>908</v>
      </c>
    </row>
    <row customHeight="1" ht="11.25">
      <c r="A937" s="7771" t="s">
        <v>2266</v>
      </c>
      <c r="B937" s="7771" t="s">
        <v>16</v>
      </c>
      <c r="C937" s="7771" t="s">
        <v>3861</v>
      </c>
      <c r="D937" s="7771" t="s">
        <v>3862</v>
      </c>
      <c r="E937" s="7771" t="s">
        <v>3863</v>
      </c>
      <c r="F937" s="7771" t="s">
        <v>2325</v>
      </c>
      <c r="G937" s="7771" t="s">
        <v>28</v>
      </c>
      <c r="H937" s="7771" t="s">
        <v>28</v>
      </c>
      <c r="I937" s="7771" t="s">
        <v>908</v>
      </c>
    </row>
    <row customHeight="1" ht="11.25">
      <c r="A938" s="7771" t="s">
        <v>2266</v>
      </c>
      <c r="B938" s="7771" t="s">
        <v>16</v>
      </c>
      <c r="C938" s="7771" t="s">
        <v>3864</v>
      </c>
      <c r="D938" s="7771" t="s">
        <v>3865</v>
      </c>
      <c r="E938" s="7771" t="s">
        <v>3866</v>
      </c>
      <c r="F938" s="7771" t="s">
        <v>2425</v>
      </c>
      <c r="G938" s="7771" t="s">
        <v>28</v>
      </c>
      <c r="H938" s="7771" t="s">
        <v>28</v>
      </c>
      <c r="I938" s="7771" t="s">
        <v>908</v>
      </c>
    </row>
    <row customHeight="1" ht="11.25">
      <c r="A939" s="7771" t="s">
        <v>2266</v>
      </c>
      <c r="B939" s="7771" t="s">
        <v>16</v>
      </c>
      <c r="C939" s="7771" t="s">
        <v>3875</v>
      </c>
      <c r="D939" s="7771" t="s">
        <v>3876</v>
      </c>
      <c r="E939" s="7771" t="s">
        <v>3877</v>
      </c>
      <c r="F939" s="7771" t="s">
        <v>2399</v>
      </c>
      <c r="G939" s="7771" t="s">
        <v>28</v>
      </c>
      <c r="H939" s="7771" t="s">
        <v>28</v>
      </c>
      <c r="I939" s="7771" t="s">
        <v>908</v>
      </c>
    </row>
    <row customHeight="1" ht="11.25">
      <c r="A940" s="7771" t="s">
        <v>2266</v>
      </c>
      <c r="B940" s="7771" t="s">
        <v>16</v>
      </c>
      <c r="C940" s="7771" t="s">
        <v>3881</v>
      </c>
      <c r="D940" s="7771" t="s">
        <v>3882</v>
      </c>
      <c r="E940" s="7771" t="s">
        <v>3883</v>
      </c>
      <c r="F940" s="7771" t="s">
        <v>2280</v>
      </c>
      <c r="G940" s="7771" t="s">
        <v>3884</v>
      </c>
      <c r="H940" s="7771" t="s">
        <v>28</v>
      </c>
      <c r="I940" s="7771" t="s">
        <v>908</v>
      </c>
    </row>
    <row customHeight="1" ht="11.25">
      <c r="A941" s="7771" t="s">
        <v>2266</v>
      </c>
      <c r="B941" s="7771" t="s">
        <v>16</v>
      </c>
      <c r="C941" s="7771" t="s">
        <v>3885</v>
      </c>
      <c r="D941" s="7771" t="s">
        <v>3886</v>
      </c>
      <c r="E941" s="7771" t="s">
        <v>3887</v>
      </c>
      <c r="F941" s="7771" t="s">
        <v>2399</v>
      </c>
      <c r="G941" s="7771" t="s">
        <v>3888</v>
      </c>
      <c r="H941" s="7771" t="s">
        <v>28</v>
      </c>
      <c r="I941" s="7771" t="s">
        <v>908</v>
      </c>
    </row>
    <row customHeight="1" ht="11.25">
      <c r="A942" s="7771" t="s">
        <v>2266</v>
      </c>
      <c r="B942" s="7771" t="s">
        <v>16</v>
      </c>
      <c r="C942" s="7771" t="s">
        <v>3899</v>
      </c>
      <c r="D942" s="7771" t="s">
        <v>3900</v>
      </c>
      <c r="E942" s="7771" t="s">
        <v>3901</v>
      </c>
      <c r="F942" s="7771" t="s">
        <v>2829</v>
      </c>
      <c r="G942" s="7771" t="s">
        <v>3902</v>
      </c>
      <c r="H942" s="7771" t="s">
        <v>28</v>
      </c>
      <c r="I942" s="7771" t="s">
        <v>908</v>
      </c>
    </row>
    <row customHeight="1" ht="11.25">
      <c r="A943" s="7771" t="s">
        <v>2266</v>
      </c>
      <c r="B943" s="7771" t="s">
        <v>16</v>
      </c>
      <c r="C943" s="7771" t="s">
        <v>3907</v>
      </c>
      <c r="D943" s="7771" t="s">
        <v>3908</v>
      </c>
      <c r="E943" s="7771" t="s">
        <v>3909</v>
      </c>
      <c r="F943" s="7771" t="s">
        <v>2592</v>
      </c>
      <c r="G943" s="7771" t="s">
        <v>3910</v>
      </c>
      <c r="H943" s="7771" t="s">
        <v>28</v>
      </c>
      <c r="I943" s="7771" t="s">
        <v>908</v>
      </c>
    </row>
    <row customHeight="1" ht="11.25">
      <c r="A944" s="7771" t="s">
        <v>2266</v>
      </c>
      <c r="B944" s="7771" t="s">
        <v>16</v>
      </c>
      <c r="C944" s="7771" t="s">
        <v>3915</v>
      </c>
      <c r="D944" s="7771" t="s">
        <v>3916</v>
      </c>
      <c r="E944" s="7771" t="s">
        <v>3917</v>
      </c>
      <c r="F944" s="7771" t="s">
        <v>2347</v>
      </c>
      <c r="G944" s="7771" t="s">
        <v>2404</v>
      </c>
      <c r="H944" s="7771" t="s">
        <v>28</v>
      </c>
      <c r="I944" s="7771" t="s">
        <v>908</v>
      </c>
    </row>
    <row customHeight="1" ht="11.25">
      <c r="A945" s="7771" t="s">
        <v>2266</v>
      </c>
      <c r="B945" s="7771" t="s">
        <v>16</v>
      </c>
      <c r="C945" s="7771" t="s">
        <v>3926</v>
      </c>
      <c r="D945" s="7771" t="s">
        <v>3927</v>
      </c>
      <c r="E945" s="7771" t="s">
        <v>3928</v>
      </c>
      <c r="F945" s="7771" t="s">
        <v>2360</v>
      </c>
      <c r="G945" s="7771" t="s">
        <v>3929</v>
      </c>
      <c r="H945" s="7771" t="s">
        <v>28</v>
      </c>
      <c r="I945" s="7771" t="s">
        <v>908</v>
      </c>
    </row>
    <row customHeight="1" ht="11.25">
      <c r="A946" s="7771" t="s">
        <v>2266</v>
      </c>
      <c r="B946" s="7771" t="s">
        <v>16</v>
      </c>
      <c r="C946" s="7771" t="s">
        <v>3937</v>
      </c>
      <c r="D946" s="7771" t="s">
        <v>3938</v>
      </c>
      <c r="E946" s="7771" t="s">
        <v>3939</v>
      </c>
      <c r="F946" s="7771" t="s">
        <v>2518</v>
      </c>
      <c r="G946" s="7771" t="s">
        <v>28</v>
      </c>
      <c r="H946" s="7771" t="s">
        <v>28</v>
      </c>
      <c r="I946" s="7771" t="s">
        <v>908</v>
      </c>
    </row>
    <row customHeight="1" ht="11.25">
      <c r="A947" s="7771" t="s">
        <v>2266</v>
      </c>
      <c r="B947" s="7771" t="s">
        <v>16</v>
      </c>
      <c r="C947" s="7771" t="s">
        <v>3940</v>
      </c>
      <c r="D947" s="7771" t="s">
        <v>3941</v>
      </c>
      <c r="E947" s="7771" t="s">
        <v>3942</v>
      </c>
      <c r="F947" s="7771" t="s">
        <v>2430</v>
      </c>
      <c r="G947" s="7771" t="s">
        <v>28</v>
      </c>
      <c r="H947" s="7771" t="s">
        <v>28</v>
      </c>
      <c r="I947" s="7771" t="s">
        <v>908</v>
      </c>
    </row>
    <row customHeight="1" ht="11.25">
      <c r="A948" s="7771" t="s">
        <v>2266</v>
      </c>
      <c r="B948" s="7771" t="s">
        <v>16</v>
      </c>
      <c r="C948" s="7771" t="s">
        <v>3947</v>
      </c>
      <c r="D948" s="7771" t="s">
        <v>3948</v>
      </c>
      <c r="E948" s="7771" t="s">
        <v>3949</v>
      </c>
      <c r="F948" s="7771" t="s">
        <v>2451</v>
      </c>
      <c r="G948" s="7771" t="s">
        <v>3950</v>
      </c>
      <c r="H948" s="7771" t="s">
        <v>28</v>
      </c>
      <c r="I948" s="7771" t="s">
        <v>908</v>
      </c>
    </row>
    <row customHeight="1" ht="11.25">
      <c r="A949" s="7771" t="s">
        <v>2266</v>
      </c>
      <c r="B949" s="7771" t="s">
        <v>16</v>
      </c>
      <c r="C949" s="7771" t="s">
        <v>3957</v>
      </c>
      <c r="D949" s="7771" t="s">
        <v>3958</v>
      </c>
      <c r="E949" s="7771" t="s">
        <v>3959</v>
      </c>
      <c r="F949" s="7771" t="s">
        <v>3749</v>
      </c>
      <c r="G949" s="7771" t="s">
        <v>28</v>
      </c>
      <c r="H949" s="7771" t="s">
        <v>28</v>
      </c>
      <c r="I949" s="7771" t="s">
        <v>908</v>
      </c>
    </row>
    <row customHeight="1" ht="11.25">
      <c r="A950" s="7771" t="s">
        <v>2266</v>
      </c>
      <c r="B950" s="7771" t="s">
        <v>16</v>
      </c>
      <c r="C950" s="7771" t="s">
        <v>4809</v>
      </c>
      <c r="D950" s="7771" t="s">
        <v>4810</v>
      </c>
      <c r="E950" s="7771" t="s">
        <v>4811</v>
      </c>
      <c r="F950" s="7771" t="s">
        <v>2723</v>
      </c>
      <c r="G950" s="7771" t="s">
        <v>28</v>
      </c>
      <c r="H950" s="7771" t="s">
        <v>28</v>
      </c>
      <c r="I950" s="7771" t="s">
        <v>908</v>
      </c>
    </row>
    <row customHeight="1" ht="11.25">
      <c r="A951" s="7771" t="s">
        <v>2266</v>
      </c>
      <c r="B951" s="7771" t="s">
        <v>16</v>
      </c>
      <c r="C951" s="7771" t="s">
        <v>3976</v>
      </c>
      <c r="D951" s="7771" t="s">
        <v>3977</v>
      </c>
      <c r="E951" s="7771" t="s">
        <v>3978</v>
      </c>
      <c r="F951" s="7771" t="s">
        <v>2699</v>
      </c>
      <c r="G951" s="7771" t="s">
        <v>28</v>
      </c>
      <c r="H951" s="7771" t="s">
        <v>28</v>
      </c>
      <c r="I951" s="7771" t="s">
        <v>908</v>
      </c>
    </row>
    <row customHeight="1" ht="11.25">
      <c r="A952" s="7771" t="s">
        <v>2266</v>
      </c>
      <c r="B952" s="7771" t="s">
        <v>16</v>
      </c>
      <c r="C952" s="7771" t="s">
        <v>3979</v>
      </c>
      <c r="D952" s="7771" t="s">
        <v>3980</v>
      </c>
      <c r="E952" s="7771" t="s">
        <v>3981</v>
      </c>
      <c r="F952" s="7771" t="s">
        <v>2352</v>
      </c>
      <c r="G952" s="7771" t="s">
        <v>2469</v>
      </c>
      <c r="H952" s="7771" t="s">
        <v>28</v>
      </c>
      <c r="I952" s="7771" t="s">
        <v>908</v>
      </c>
    </row>
    <row customHeight="1" ht="11.25">
      <c r="A953" s="7771" t="s">
        <v>2266</v>
      </c>
      <c r="B953" s="7771" t="s">
        <v>16</v>
      </c>
      <c r="C953" s="7771" t="s">
        <v>3985</v>
      </c>
      <c r="D953" s="7771" t="s">
        <v>3986</v>
      </c>
      <c r="E953" s="7771" t="s">
        <v>3987</v>
      </c>
      <c r="F953" s="7771" t="s">
        <v>2451</v>
      </c>
      <c r="G953" s="7771" t="s">
        <v>3988</v>
      </c>
      <c r="H953" s="7771" t="s">
        <v>28</v>
      </c>
      <c r="I953" s="7771" t="s">
        <v>908</v>
      </c>
    </row>
    <row customHeight="1" ht="11.25">
      <c r="A954" s="7771" t="s">
        <v>2266</v>
      </c>
      <c r="B954" s="7771" t="s">
        <v>16</v>
      </c>
      <c r="C954" s="7771" t="s">
        <v>3993</v>
      </c>
      <c r="D954" s="7771" t="s">
        <v>3994</v>
      </c>
      <c r="E954" s="7771" t="s">
        <v>3995</v>
      </c>
      <c r="F954" s="7771" t="s">
        <v>2538</v>
      </c>
      <c r="G954" s="7771" t="s">
        <v>3996</v>
      </c>
      <c r="H954" s="7771" t="s">
        <v>28</v>
      </c>
      <c r="I954" s="7771" t="s">
        <v>908</v>
      </c>
    </row>
    <row customHeight="1" ht="11.25">
      <c r="A955" s="7771" t="s">
        <v>2266</v>
      </c>
      <c r="B955" s="7771" t="s">
        <v>16</v>
      </c>
      <c r="C955" s="7771" t="s">
        <v>4007</v>
      </c>
      <c r="D955" s="7771" t="s">
        <v>4008</v>
      </c>
      <c r="E955" s="7771" t="s">
        <v>4009</v>
      </c>
      <c r="F955" s="7771" t="s">
        <v>3626</v>
      </c>
      <c r="G955" s="7771" t="s">
        <v>4010</v>
      </c>
      <c r="H955" s="7771" t="s">
        <v>28</v>
      </c>
      <c r="I955" s="7771" t="s">
        <v>908</v>
      </c>
    </row>
    <row customHeight="1" ht="11.25">
      <c r="A956" s="7771" t="s">
        <v>2266</v>
      </c>
      <c r="B956" s="7771" t="s">
        <v>16</v>
      </c>
      <c r="C956" s="7771" t="s">
        <v>4011</v>
      </c>
      <c r="D956" s="7771" t="s">
        <v>4012</v>
      </c>
      <c r="E956" s="7771" t="s">
        <v>4009</v>
      </c>
      <c r="F956" s="7771" t="s">
        <v>4013</v>
      </c>
      <c r="G956" s="7771" t="s">
        <v>4014</v>
      </c>
      <c r="H956" s="7771" t="s">
        <v>28</v>
      </c>
      <c r="I956" s="7771" t="s">
        <v>908</v>
      </c>
    </row>
    <row customHeight="1" ht="11.25">
      <c r="A957" s="7771" t="s">
        <v>2266</v>
      </c>
      <c r="B957" s="7771" t="s">
        <v>16</v>
      </c>
      <c r="C957" s="7771" t="s">
        <v>4015</v>
      </c>
      <c r="D957" s="7771" t="s">
        <v>4016</v>
      </c>
      <c r="E957" s="7771" t="s">
        <v>4017</v>
      </c>
      <c r="F957" s="7771" t="s">
        <v>2347</v>
      </c>
      <c r="G957" s="7771" t="s">
        <v>4018</v>
      </c>
      <c r="H957" s="7771" t="s">
        <v>28</v>
      </c>
      <c r="I957" s="7771" t="s">
        <v>908</v>
      </c>
    </row>
    <row customHeight="1" ht="11.25">
      <c r="A958" s="7771" t="s">
        <v>2266</v>
      </c>
      <c r="B958" s="7771" t="s">
        <v>16</v>
      </c>
      <c r="C958" s="7771" t="s">
        <v>4024</v>
      </c>
      <c r="D958" s="7771" t="s">
        <v>4025</v>
      </c>
      <c r="E958" s="7771" t="s">
        <v>4026</v>
      </c>
      <c r="F958" s="7771" t="s">
        <v>2446</v>
      </c>
      <c r="G958" s="7771" t="s">
        <v>4027</v>
      </c>
      <c r="H958" s="7771" t="s">
        <v>28</v>
      </c>
      <c r="I958" s="7771" t="s">
        <v>908</v>
      </c>
    </row>
    <row customHeight="1" ht="11.25">
      <c r="A959" s="7771" t="s">
        <v>2266</v>
      </c>
      <c r="B959" s="7771" t="s">
        <v>16</v>
      </c>
      <c r="C959" s="7771" t="s">
        <v>4028</v>
      </c>
      <c r="D959" s="7771" t="s">
        <v>4029</v>
      </c>
      <c r="E959" s="7771" t="s">
        <v>4030</v>
      </c>
      <c r="F959" s="7771" t="s">
        <v>2285</v>
      </c>
      <c r="G959" s="7771" t="s">
        <v>4031</v>
      </c>
      <c r="H959" s="7771" t="s">
        <v>28</v>
      </c>
      <c r="I959" s="7771" t="s">
        <v>908</v>
      </c>
    </row>
    <row customHeight="1" ht="11.25">
      <c r="A960" s="7771" t="s">
        <v>2266</v>
      </c>
      <c r="B960" s="7771" t="s">
        <v>16</v>
      </c>
      <c r="C960" s="7771" t="s">
        <v>4032</v>
      </c>
      <c r="D960" s="7771" t="s">
        <v>4033</v>
      </c>
      <c r="E960" s="7771" t="s">
        <v>4034</v>
      </c>
      <c r="F960" s="7771" t="s">
        <v>2360</v>
      </c>
      <c r="G960" s="7771" t="s">
        <v>4035</v>
      </c>
      <c r="H960" s="7771" t="s">
        <v>28</v>
      </c>
      <c r="I960" s="7771" t="s">
        <v>908</v>
      </c>
    </row>
    <row customHeight="1" ht="11.25">
      <c r="A961" s="7771" t="s">
        <v>2266</v>
      </c>
      <c r="B961" s="7771" t="s">
        <v>16</v>
      </c>
      <c r="C961" s="7771" t="s">
        <v>4043</v>
      </c>
      <c r="D961" s="7771" t="s">
        <v>4044</v>
      </c>
      <c r="E961" s="7771" t="s">
        <v>4045</v>
      </c>
      <c r="F961" s="7771" t="s">
        <v>2468</v>
      </c>
      <c r="G961" s="7771" t="s">
        <v>28</v>
      </c>
      <c r="H961" s="7771" t="s">
        <v>28</v>
      </c>
      <c r="I961" s="7771" t="s">
        <v>908</v>
      </c>
    </row>
    <row customHeight="1" ht="11.25">
      <c r="A962" s="7771" t="s">
        <v>2266</v>
      </c>
      <c r="B962" s="7771" t="s">
        <v>16</v>
      </c>
      <c r="C962" s="7771" t="s">
        <v>4046</v>
      </c>
      <c r="D962" s="7771" t="s">
        <v>4047</v>
      </c>
      <c r="E962" s="7771" t="s">
        <v>4048</v>
      </c>
      <c r="F962" s="7771" t="s">
        <v>2739</v>
      </c>
      <c r="G962" s="7771" t="s">
        <v>4049</v>
      </c>
      <c r="H962" s="7771" t="s">
        <v>28</v>
      </c>
      <c r="I962" s="7771" t="s">
        <v>908</v>
      </c>
    </row>
    <row customHeight="1" ht="11.25">
      <c r="A963" s="7771" t="s">
        <v>2266</v>
      </c>
      <c r="B963" s="7771" t="s">
        <v>16</v>
      </c>
      <c r="C963" s="7771" t="s">
        <v>4050</v>
      </c>
      <c r="D963" s="7771" t="s">
        <v>4051</v>
      </c>
      <c r="E963" s="7771" t="s">
        <v>4052</v>
      </c>
      <c r="F963" s="7771" t="s">
        <v>2295</v>
      </c>
      <c r="G963" s="7771" t="s">
        <v>4053</v>
      </c>
      <c r="H963" s="7771" t="s">
        <v>28</v>
      </c>
      <c r="I963" s="7771" t="s">
        <v>908</v>
      </c>
    </row>
    <row customHeight="1" ht="11.25">
      <c r="A964" s="7771" t="s">
        <v>2266</v>
      </c>
      <c r="B964" s="7771" t="s">
        <v>16</v>
      </c>
      <c r="C964" s="7771" t="s">
        <v>4054</v>
      </c>
      <c r="D964" s="7771" t="s">
        <v>4055</v>
      </c>
      <c r="E964" s="7771" t="s">
        <v>4056</v>
      </c>
      <c r="F964" s="7771" t="s">
        <v>4057</v>
      </c>
      <c r="G964" s="7771" t="s">
        <v>28</v>
      </c>
      <c r="H964" s="7771" t="s">
        <v>28</v>
      </c>
      <c r="I964" s="7771" t="s">
        <v>908</v>
      </c>
    </row>
    <row customHeight="1" ht="11.25">
      <c r="A965" s="7771" t="s">
        <v>2266</v>
      </c>
      <c r="B965" s="7771" t="s">
        <v>16</v>
      </c>
      <c r="C965" s="7771" t="s">
        <v>4062</v>
      </c>
      <c r="D965" s="7771" t="s">
        <v>4063</v>
      </c>
      <c r="E965" s="7771" t="s">
        <v>4064</v>
      </c>
      <c r="F965" s="7771" t="s">
        <v>4065</v>
      </c>
      <c r="G965" s="7771" t="s">
        <v>4066</v>
      </c>
      <c r="H965" s="7771" t="s">
        <v>28</v>
      </c>
      <c r="I965" s="7771" t="s">
        <v>908</v>
      </c>
    </row>
    <row customHeight="1" ht="11.25">
      <c r="A966" s="7771" t="s">
        <v>2266</v>
      </c>
      <c r="B966" s="7771" t="s">
        <v>16</v>
      </c>
      <c r="C966" s="7771" t="s">
        <v>4067</v>
      </c>
      <c r="D966" s="7771" t="s">
        <v>4068</v>
      </c>
      <c r="E966" s="7771" t="s">
        <v>4069</v>
      </c>
      <c r="F966" s="7771" t="s">
        <v>2629</v>
      </c>
      <c r="G966" s="7771" t="s">
        <v>4070</v>
      </c>
      <c r="H966" s="7771" t="s">
        <v>28</v>
      </c>
      <c r="I966" s="7771" t="s">
        <v>908</v>
      </c>
    </row>
    <row customHeight="1" ht="11.25">
      <c r="A967" s="7771" t="s">
        <v>2266</v>
      </c>
      <c r="B967" s="7771" t="s">
        <v>16</v>
      </c>
      <c r="C967" s="7771" t="s">
        <v>4071</v>
      </c>
      <c r="D967" s="7771" t="s">
        <v>4072</v>
      </c>
      <c r="E967" s="7771" t="s">
        <v>4073</v>
      </c>
      <c r="F967" s="7771" t="s">
        <v>2723</v>
      </c>
      <c r="G967" s="7771" t="s">
        <v>28</v>
      </c>
      <c r="H967" s="7771" t="s">
        <v>28</v>
      </c>
      <c r="I967" s="7771" t="s">
        <v>908</v>
      </c>
    </row>
    <row customHeight="1" ht="11.25">
      <c r="A968" s="7771" t="s">
        <v>2266</v>
      </c>
      <c r="B968" s="7771" t="s">
        <v>16</v>
      </c>
      <c r="C968" s="7771" t="s">
        <v>4078</v>
      </c>
      <c r="D968" s="7771" t="s">
        <v>4079</v>
      </c>
      <c r="E968" s="7771" t="s">
        <v>4080</v>
      </c>
      <c r="F968" s="7771" t="s">
        <v>2342</v>
      </c>
      <c r="G968" s="7771" t="s">
        <v>28</v>
      </c>
      <c r="H968" s="7771" t="s">
        <v>28</v>
      </c>
      <c r="I968" s="7771" t="s">
        <v>908</v>
      </c>
    </row>
    <row customHeight="1" ht="11.25">
      <c r="A969" s="7771" t="s">
        <v>2266</v>
      </c>
      <c r="B969" s="7771" t="s">
        <v>16</v>
      </c>
      <c r="C969" s="7771" t="s">
        <v>4084</v>
      </c>
      <c r="D969" s="7771" t="s">
        <v>4085</v>
      </c>
      <c r="E969" s="7771" t="s">
        <v>4086</v>
      </c>
      <c r="F969" s="7771" t="s">
        <v>2300</v>
      </c>
      <c r="G969" s="7771" t="s">
        <v>28</v>
      </c>
      <c r="H969" s="7771" t="s">
        <v>28</v>
      </c>
      <c r="I969" s="7771" t="s">
        <v>908</v>
      </c>
    </row>
    <row customHeight="1" ht="11.25">
      <c r="A970" s="7771" t="s">
        <v>2266</v>
      </c>
      <c r="B970" s="7771" t="s">
        <v>16</v>
      </c>
      <c r="C970" s="7771" t="s">
        <v>4087</v>
      </c>
      <c r="D970" s="7771" t="s">
        <v>4088</v>
      </c>
      <c r="E970" s="7771" t="s">
        <v>4089</v>
      </c>
      <c r="F970" s="7771" t="s">
        <v>2846</v>
      </c>
      <c r="G970" s="7771" t="s">
        <v>4090</v>
      </c>
      <c r="H970" s="7771" t="s">
        <v>28</v>
      </c>
      <c r="I970" s="7771" t="s">
        <v>908</v>
      </c>
    </row>
    <row customHeight="1" ht="11.25">
      <c r="A971" s="7771" t="s">
        <v>2266</v>
      </c>
      <c r="B971" s="7771" t="s">
        <v>16</v>
      </c>
      <c r="C971" s="7771" t="s">
        <v>4091</v>
      </c>
      <c r="D971" s="7771" t="s">
        <v>4092</v>
      </c>
      <c r="E971" s="7771" t="s">
        <v>4093</v>
      </c>
      <c r="F971" s="7771" t="s">
        <v>4094</v>
      </c>
      <c r="G971" s="7771" t="s">
        <v>28</v>
      </c>
      <c r="H971" s="7771" t="s">
        <v>28</v>
      </c>
      <c r="I971" s="7771" t="s">
        <v>908</v>
      </c>
    </row>
    <row customHeight="1" ht="11.25">
      <c r="A972" s="7771" t="s">
        <v>2266</v>
      </c>
      <c r="B972" s="7771" t="s">
        <v>16</v>
      </c>
      <c r="C972" s="7771" t="s">
        <v>4095</v>
      </c>
      <c r="D972" s="7771" t="s">
        <v>4096</v>
      </c>
      <c r="E972" s="7771" t="s">
        <v>4097</v>
      </c>
      <c r="F972" s="7771" t="s">
        <v>2285</v>
      </c>
      <c r="G972" s="7771" t="s">
        <v>4061</v>
      </c>
      <c r="H972" s="7771" t="s">
        <v>28</v>
      </c>
      <c r="I972" s="7771" t="s">
        <v>908</v>
      </c>
    </row>
    <row customHeight="1" ht="11.25">
      <c r="A973" s="7771" t="s">
        <v>2266</v>
      </c>
      <c r="B973" s="7771" t="s">
        <v>16</v>
      </c>
      <c r="C973" s="7771" t="s">
        <v>4098</v>
      </c>
      <c r="D973" s="7771" t="s">
        <v>4099</v>
      </c>
      <c r="E973" s="7771" t="s">
        <v>4100</v>
      </c>
      <c r="F973" s="7771" t="s">
        <v>3027</v>
      </c>
      <c r="G973" s="7771" t="s">
        <v>4101</v>
      </c>
      <c r="H973" s="7771" t="s">
        <v>28</v>
      </c>
      <c r="I973" s="7771" t="s">
        <v>908</v>
      </c>
    </row>
    <row customHeight="1" ht="11.25">
      <c r="A974" s="7771" t="s">
        <v>2266</v>
      </c>
      <c r="B974" s="7771" t="s">
        <v>16</v>
      </c>
      <c r="C974" s="7771" t="s">
        <v>4102</v>
      </c>
      <c r="D974" s="7771" t="s">
        <v>4103</v>
      </c>
      <c r="E974" s="7771" t="s">
        <v>4104</v>
      </c>
      <c r="F974" s="7771" t="s">
        <v>4105</v>
      </c>
      <c r="G974" s="7771" t="s">
        <v>4106</v>
      </c>
      <c r="H974" s="7771" t="s">
        <v>28</v>
      </c>
      <c r="I974" s="7771" t="s">
        <v>908</v>
      </c>
    </row>
    <row customHeight="1" ht="11.25">
      <c r="A975" s="7771" t="s">
        <v>2266</v>
      </c>
      <c r="B975" s="7771" t="s">
        <v>16</v>
      </c>
      <c r="C975" s="7771" t="s">
        <v>4107</v>
      </c>
      <c r="D975" s="7771" t="s">
        <v>4108</v>
      </c>
      <c r="E975" s="7771" t="s">
        <v>4109</v>
      </c>
      <c r="F975" s="7771" t="s">
        <v>2933</v>
      </c>
      <c r="G975" s="7771" t="s">
        <v>28</v>
      </c>
      <c r="H975" s="7771" t="s">
        <v>28</v>
      </c>
      <c r="I975" s="7771" t="s">
        <v>908</v>
      </c>
    </row>
    <row customHeight="1" ht="11.25">
      <c r="A976" s="7771" t="s">
        <v>2266</v>
      </c>
      <c r="B976" s="7771" t="s">
        <v>16</v>
      </c>
      <c r="C976" s="7771" t="s">
        <v>4110</v>
      </c>
      <c r="D976" s="7771" t="s">
        <v>4111</v>
      </c>
      <c r="E976" s="7771" t="s">
        <v>4112</v>
      </c>
      <c r="F976" s="7771" t="s">
        <v>2280</v>
      </c>
      <c r="G976" s="7771" t="s">
        <v>4113</v>
      </c>
      <c r="H976" s="7771" t="s">
        <v>28</v>
      </c>
      <c r="I976" s="7771" t="s">
        <v>908</v>
      </c>
    </row>
    <row customHeight="1" ht="11.25">
      <c r="A977" s="7771" t="s">
        <v>2266</v>
      </c>
      <c r="B977" s="7771" t="s">
        <v>16</v>
      </c>
      <c r="C977" s="7771" t="s">
        <v>4118</v>
      </c>
      <c r="D977" s="7771" t="s">
        <v>4119</v>
      </c>
      <c r="E977" s="7771" t="s">
        <v>4120</v>
      </c>
      <c r="F977" s="7771" t="s">
        <v>2325</v>
      </c>
      <c r="G977" s="7771" t="s">
        <v>28</v>
      </c>
      <c r="H977" s="7771" t="s">
        <v>28</v>
      </c>
      <c r="I977" s="7771" t="s">
        <v>908</v>
      </c>
    </row>
    <row customHeight="1" ht="11.25">
      <c r="A978" s="7771" t="s">
        <v>2266</v>
      </c>
      <c r="B978" s="7771" t="s">
        <v>16</v>
      </c>
      <c r="C978" s="7771" t="s">
        <v>4121</v>
      </c>
      <c r="D978" s="7771" t="s">
        <v>4122</v>
      </c>
      <c r="E978" s="7771" t="s">
        <v>4123</v>
      </c>
      <c r="F978" s="7771" t="s">
        <v>2295</v>
      </c>
      <c r="G978" s="7771" t="s">
        <v>4124</v>
      </c>
      <c r="H978" s="7771" t="s">
        <v>28</v>
      </c>
      <c r="I978" s="7771" t="s">
        <v>908</v>
      </c>
    </row>
    <row customHeight="1" ht="11.25">
      <c r="A979" s="7771" t="s">
        <v>2266</v>
      </c>
      <c r="B979" s="7771" t="s">
        <v>16</v>
      </c>
      <c r="C979" s="7771" t="s">
        <v>4125</v>
      </c>
      <c r="D979" s="7771" t="s">
        <v>4126</v>
      </c>
      <c r="E979" s="7771" t="s">
        <v>4127</v>
      </c>
      <c r="F979" s="7771" t="s">
        <v>2280</v>
      </c>
      <c r="G979" s="7771" t="s">
        <v>28</v>
      </c>
      <c r="H979" s="7771" t="s">
        <v>28</v>
      </c>
      <c r="I979" s="7771" t="s">
        <v>908</v>
      </c>
    </row>
    <row customHeight="1" ht="11.25">
      <c r="A980" s="7771" t="s">
        <v>2266</v>
      </c>
      <c r="B980" s="7771" t="s">
        <v>16</v>
      </c>
      <c r="C980" s="7771" t="s">
        <v>4128</v>
      </c>
      <c r="D980" s="7771" t="s">
        <v>4129</v>
      </c>
      <c r="E980" s="7771" t="s">
        <v>4130</v>
      </c>
      <c r="F980" s="7771" t="s">
        <v>2629</v>
      </c>
      <c r="G980" s="7771" t="s">
        <v>4131</v>
      </c>
      <c r="H980" s="7771" t="s">
        <v>28</v>
      </c>
      <c r="I980" s="7771" t="s">
        <v>908</v>
      </c>
    </row>
    <row customHeight="1" ht="11.25">
      <c r="A981" s="7771" t="s">
        <v>2266</v>
      </c>
      <c r="B981" s="7771" t="s">
        <v>16</v>
      </c>
      <c r="C981" s="7771" t="s">
        <v>4147</v>
      </c>
      <c r="D981" s="7771" t="s">
        <v>4148</v>
      </c>
      <c r="E981" s="7771" t="s">
        <v>4149</v>
      </c>
      <c r="F981" s="7771" t="s">
        <v>2295</v>
      </c>
      <c r="G981" s="7771" t="s">
        <v>28</v>
      </c>
      <c r="H981" s="7771" t="s">
        <v>28</v>
      </c>
      <c r="I981" s="7771" t="s">
        <v>908</v>
      </c>
    </row>
    <row customHeight="1" ht="11.25">
      <c r="A982" s="7771" t="s">
        <v>2266</v>
      </c>
      <c r="B982" s="7771" t="s">
        <v>16</v>
      </c>
      <c r="C982" s="7771" t="s">
        <v>4150</v>
      </c>
      <c r="D982" s="7771" t="s">
        <v>4151</v>
      </c>
      <c r="E982" s="7771" t="s">
        <v>4152</v>
      </c>
      <c r="F982" s="7771" t="s">
        <v>3966</v>
      </c>
      <c r="G982" s="7771" t="s">
        <v>4153</v>
      </c>
      <c r="H982" s="7771" t="s">
        <v>28</v>
      </c>
      <c r="I982" s="7771" t="s">
        <v>908</v>
      </c>
    </row>
    <row customHeight="1" ht="11.25">
      <c r="A983" s="7771" t="s">
        <v>2266</v>
      </c>
      <c r="B983" s="7771" t="s">
        <v>16</v>
      </c>
      <c r="C983" s="7771" t="s">
        <v>4162</v>
      </c>
      <c r="D983" s="7771" t="s">
        <v>4163</v>
      </c>
      <c r="E983" s="7771" t="s">
        <v>4164</v>
      </c>
      <c r="F983" s="7771" t="s">
        <v>4165</v>
      </c>
      <c r="G983" s="7771" t="s">
        <v>3718</v>
      </c>
      <c r="H983" s="7771" t="s">
        <v>28</v>
      </c>
      <c r="I983" s="7771" t="s">
        <v>908</v>
      </c>
    </row>
    <row customHeight="1" ht="11.25">
      <c r="A984" s="7771" t="s">
        <v>2266</v>
      </c>
      <c r="B984" s="7771" t="s">
        <v>16</v>
      </c>
      <c r="C984" s="7771" t="s">
        <v>4166</v>
      </c>
      <c r="D984" s="7771" t="s">
        <v>4167</v>
      </c>
      <c r="E984" s="7771" t="s">
        <v>4168</v>
      </c>
      <c r="F984" s="7771" t="s">
        <v>3027</v>
      </c>
      <c r="G984" s="7771" t="s">
        <v>4169</v>
      </c>
      <c r="H984" s="7771" t="s">
        <v>28</v>
      </c>
      <c r="I984" s="7771" t="s">
        <v>908</v>
      </c>
    </row>
    <row customHeight="1" ht="11.25">
      <c r="A985" s="7771" t="s">
        <v>2266</v>
      </c>
      <c r="B985" s="7771" t="s">
        <v>16</v>
      </c>
      <c r="C985" s="7771" t="s">
        <v>4178</v>
      </c>
      <c r="D985" s="7771" t="s">
        <v>4179</v>
      </c>
      <c r="E985" s="7771" t="s">
        <v>4180</v>
      </c>
      <c r="F985" s="7771" t="s">
        <v>2629</v>
      </c>
      <c r="G985" s="7771" t="s">
        <v>4181</v>
      </c>
      <c r="H985" s="7771" t="s">
        <v>28</v>
      </c>
      <c r="I985" s="7771" t="s">
        <v>908</v>
      </c>
    </row>
    <row customHeight="1" ht="11.25">
      <c r="A986" s="7771" t="s">
        <v>2266</v>
      </c>
      <c r="B986" s="7771" t="s">
        <v>16</v>
      </c>
      <c r="C986" s="7771" t="s">
        <v>4182</v>
      </c>
      <c r="D986" s="7771" t="s">
        <v>4183</v>
      </c>
      <c r="E986" s="7771" t="s">
        <v>4184</v>
      </c>
      <c r="F986" s="7771" t="s">
        <v>2377</v>
      </c>
      <c r="G986" s="7771" t="s">
        <v>4185</v>
      </c>
      <c r="H986" s="7771" t="s">
        <v>28</v>
      </c>
      <c r="I986" s="7771" t="s">
        <v>908</v>
      </c>
    </row>
    <row customHeight="1" ht="11.25">
      <c r="A987" s="7771" t="s">
        <v>2266</v>
      </c>
      <c r="B987" s="7771" t="s">
        <v>16</v>
      </c>
      <c r="C987" s="7771" t="s">
        <v>4190</v>
      </c>
      <c r="D987" s="7771" t="s">
        <v>4191</v>
      </c>
      <c r="E987" s="7771" t="s">
        <v>4192</v>
      </c>
      <c r="F987" s="7771" t="s">
        <v>2446</v>
      </c>
      <c r="G987" s="7771" t="s">
        <v>4193</v>
      </c>
      <c r="H987" s="7771" t="s">
        <v>28</v>
      </c>
      <c r="I987" s="7771" t="s">
        <v>908</v>
      </c>
    </row>
    <row customHeight="1" ht="11.25">
      <c r="A988" s="7771" t="s">
        <v>2266</v>
      </c>
      <c r="B988" s="7771" t="s">
        <v>16</v>
      </c>
      <c r="C988" s="7771" t="s">
        <v>4194</v>
      </c>
      <c r="D988" s="7771" t="s">
        <v>4195</v>
      </c>
      <c r="E988" s="7771" t="s">
        <v>4196</v>
      </c>
      <c r="F988" s="7771" t="s">
        <v>2280</v>
      </c>
      <c r="G988" s="7771" t="s">
        <v>4197</v>
      </c>
      <c r="H988" s="7771" t="s">
        <v>28</v>
      </c>
      <c r="I988" s="7771" t="s">
        <v>908</v>
      </c>
    </row>
    <row customHeight="1" ht="11.25">
      <c r="A989" s="7771" t="s">
        <v>2266</v>
      </c>
      <c r="B989" s="7771" t="s">
        <v>16</v>
      </c>
      <c r="C989" s="7771" t="s">
        <v>4812</v>
      </c>
      <c r="D989" s="7771" t="s">
        <v>4217</v>
      </c>
      <c r="E989" s="7771" t="s">
        <v>4813</v>
      </c>
      <c r="F989" s="7771" t="s">
        <v>2800</v>
      </c>
      <c r="G989" s="7771" t="s">
        <v>28</v>
      </c>
      <c r="H989" s="7771" t="s">
        <v>28</v>
      </c>
      <c r="I989" s="7771" t="s">
        <v>908</v>
      </c>
    </row>
    <row customHeight="1" ht="11.25">
      <c r="A990" s="7771" t="s">
        <v>2266</v>
      </c>
      <c r="B990" s="7771" t="s">
        <v>16</v>
      </c>
      <c r="C990" s="7771" t="s">
        <v>4219</v>
      </c>
      <c r="D990" s="7771" t="s">
        <v>4220</v>
      </c>
      <c r="E990" s="7771" t="s">
        <v>4221</v>
      </c>
      <c r="F990" s="7771" t="s">
        <v>2377</v>
      </c>
      <c r="G990" s="7771" t="s">
        <v>4222</v>
      </c>
      <c r="H990" s="7771" t="s">
        <v>28</v>
      </c>
      <c r="I990" s="7771" t="s">
        <v>908</v>
      </c>
    </row>
    <row customHeight="1" ht="11.25">
      <c r="A991" s="7771" t="s">
        <v>2266</v>
      </c>
      <c r="B991" s="7771" t="s">
        <v>16</v>
      </c>
      <c r="C991" s="7771" t="s">
        <v>4234</v>
      </c>
      <c r="D991" s="7771" t="s">
        <v>4235</v>
      </c>
      <c r="E991" s="7771" t="s">
        <v>4236</v>
      </c>
      <c r="F991" s="7771" t="s">
        <v>2399</v>
      </c>
      <c r="G991" s="7771" t="s">
        <v>28</v>
      </c>
      <c r="H991" s="7771" t="s">
        <v>28</v>
      </c>
      <c r="I991" s="7771" t="s">
        <v>908</v>
      </c>
    </row>
    <row customHeight="1" ht="11.25">
      <c r="A992" s="7771" t="s">
        <v>2266</v>
      </c>
      <c r="B992" s="7771" t="s">
        <v>16</v>
      </c>
      <c r="C992" s="7771" t="s">
        <v>4814</v>
      </c>
      <c r="D992" s="7771" t="s">
        <v>4815</v>
      </c>
      <c r="E992" s="7771" t="s">
        <v>4816</v>
      </c>
      <c r="F992" s="7771" t="s">
        <v>2441</v>
      </c>
      <c r="G992" s="7771" t="s">
        <v>28</v>
      </c>
      <c r="H992" s="7771" t="s">
        <v>28</v>
      </c>
      <c r="I992" s="7771" t="s">
        <v>908</v>
      </c>
    </row>
    <row customHeight="1" ht="11.25">
      <c r="A993" s="7771" t="s">
        <v>2266</v>
      </c>
      <c r="B993" s="7771" t="s">
        <v>16</v>
      </c>
      <c r="C993" s="7771" t="s">
        <v>4244</v>
      </c>
      <c r="D993" s="7771" t="s">
        <v>4245</v>
      </c>
      <c r="E993" s="7771" t="s">
        <v>4246</v>
      </c>
      <c r="F993" s="7771" t="s">
        <v>2295</v>
      </c>
      <c r="G993" s="7771" t="s">
        <v>28</v>
      </c>
      <c r="H993" s="7771" t="s">
        <v>28</v>
      </c>
      <c r="I993" s="7771" t="s">
        <v>908</v>
      </c>
    </row>
    <row customHeight="1" ht="11.25">
      <c r="A994" s="7771" t="s">
        <v>2266</v>
      </c>
      <c r="B994" s="7771" t="s">
        <v>16</v>
      </c>
      <c r="C994" s="7771" t="s">
        <v>4247</v>
      </c>
      <c r="D994" s="7771" t="s">
        <v>4248</v>
      </c>
      <c r="E994" s="7771" t="s">
        <v>4249</v>
      </c>
      <c r="F994" s="7771" t="s">
        <v>2629</v>
      </c>
      <c r="G994" s="7771" t="s">
        <v>4250</v>
      </c>
      <c r="H994" s="7771" t="s">
        <v>28</v>
      </c>
      <c r="I994" s="7771" t="s">
        <v>908</v>
      </c>
    </row>
    <row customHeight="1" ht="11.25">
      <c r="A995" s="7771" t="s">
        <v>2266</v>
      </c>
      <c r="B995" s="7771" t="s">
        <v>16</v>
      </c>
      <c r="C995" s="7771" t="s">
        <v>4259</v>
      </c>
      <c r="D995" s="7771" t="s">
        <v>4260</v>
      </c>
      <c r="E995" s="7771" t="s">
        <v>4261</v>
      </c>
      <c r="F995" s="7771" t="s">
        <v>2451</v>
      </c>
      <c r="G995" s="7771" t="s">
        <v>4262</v>
      </c>
      <c r="H995" s="7771" t="s">
        <v>28</v>
      </c>
      <c r="I995" s="7771" t="s">
        <v>908</v>
      </c>
    </row>
    <row customHeight="1" ht="11.25">
      <c r="A996" s="7771" t="s">
        <v>2266</v>
      </c>
      <c r="B996" s="7771" t="s">
        <v>16</v>
      </c>
      <c r="C996" s="7771" t="s">
        <v>4270</v>
      </c>
      <c r="D996" s="7771" t="s">
        <v>4271</v>
      </c>
      <c r="E996" s="7771" t="s">
        <v>4272</v>
      </c>
      <c r="F996" s="7771" t="s">
        <v>2629</v>
      </c>
      <c r="G996" s="7771" t="s">
        <v>28</v>
      </c>
      <c r="H996" s="7771" t="s">
        <v>28</v>
      </c>
      <c r="I996" s="7771" t="s">
        <v>908</v>
      </c>
    </row>
    <row customHeight="1" ht="11.25">
      <c r="A997" s="7771" t="s">
        <v>2266</v>
      </c>
      <c r="B997" s="7771" t="s">
        <v>16</v>
      </c>
      <c r="C997" s="7771" t="s">
        <v>4273</v>
      </c>
      <c r="D997" s="7771" t="s">
        <v>4271</v>
      </c>
      <c r="E997" s="7771" t="s">
        <v>4274</v>
      </c>
      <c r="F997" s="7771" t="s">
        <v>2441</v>
      </c>
      <c r="G997" s="7771" t="s">
        <v>4275</v>
      </c>
      <c r="H997" s="7771" t="s">
        <v>28</v>
      </c>
      <c r="I997" s="7771" t="s">
        <v>908</v>
      </c>
    </row>
    <row customHeight="1" ht="11.25">
      <c r="A998" s="7771" t="s">
        <v>2266</v>
      </c>
      <c r="B998" s="7771" t="s">
        <v>16</v>
      </c>
      <c r="C998" s="7771" t="s">
        <v>4284</v>
      </c>
      <c r="D998" s="7771" t="s">
        <v>4285</v>
      </c>
      <c r="E998" s="7771" t="s">
        <v>4286</v>
      </c>
      <c r="F998" s="7771" t="s">
        <v>2629</v>
      </c>
      <c r="G998" s="7771" t="s">
        <v>4287</v>
      </c>
      <c r="H998" s="7771" t="s">
        <v>28</v>
      </c>
      <c r="I998" s="7771" t="s">
        <v>908</v>
      </c>
    </row>
    <row customHeight="1" ht="11.25">
      <c r="A999" s="7771" t="s">
        <v>2266</v>
      </c>
      <c r="B999" s="7771" t="s">
        <v>16</v>
      </c>
      <c r="C999" s="7771" t="s">
        <v>4292</v>
      </c>
      <c r="D999" s="7771" t="s">
        <v>4293</v>
      </c>
      <c r="E999" s="7771" t="s">
        <v>4294</v>
      </c>
      <c r="F999" s="7771" t="s">
        <v>2468</v>
      </c>
      <c r="G999" s="7771" t="s">
        <v>28</v>
      </c>
      <c r="H999" s="7771" t="s">
        <v>28</v>
      </c>
      <c r="I999" s="7771" t="s">
        <v>908</v>
      </c>
    </row>
    <row customHeight="1" ht="11.25">
      <c r="A1000" s="7771" t="s">
        <v>2266</v>
      </c>
      <c r="B1000" s="7771" t="s">
        <v>16</v>
      </c>
      <c r="C1000" s="7771" t="s">
        <v>4295</v>
      </c>
      <c r="D1000" s="7771" t="s">
        <v>4296</v>
      </c>
      <c r="E1000" s="7771" t="s">
        <v>4297</v>
      </c>
      <c r="F1000" s="7771" t="s">
        <v>2642</v>
      </c>
      <c r="G1000" s="7771" t="s">
        <v>4298</v>
      </c>
      <c r="H1000" s="7771" t="s">
        <v>28</v>
      </c>
      <c r="I1000" s="7771" t="s">
        <v>908</v>
      </c>
    </row>
    <row customHeight="1" ht="11.25">
      <c r="A1001" s="7771" t="s">
        <v>2266</v>
      </c>
      <c r="B1001" s="7771" t="s">
        <v>16</v>
      </c>
      <c r="C1001" s="7771" t="s">
        <v>4299</v>
      </c>
      <c r="D1001" s="7771" t="s">
        <v>4300</v>
      </c>
      <c r="E1001" s="7771" t="s">
        <v>4301</v>
      </c>
      <c r="F1001" s="7771" t="s">
        <v>2320</v>
      </c>
      <c r="G1001" s="7771" t="s">
        <v>4302</v>
      </c>
      <c r="H1001" s="7771" t="s">
        <v>28</v>
      </c>
      <c r="I1001" s="7771" t="s">
        <v>908</v>
      </c>
    </row>
    <row customHeight="1" ht="11.25">
      <c r="A1002" s="7771" t="s">
        <v>2266</v>
      </c>
      <c r="B1002" s="7771" t="s">
        <v>16</v>
      </c>
      <c r="C1002" s="7771" t="s">
        <v>4303</v>
      </c>
      <c r="D1002" s="7771" t="s">
        <v>4304</v>
      </c>
      <c r="E1002" s="7771" t="s">
        <v>4305</v>
      </c>
      <c r="F1002" s="7771" t="s">
        <v>2295</v>
      </c>
      <c r="G1002" s="7771" t="s">
        <v>4306</v>
      </c>
      <c r="H1002" s="7771" t="s">
        <v>28</v>
      </c>
      <c r="I1002" s="7771" t="s">
        <v>908</v>
      </c>
    </row>
    <row customHeight="1" ht="11.25">
      <c r="A1003" s="7771" t="s">
        <v>2266</v>
      </c>
      <c r="B1003" s="7771" t="s">
        <v>16</v>
      </c>
      <c r="C1003" s="7771" t="s">
        <v>4307</v>
      </c>
      <c r="D1003" s="7771" t="s">
        <v>4308</v>
      </c>
      <c r="E1003" s="7771" t="s">
        <v>4309</v>
      </c>
      <c r="F1003" s="7771" t="s">
        <v>2285</v>
      </c>
      <c r="G1003" s="7771" t="s">
        <v>4310</v>
      </c>
      <c r="H1003" s="7771" t="s">
        <v>28</v>
      </c>
      <c r="I1003" s="7771" t="s">
        <v>908</v>
      </c>
    </row>
    <row customHeight="1" ht="11.25">
      <c r="A1004" s="7771" t="s">
        <v>2266</v>
      </c>
      <c r="B1004" s="7771" t="s">
        <v>16</v>
      </c>
      <c r="C1004" s="7771" t="s">
        <v>4311</v>
      </c>
      <c r="D1004" s="7771" t="s">
        <v>4312</v>
      </c>
      <c r="E1004" s="7771" t="s">
        <v>4313</v>
      </c>
      <c r="F1004" s="7771" t="s">
        <v>2441</v>
      </c>
      <c r="G1004" s="7771" t="s">
        <v>28</v>
      </c>
      <c r="H1004" s="7771" t="s">
        <v>28</v>
      </c>
      <c r="I1004" s="7771" t="s">
        <v>908</v>
      </c>
    </row>
    <row customHeight="1" ht="11.25">
      <c r="A1005" s="7771" t="s">
        <v>2266</v>
      </c>
      <c r="B1005" s="7771" t="s">
        <v>16</v>
      </c>
      <c r="C1005" s="7771" t="s">
        <v>4314</v>
      </c>
      <c r="D1005" s="7771" t="s">
        <v>4315</v>
      </c>
      <c r="E1005" s="7771" t="s">
        <v>4316</v>
      </c>
      <c r="F1005" s="7771" t="s">
        <v>2412</v>
      </c>
      <c r="G1005" s="7771" t="s">
        <v>4317</v>
      </c>
      <c r="H1005" s="7771" t="s">
        <v>28</v>
      </c>
      <c r="I1005" s="7771" t="s">
        <v>908</v>
      </c>
    </row>
    <row customHeight="1" ht="11.25">
      <c r="A1006" s="7771" t="s">
        <v>2266</v>
      </c>
      <c r="B1006" s="7771" t="s">
        <v>16</v>
      </c>
      <c r="C1006" s="7771" t="s">
        <v>4325</v>
      </c>
      <c r="D1006" s="7771" t="s">
        <v>4326</v>
      </c>
      <c r="E1006" s="7771" t="s">
        <v>4327</v>
      </c>
      <c r="F1006" s="7771" t="s">
        <v>4328</v>
      </c>
      <c r="G1006" s="7771" t="s">
        <v>4329</v>
      </c>
      <c r="H1006" s="7771" t="s">
        <v>28</v>
      </c>
      <c r="I1006" s="7771" t="s">
        <v>908</v>
      </c>
    </row>
    <row customHeight="1" ht="11.25">
      <c r="A1007" s="7771" t="s">
        <v>2266</v>
      </c>
      <c r="B1007" s="7771" t="s">
        <v>16</v>
      </c>
      <c r="C1007" s="7771" t="s">
        <v>4330</v>
      </c>
      <c r="D1007" s="7771" t="s">
        <v>4331</v>
      </c>
      <c r="E1007" s="7771" t="s">
        <v>4332</v>
      </c>
      <c r="F1007" s="7771" t="s">
        <v>3966</v>
      </c>
      <c r="G1007" s="7771" t="s">
        <v>2404</v>
      </c>
      <c r="H1007" s="7771" t="s">
        <v>28</v>
      </c>
      <c r="I1007" s="7771" t="s">
        <v>908</v>
      </c>
    </row>
    <row customHeight="1" ht="11.25">
      <c r="A1008" s="7771" t="s">
        <v>2266</v>
      </c>
      <c r="B1008" s="7771" t="s">
        <v>16</v>
      </c>
      <c r="C1008" s="7771" t="s">
        <v>4333</v>
      </c>
      <c r="D1008" s="7771" t="s">
        <v>4334</v>
      </c>
      <c r="E1008" s="7771" t="s">
        <v>4335</v>
      </c>
      <c r="F1008" s="7771" t="s">
        <v>2280</v>
      </c>
      <c r="G1008" s="7771" t="s">
        <v>28</v>
      </c>
      <c r="H1008" s="7771" t="s">
        <v>28</v>
      </c>
      <c r="I1008" s="7771" t="s">
        <v>908</v>
      </c>
    </row>
    <row customHeight="1" ht="11.25">
      <c r="A1009" s="7771" t="s">
        <v>2266</v>
      </c>
      <c r="B1009" s="7771" t="s">
        <v>16</v>
      </c>
      <c r="C1009" s="7771" t="s">
        <v>4346</v>
      </c>
      <c r="D1009" s="7771" t="s">
        <v>4347</v>
      </c>
      <c r="E1009" s="7771" t="s">
        <v>4348</v>
      </c>
      <c r="F1009" s="7771" t="s">
        <v>2356</v>
      </c>
      <c r="G1009" s="7771" t="s">
        <v>28</v>
      </c>
      <c r="H1009" s="7771" t="s">
        <v>28</v>
      </c>
      <c r="I1009" s="7771" t="s">
        <v>908</v>
      </c>
    </row>
    <row customHeight="1" ht="11.25">
      <c r="A1010" s="7771" t="s">
        <v>2266</v>
      </c>
      <c r="B1010" s="7771" t="s">
        <v>16</v>
      </c>
      <c r="C1010" s="7771" t="s">
        <v>4349</v>
      </c>
      <c r="D1010" s="7771" t="s">
        <v>4350</v>
      </c>
      <c r="E1010" s="7771" t="s">
        <v>4351</v>
      </c>
      <c r="F1010" s="7771" t="s">
        <v>2285</v>
      </c>
      <c r="G1010" s="7771" t="s">
        <v>28</v>
      </c>
      <c r="H1010" s="7771" t="s">
        <v>28</v>
      </c>
      <c r="I1010" s="7771" t="s">
        <v>908</v>
      </c>
    </row>
    <row customHeight="1" ht="11.25">
      <c r="A1011" s="7771" t="s">
        <v>2266</v>
      </c>
      <c r="B1011" s="7771" t="s">
        <v>16</v>
      </c>
      <c r="C1011" s="7771" t="s">
        <v>4356</v>
      </c>
      <c r="D1011" s="7771" t="s">
        <v>4357</v>
      </c>
      <c r="E1011" s="7771" t="s">
        <v>4358</v>
      </c>
      <c r="F1011" s="7771" t="s">
        <v>4359</v>
      </c>
      <c r="G1011" s="7771" t="s">
        <v>28</v>
      </c>
      <c r="H1011" s="7771" t="s">
        <v>28</v>
      </c>
      <c r="I1011" s="7771" t="s">
        <v>908</v>
      </c>
    </row>
    <row customHeight="1" ht="11.25">
      <c r="A1012" s="7771" t="s">
        <v>2266</v>
      </c>
      <c r="B1012" s="7771" t="s">
        <v>16</v>
      </c>
      <c r="C1012" s="7771" t="s">
        <v>4364</v>
      </c>
      <c r="D1012" s="7771" t="s">
        <v>4365</v>
      </c>
      <c r="E1012" s="7771" t="s">
        <v>4366</v>
      </c>
      <c r="F1012" s="7771" t="s">
        <v>2372</v>
      </c>
      <c r="G1012" s="7771" t="s">
        <v>4367</v>
      </c>
      <c r="H1012" s="7771" t="s">
        <v>28</v>
      </c>
      <c r="I1012" s="7771" t="s">
        <v>908</v>
      </c>
    </row>
    <row customHeight="1" ht="11.25">
      <c r="A1013" s="7771" t="s">
        <v>2266</v>
      </c>
      <c r="B1013" s="7771" t="s">
        <v>16</v>
      </c>
      <c r="C1013" s="7771" t="s">
        <v>4375</v>
      </c>
      <c r="D1013" s="7771" t="s">
        <v>4376</v>
      </c>
      <c r="E1013" s="7771" t="s">
        <v>4377</v>
      </c>
      <c r="F1013" s="7771" t="s">
        <v>2451</v>
      </c>
      <c r="G1013" s="7771" t="s">
        <v>28</v>
      </c>
      <c r="H1013" s="7771" t="s">
        <v>28</v>
      </c>
      <c r="I1013" s="7771" t="s">
        <v>908</v>
      </c>
    </row>
    <row customHeight="1" ht="11.25">
      <c r="A1014" s="7771" t="s">
        <v>2266</v>
      </c>
      <c r="B1014" s="7771" t="s">
        <v>16</v>
      </c>
      <c r="C1014" s="7771" t="s">
        <v>4381</v>
      </c>
      <c r="D1014" s="7771" t="s">
        <v>4382</v>
      </c>
      <c r="E1014" s="7771" t="s">
        <v>4383</v>
      </c>
      <c r="F1014" s="7771" t="s">
        <v>2320</v>
      </c>
      <c r="G1014" s="7771" t="s">
        <v>28</v>
      </c>
      <c r="H1014" s="7771" t="s">
        <v>28</v>
      </c>
      <c r="I1014" s="7771" t="s">
        <v>908</v>
      </c>
    </row>
    <row customHeight="1" ht="11.25">
      <c r="A1015" s="7771" t="s">
        <v>2266</v>
      </c>
      <c r="B1015" s="7771" t="s">
        <v>16</v>
      </c>
      <c r="C1015" s="7771" t="s">
        <v>4388</v>
      </c>
      <c r="D1015" s="7771" t="s">
        <v>4389</v>
      </c>
      <c r="E1015" s="7771" t="s">
        <v>4390</v>
      </c>
      <c r="F1015" s="7771" t="s">
        <v>2280</v>
      </c>
      <c r="G1015" s="7771" t="s">
        <v>4391</v>
      </c>
      <c r="H1015" s="7771" t="s">
        <v>28</v>
      </c>
      <c r="I1015" s="7771" t="s">
        <v>908</v>
      </c>
    </row>
    <row customHeight="1" ht="11.25">
      <c r="A1016" s="7771" t="s">
        <v>2266</v>
      </c>
      <c r="B1016" s="7771" t="s">
        <v>16</v>
      </c>
      <c r="C1016" s="7771" t="s">
        <v>4392</v>
      </c>
      <c r="D1016" s="7771" t="s">
        <v>4393</v>
      </c>
      <c r="E1016" s="7771" t="s">
        <v>4394</v>
      </c>
      <c r="F1016" s="7771" t="s">
        <v>2451</v>
      </c>
      <c r="G1016" s="7771" t="s">
        <v>4395</v>
      </c>
      <c r="H1016" s="7771" t="s">
        <v>28</v>
      </c>
      <c r="I1016" s="7771" t="s">
        <v>908</v>
      </c>
    </row>
    <row customHeight="1" ht="11.25">
      <c r="A1017" s="7771" t="s">
        <v>2266</v>
      </c>
      <c r="B1017" s="7771" t="s">
        <v>16</v>
      </c>
      <c r="C1017" s="7771" t="s">
        <v>4396</v>
      </c>
      <c r="D1017" s="7771" t="s">
        <v>4397</v>
      </c>
      <c r="E1017" s="7771" t="s">
        <v>4398</v>
      </c>
      <c r="F1017" s="7771" t="s">
        <v>2894</v>
      </c>
      <c r="G1017" s="7771" t="s">
        <v>4399</v>
      </c>
      <c r="H1017" s="7771" t="s">
        <v>28</v>
      </c>
      <c r="I1017" s="7771" t="s">
        <v>908</v>
      </c>
    </row>
    <row customHeight="1" ht="11.25">
      <c r="A1018" s="7771" t="s">
        <v>2266</v>
      </c>
      <c r="B1018" s="7771" t="s">
        <v>16</v>
      </c>
      <c r="C1018" s="7771" t="s">
        <v>4404</v>
      </c>
      <c r="D1018" s="7771" t="s">
        <v>4405</v>
      </c>
      <c r="E1018" s="7771" t="s">
        <v>4406</v>
      </c>
      <c r="F1018" s="7771" t="s">
        <v>2360</v>
      </c>
      <c r="G1018" s="7771" t="s">
        <v>4407</v>
      </c>
      <c r="H1018" s="7771" t="s">
        <v>28</v>
      </c>
      <c r="I1018" s="7771" t="s">
        <v>908</v>
      </c>
    </row>
    <row customHeight="1" ht="11.25">
      <c r="A1019" s="7771" t="s">
        <v>2266</v>
      </c>
      <c r="B1019" s="7771" t="s">
        <v>16</v>
      </c>
      <c r="C1019" s="7771" t="s">
        <v>4408</v>
      </c>
      <c r="D1019" s="7771" t="s">
        <v>4409</v>
      </c>
      <c r="E1019" s="7771" t="s">
        <v>4410</v>
      </c>
      <c r="F1019" s="7771" t="s">
        <v>2377</v>
      </c>
      <c r="G1019" s="7771" t="s">
        <v>28</v>
      </c>
      <c r="H1019" s="7771" t="s">
        <v>28</v>
      </c>
      <c r="I1019" s="7771" t="s">
        <v>908</v>
      </c>
    </row>
    <row customHeight="1" ht="11.25">
      <c r="A1020" s="7771" t="s">
        <v>2266</v>
      </c>
      <c r="B1020" s="7771" t="s">
        <v>16</v>
      </c>
      <c r="C1020" s="7771" t="s">
        <v>4415</v>
      </c>
      <c r="D1020" s="7771" t="s">
        <v>4416</v>
      </c>
      <c r="E1020" s="7771" t="s">
        <v>4417</v>
      </c>
      <c r="F1020" s="7771" t="s">
        <v>2385</v>
      </c>
      <c r="G1020" s="7771" t="s">
        <v>28</v>
      </c>
      <c r="H1020" s="7771" t="s">
        <v>28</v>
      </c>
      <c r="I1020" s="7771" t="s">
        <v>908</v>
      </c>
    </row>
    <row customHeight="1" ht="11.25">
      <c r="A1021" s="7771" t="s">
        <v>2266</v>
      </c>
      <c r="B1021" s="7771" t="s">
        <v>16</v>
      </c>
      <c r="C1021" s="7771" t="s">
        <v>4422</v>
      </c>
      <c r="D1021" s="7771" t="s">
        <v>4423</v>
      </c>
      <c r="E1021" s="7771" t="s">
        <v>4424</v>
      </c>
      <c r="F1021" s="7771" t="s">
        <v>2385</v>
      </c>
      <c r="G1021" s="7771" t="s">
        <v>4425</v>
      </c>
      <c r="H1021" s="7771" t="s">
        <v>28</v>
      </c>
      <c r="I1021" s="7771" t="s">
        <v>908</v>
      </c>
    </row>
    <row customHeight="1" ht="11.25">
      <c r="A1022" s="7771" t="s">
        <v>2266</v>
      </c>
      <c r="B1022" s="7771" t="s">
        <v>16</v>
      </c>
      <c r="C1022" s="7771" t="s">
        <v>4426</v>
      </c>
      <c r="D1022" s="7771" t="s">
        <v>4427</v>
      </c>
      <c r="E1022" s="7771" t="s">
        <v>4428</v>
      </c>
      <c r="F1022" s="7771" t="s">
        <v>2486</v>
      </c>
      <c r="G1022" s="7771" t="s">
        <v>28</v>
      </c>
      <c r="H1022" s="7771" t="s">
        <v>28</v>
      </c>
      <c r="I1022" s="7771" t="s">
        <v>908</v>
      </c>
    </row>
    <row customHeight="1" ht="11.25">
      <c r="A1023" s="7771" t="s">
        <v>2266</v>
      </c>
      <c r="B1023" s="7771" t="s">
        <v>16</v>
      </c>
      <c r="C1023" s="7771" t="s">
        <v>4432</v>
      </c>
      <c r="D1023" s="7771" t="s">
        <v>4433</v>
      </c>
      <c r="E1023" s="7771" t="s">
        <v>4434</v>
      </c>
      <c r="F1023" s="7771" t="s">
        <v>4435</v>
      </c>
      <c r="G1023" s="7771" t="s">
        <v>4436</v>
      </c>
      <c r="H1023" s="7771" t="s">
        <v>28</v>
      </c>
      <c r="I1023" s="7771" t="s">
        <v>908</v>
      </c>
    </row>
    <row customHeight="1" ht="11.25">
      <c r="A1024" s="7771" t="s">
        <v>2266</v>
      </c>
      <c r="B1024" s="7771" t="s">
        <v>16</v>
      </c>
      <c r="C1024" s="7771" t="s">
        <v>4437</v>
      </c>
      <c r="D1024" s="7771" t="s">
        <v>4438</v>
      </c>
      <c r="E1024" s="7771" t="s">
        <v>4439</v>
      </c>
      <c r="F1024" s="7771" t="s">
        <v>4440</v>
      </c>
      <c r="G1024" s="7771" t="s">
        <v>28</v>
      </c>
      <c r="H1024" s="7771" t="s">
        <v>28</v>
      </c>
      <c r="I1024" s="7771" t="s">
        <v>908</v>
      </c>
    </row>
    <row customHeight="1" ht="11.25">
      <c r="A1025" s="7771" t="s">
        <v>2266</v>
      </c>
      <c r="B1025" s="7771" t="s">
        <v>16</v>
      </c>
      <c r="C1025" s="7771" t="s">
        <v>4455</v>
      </c>
      <c r="D1025" s="7771" t="s">
        <v>4456</v>
      </c>
      <c r="E1025" s="7771" t="s">
        <v>4457</v>
      </c>
      <c r="F1025" s="7771" t="s">
        <v>2451</v>
      </c>
      <c r="G1025" s="7771" t="s">
        <v>4458</v>
      </c>
      <c r="H1025" s="7771" t="s">
        <v>28</v>
      </c>
      <c r="I1025" s="7771" t="s">
        <v>908</v>
      </c>
    </row>
    <row customHeight="1" ht="11.25">
      <c r="A1026" s="7771" t="s">
        <v>2266</v>
      </c>
      <c r="B1026" s="7771" t="s">
        <v>16</v>
      </c>
      <c r="C1026" s="7771" t="s">
        <v>4466</v>
      </c>
      <c r="D1026" s="7771" t="s">
        <v>4465</v>
      </c>
      <c r="E1026" s="7771" t="s">
        <v>2756</v>
      </c>
      <c r="F1026" s="7771" t="s">
        <v>4454</v>
      </c>
      <c r="G1026" s="7771" t="s">
        <v>28</v>
      </c>
      <c r="H1026" s="7771" t="s">
        <v>28</v>
      </c>
      <c r="I1026" s="7771" t="s">
        <v>908</v>
      </c>
    </row>
    <row customHeight="1" ht="11.25">
      <c r="A1027" s="7771" t="s">
        <v>2266</v>
      </c>
      <c r="B1027" s="7771" t="s">
        <v>16</v>
      </c>
      <c r="C1027" s="7771" t="s">
        <v>4467</v>
      </c>
      <c r="D1027" s="7771" t="s">
        <v>4468</v>
      </c>
      <c r="E1027" s="7771" t="s">
        <v>4469</v>
      </c>
      <c r="F1027" s="7771" t="s">
        <v>2295</v>
      </c>
      <c r="G1027" s="7771" t="s">
        <v>4470</v>
      </c>
      <c r="H1027" s="7771" t="s">
        <v>28</v>
      </c>
      <c r="I1027" s="7771" t="s">
        <v>908</v>
      </c>
    </row>
    <row customHeight="1" ht="11.25">
      <c r="A1028" s="7771" t="s">
        <v>2266</v>
      </c>
      <c r="B1028" s="7771" t="s">
        <v>16</v>
      </c>
      <c r="C1028" s="7771" t="s">
        <v>4471</v>
      </c>
      <c r="D1028" s="7771" t="s">
        <v>4472</v>
      </c>
      <c r="E1028" s="7771" t="s">
        <v>4473</v>
      </c>
      <c r="F1028" s="7771" t="s">
        <v>4474</v>
      </c>
      <c r="G1028" s="7771" t="s">
        <v>4475</v>
      </c>
      <c r="H1028" s="7771" t="s">
        <v>28</v>
      </c>
      <c r="I1028" s="7771" t="s">
        <v>908</v>
      </c>
    </row>
    <row customHeight="1" ht="11.25">
      <c r="A1029" s="7771" t="s">
        <v>2266</v>
      </c>
      <c r="B1029" s="7771" t="s">
        <v>16</v>
      </c>
      <c r="C1029" s="7771" t="s">
        <v>4476</v>
      </c>
      <c r="D1029" s="7771" t="s">
        <v>4477</v>
      </c>
      <c r="E1029" s="7771" t="s">
        <v>4478</v>
      </c>
      <c r="F1029" s="7771" t="s">
        <v>4479</v>
      </c>
      <c r="G1029" s="7771" t="s">
        <v>4480</v>
      </c>
      <c r="H1029" s="7771" t="s">
        <v>28</v>
      </c>
      <c r="I1029" s="7771" t="s">
        <v>908</v>
      </c>
    </row>
    <row customHeight="1" ht="11.25">
      <c r="A1030" s="7771" t="s">
        <v>2266</v>
      </c>
      <c r="B1030" s="7771" t="s">
        <v>16</v>
      </c>
      <c r="C1030" s="7771" t="s">
        <v>4481</v>
      </c>
      <c r="D1030" s="7771" t="s">
        <v>4482</v>
      </c>
      <c r="E1030" s="7771" t="s">
        <v>4483</v>
      </c>
      <c r="F1030" s="7771" t="s">
        <v>2320</v>
      </c>
      <c r="G1030" s="7771" t="s">
        <v>4484</v>
      </c>
      <c r="H1030" s="7771" t="s">
        <v>28</v>
      </c>
      <c r="I1030" s="7771" t="s">
        <v>908</v>
      </c>
    </row>
    <row customHeight="1" ht="11.25">
      <c r="A1031" s="7771" t="s">
        <v>2266</v>
      </c>
      <c r="B1031" s="7771" t="s">
        <v>16</v>
      </c>
      <c r="C1031" s="7771" t="s">
        <v>4493</v>
      </c>
      <c r="D1031" s="7771" t="s">
        <v>4494</v>
      </c>
      <c r="E1031" s="7771" t="s">
        <v>4495</v>
      </c>
      <c r="F1031" s="7771" t="s">
        <v>2463</v>
      </c>
      <c r="G1031" s="7771" t="s">
        <v>28</v>
      </c>
      <c r="H1031" s="7771" t="s">
        <v>28</v>
      </c>
      <c r="I1031" s="7771" t="s">
        <v>908</v>
      </c>
    </row>
    <row customHeight="1" ht="11.25">
      <c r="A1032" s="7771" t="s">
        <v>2266</v>
      </c>
      <c r="B1032" s="7771" t="s">
        <v>16</v>
      </c>
      <c r="C1032" s="7771" t="s">
        <v>4496</v>
      </c>
      <c r="D1032" s="7771" t="s">
        <v>4497</v>
      </c>
      <c r="E1032" s="7771" t="s">
        <v>4498</v>
      </c>
      <c r="F1032" s="7771" t="s">
        <v>2441</v>
      </c>
      <c r="G1032" s="7771" t="s">
        <v>4499</v>
      </c>
      <c r="H1032" s="7771" t="s">
        <v>28</v>
      </c>
      <c r="I1032" s="7771" t="s">
        <v>908</v>
      </c>
    </row>
    <row customHeight="1" ht="11.25">
      <c r="A1033" s="7771" t="s">
        <v>2266</v>
      </c>
      <c r="B1033" s="7771" t="s">
        <v>16</v>
      </c>
      <c r="C1033" s="7771" t="s">
        <v>4500</v>
      </c>
      <c r="D1033" s="7771" t="s">
        <v>4501</v>
      </c>
      <c r="E1033" s="7771" t="s">
        <v>2913</v>
      </c>
      <c r="F1033" s="7771" t="s">
        <v>4502</v>
      </c>
      <c r="G1033" s="7771" t="s">
        <v>28</v>
      </c>
      <c r="H1033" s="7771" t="s">
        <v>28</v>
      </c>
      <c r="I1033" s="7771" t="s">
        <v>908</v>
      </c>
    </row>
    <row customHeight="1" ht="11.25">
      <c r="A1034" s="7771" t="s">
        <v>2266</v>
      </c>
      <c r="B1034" s="7771" t="s">
        <v>16</v>
      </c>
      <c r="C1034" s="7771" t="s">
        <v>4503</v>
      </c>
      <c r="D1034" s="7771" t="s">
        <v>4504</v>
      </c>
      <c r="E1034" s="7771" t="s">
        <v>4505</v>
      </c>
      <c r="F1034" s="7771" t="s">
        <v>3726</v>
      </c>
      <c r="G1034" s="7771" t="s">
        <v>4506</v>
      </c>
      <c r="H1034" s="7771" t="s">
        <v>28</v>
      </c>
      <c r="I1034" s="7771" t="s">
        <v>908</v>
      </c>
    </row>
    <row customHeight="1" ht="11.25">
      <c r="A1035" s="7771" t="s">
        <v>2266</v>
      </c>
      <c r="B1035" s="7771" t="s">
        <v>16</v>
      </c>
      <c r="C1035" s="7771" t="s">
        <v>4514</v>
      </c>
      <c r="D1035" s="7771" t="s">
        <v>4515</v>
      </c>
      <c r="E1035" s="7771" t="s">
        <v>4516</v>
      </c>
      <c r="F1035" s="7771" t="s">
        <v>4065</v>
      </c>
      <c r="G1035" s="7771" t="s">
        <v>4517</v>
      </c>
      <c r="H1035" s="7771" t="s">
        <v>28</v>
      </c>
      <c r="I1035" s="7771" t="s">
        <v>908</v>
      </c>
    </row>
    <row customHeight="1" ht="11.25">
      <c r="A1036" s="7771" t="s">
        <v>2266</v>
      </c>
      <c r="B1036" s="7771" t="s">
        <v>16</v>
      </c>
      <c r="C1036" s="7771" t="s">
        <v>4525</v>
      </c>
      <c r="D1036" s="7771" t="s">
        <v>4526</v>
      </c>
      <c r="E1036" s="7771" t="s">
        <v>4527</v>
      </c>
      <c r="F1036" s="7771" t="s">
        <v>2629</v>
      </c>
      <c r="G1036" s="7771" t="s">
        <v>28</v>
      </c>
      <c r="H1036" s="7771" t="s">
        <v>28</v>
      </c>
      <c r="I1036" s="7771" t="s">
        <v>908</v>
      </c>
    </row>
    <row customHeight="1" ht="11.25">
      <c r="A1037" s="7771" t="s">
        <v>2266</v>
      </c>
      <c r="B1037" s="7771" t="s">
        <v>16</v>
      </c>
      <c r="C1037" s="7771" t="s">
        <v>4532</v>
      </c>
      <c r="D1037" s="7771" t="s">
        <v>4533</v>
      </c>
      <c r="E1037" s="7771" t="s">
        <v>4534</v>
      </c>
      <c r="F1037" s="7771" t="s">
        <v>4535</v>
      </c>
      <c r="G1037" s="7771" t="s">
        <v>28</v>
      </c>
      <c r="H1037" s="7771" t="s">
        <v>28</v>
      </c>
      <c r="I1037" s="7771" t="s">
        <v>908</v>
      </c>
    </row>
    <row customHeight="1" ht="11.25">
      <c r="A1038" s="7771" t="s">
        <v>2266</v>
      </c>
      <c r="B1038" s="7771" t="s">
        <v>16</v>
      </c>
      <c r="C1038" s="7771" t="s">
        <v>4541</v>
      </c>
      <c r="D1038" s="7771" t="s">
        <v>4542</v>
      </c>
      <c r="E1038" s="7771" t="s">
        <v>4543</v>
      </c>
      <c r="F1038" s="7771" t="s">
        <v>2280</v>
      </c>
      <c r="G1038" s="7771" t="s">
        <v>4544</v>
      </c>
      <c r="H1038" s="7771" t="s">
        <v>28</v>
      </c>
      <c r="I1038" s="7771" t="s">
        <v>908</v>
      </c>
    </row>
    <row customHeight="1" ht="11.25">
      <c r="A1039" s="7771" t="s">
        <v>2266</v>
      </c>
      <c r="B1039" s="7771" t="s">
        <v>16</v>
      </c>
      <c r="C1039" s="7771" t="s">
        <v>4545</v>
      </c>
      <c r="D1039" s="7771" t="s">
        <v>4546</v>
      </c>
      <c r="E1039" s="7771" t="s">
        <v>4547</v>
      </c>
      <c r="F1039" s="7771" t="s">
        <v>4548</v>
      </c>
      <c r="G1039" s="7771" t="s">
        <v>28</v>
      </c>
      <c r="H1039" s="7771" t="s">
        <v>28</v>
      </c>
      <c r="I1039" s="7771" t="s">
        <v>908</v>
      </c>
    </row>
    <row customHeight="1" ht="11.25">
      <c r="A1040" s="7771" t="s">
        <v>2266</v>
      </c>
      <c r="B1040" s="7771" t="s">
        <v>16</v>
      </c>
      <c r="C1040" s="7771" t="s">
        <v>4549</v>
      </c>
      <c r="D1040" s="7771" t="s">
        <v>4550</v>
      </c>
      <c r="E1040" s="7771" t="s">
        <v>4551</v>
      </c>
      <c r="F1040" s="7771" t="s">
        <v>2360</v>
      </c>
      <c r="G1040" s="7771" t="s">
        <v>28</v>
      </c>
      <c r="H1040" s="7771" t="s">
        <v>28</v>
      </c>
      <c r="I1040" s="7771" t="s">
        <v>908</v>
      </c>
    </row>
    <row customHeight="1" ht="11.25">
      <c r="A1041" s="7771" t="s">
        <v>2266</v>
      </c>
      <c r="B1041" s="7771" t="s">
        <v>16</v>
      </c>
      <c r="C1041" s="7771" t="s">
        <v>4568</v>
      </c>
      <c r="D1041" s="7771" t="s">
        <v>4569</v>
      </c>
      <c r="E1041" s="7771" t="s">
        <v>4570</v>
      </c>
      <c r="F1041" s="7771" t="s">
        <v>2385</v>
      </c>
      <c r="G1041" s="7771" t="s">
        <v>28</v>
      </c>
      <c r="H1041" s="7771" t="s">
        <v>28</v>
      </c>
      <c r="I1041" s="7771" t="s">
        <v>908</v>
      </c>
    </row>
    <row customHeight="1" ht="11.25">
      <c r="A1042" s="7771" t="s">
        <v>2266</v>
      </c>
      <c r="B1042" s="7771" t="s">
        <v>16</v>
      </c>
      <c r="C1042" s="7771" t="s">
        <v>4571</v>
      </c>
      <c r="D1042" s="7771" t="s">
        <v>4572</v>
      </c>
      <c r="E1042" s="7771" t="s">
        <v>4573</v>
      </c>
      <c r="F1042" s="7771" t="s">
        <v>2360</v>
      </c>
      <c r="G1042" s="7771" t="s">
        <v>28</v>
      </c>
      <c r="H1042" s="7771" t="s">
        <v>28</v>
      </c>
      <c r="I1042" s="7771" t="s">
        <v>908</v>
      </c>
    </row>
    <row customHeight="1" ht="11.25">
      <c r="A1043" s="7771" t="s">
        <v>2266</v>
      </c>
      <c r="B1043" s="7771" t="s">
        <v>16</v>
      </c>
      <c r="C1043" s="7771" t="s">
        <v>4577</v>
      </c>
      <c r="D1043" s="7771" t="s">
        <v>4578</v>
      </c>
      <c r="E1043" s="7771" t="s">
        <v>4579</v>
      </c>
      <c r="F1043" s="7771" t="s">
        <v>4580</v>
      </c>
      <c r="G1043" s="7771" t="s">
        <v>28</v>
      </c>
      <c r="H1043" s="7771" t="s">
        <v>28</v>
      </c>
      <c r="I1043" s="7771" t="s">
        <v>908</v>
      </c>
    </row>
    <row customHeight="1" ht="11.25">
      <c r="A1044" s="7771" t="s">
        <v>2266</v>
      </c>
      <c r="B1044" s="7771" t="s">
        <v>16</v>
      </c>
      <c r="C1044" s="7771" t="s">
        <v>4581</v>
      </c>
      <c r="D1044" s="7771" t="s">
        <v>4578</v>
      </c>
      <c r="E1044" s="7771" t="s">
        <v>4579</v>
      </c>
      <c r="F1044" s="7771" t="s">
        <v>2352</v>
      </c>
      <c r="G1044" s="7771" t="s">
        <v>28</v>
      </c>
      <c r="H1044" s="7771" t="s">
        <v>28</v>
      </c>
      <c r="I1044" s="7771" t="s">
        <v>908</v>
      </c>
    </row>
    <row customHeight="1" ht="11.25">
      <c r="A1045" s="7771" t="s">
        <v>2266</v>
      </c>
      <c r="B1045" s="7771" t="s">
        <v>16</v>
      </c>
      <c r="C1045" s="7771" t="s">
        <v>4582</v>
      </c>
      <c r="D1045" s="7771" t="s">
        <v>4583</v>
      </c>
      <c r="E1045" s="7771" t="s">
        <v>4584</v>
      </c>
      <c r="F1045" s="7771" t="s">
        <v>2356</v>
      </c>
      <c r="G1045" s="7771" t="s">
        <v>4585</v>
      </c>
      <c r="H1045" s="7771" t="s">
        <v>28</v>
      </c>
      <c r="I1045" s="7771" t="s">
        <v>908</v>
      </c>
    </row>
    <row customHeight="1" ht="11.25">
      <c r="A1046" s="7771" t="s">
        <v>2266</v>
      </c>
      <c r="B1046" s="7771" t="s">
        <v>16</v>
      </c>
      <c r="C1046" s="7771" t="s">
        <v>4586</v>
      </c>
      <c r="D1046" s="7771" t="s">
        <v>4587</v>
      </c>
      <c r="E1046" s="7771" t="s">
        <v>4588</v>
      </c>
      <c r="F1046" s="7771" t="s">
        <v>2372</v>
      </c>
      <c r="G1046" s="7771" t="s">
        <v>28</v>
      </c>
      <c r="H1046" s="7771" t="s">
        <v>28</v>
      </c>
      <c r="I1046" s="7771" t="s">
        <v>908</v>
      </c>
    </row>
    <row customHeight="1" ht="11.25">
      <c r="A1047" s="7771" t="s">
        <v>2266</v>
      </c>
      <c r="B1047" s="7771" t="s">
        <v>16</v>
      </c>
      <c r="C1047" s="7771" t="s">
        <v>4589</v>
      </c>
      <c r="D1047" s="7771" t="s">
        <v>4590</v>
      </c>
      <c r="E1047" s="7771" t="s">
        <v>4591</v>
      </c>
      <c r="F1047" s="7771" t="s">
        <v>2385</v>
      </c>
      <c r="G1047" s="7771" t="s">
        <v>4592</v>
      </c>
      <c r="H1047" s="7771" t="s">
        <v>28</v>
      </c>
      <c r="I1047" s="7771" t="s">
        <v>908</v>
      </c>
    </row>
    <row customHeight="1" ht="11.25">
      <c r="A1048" s="7771" t="s">
        <v>2266</v>
      </c>
      <c r="B1048" s="7771" t="s">
        <v>16</v>
      </c>
      <c r="C1048" s="7771" t="s">
        <v>4593</v>
      </c>
      <c r="D1048" s="7771" t="s">
        <v>4594</v>
      </c>
      <c r="E1048" s="7771" t="s">
        <v>4595</v>
      </c>
      <c r="F1048" s="7771" t="s">
        <v>2468</v>
      </c>
      <c r="G1048" s="7771" t="s">
        <v>4596</v>
      </c>
      <c r="H1048" s="7771" t="s">
        <v>28</v>
      </c>
      <c r="I1048" s="7771" t="s">
        <v>908</v>
      </c>
    </row>
    <row customHeight="1" ht="11.25">
      <c r="A1049" s="7771" t="s">
        <v>2266</v>
      </c>
      <c r="B1049" s="7771" t="s">
        <v>16</v>
      </c>
      <c r="C1049" s="7771" t="s">
        <v>4597</v>
      </c>
      <c r="D1049" s="7771" t="s">
        <v>4598</v>
      </c>
      <c r="E1049" s="7771" t="s">
        <v>4599</v>
      </c>
      <c r="F1049" s="7771" t="s">
        <v>2629</v>
      </c>
      <c r="G1049" s="7771" t="s">
        <v>28</v>
      </c>
      <c r="H1049" s="7771" t="s">
        <v>28</v>
      </c>
      <c r="I1049" s="7771" t="s">
        <v>908</v>
      </c>
    </row>
    <row customHeight="1" ht="11.25">
      <c r="A1050" s="7771" t="s">
        <v>2266</v>
      </c>
      <c r="B1050" s="7771" t="s">
        <v>16</v>
      </c>
      <c r="C1050" s="7771" t="s">
        <v>4600</v>
      </c>
      <c r="D1050" s="7771" t="s">
        <v>4601</v>
      </c>
      <c r="E1050" s="7771" t="s">
        <v>4602</v>
      </c>
      <c r="F1050" s="7771" t="s">
        <v>2360</v>
      </c>
      <c r="G1050" s="7771" t="s">
        <v>4603</v>
      </c>
      <c r="H1050" s="7771" t="s">
        <v>28</v>
      </c>
      <c r="I1050" s="7771" t="s">
        <v>908</v>
      </c>
    </row>
    <row customHeight="1" ht="11.25">
      <c r="A1051" s="7771" t="s">
        <v>2266</v>
      </c>
      <c r="B1051" s="7771" t="s">
        <v>16</v>
      </c>
      <c r="C1051" s="7771" t="s">
        <v>4604</v>
      </c>
      <c r="D1051" s="7771" t="s">
        <v>4605</v>
      </c>
      <c r="E1051" s="7771" t="s">
        <v>4606</v>
      </c>
      <c r="F1051" s="7771" t="s">
        <v>2347</v>
      </c>
      <c r="G1051" s="7771" t="s">
        <v>4607</v>
      </c>
      <c r="H1051" s="7771" t="s">
        <v>28</v>
      </c>
      <c r="I1051" s="7771" t="s">
        <v>908</v>
      </c>
    </row>
    <row customHeight="1" ht="11.25">
      <c r="A1052" s="7771" t="s">
        <v>2266</v>
      </c>
      <c r="B1052" s="7771" t="s">
        <v>16</v>
      </c>
      <c r="C1052" s="7771" t="s">
        <v>4611</v>
      </c>
      <c r="D1052" s="7771" t="s">
        <v>4612</v>
      </c>
      <c r="E1052" s="7771" t="s">
        <v>4613</v>
      </c>
      <c r="F1052" s="7771" t="s">
        <v>3027</v>
      </c>
      <c r="G1052" s="7771" t="s">
        <v>28</v>
      </c>
      <c r="H1052" s="7771" t="s">
        <v>28</v>
      </c>
      <c r="I1052" s="7771" t="s">
        <v>908</v>
      </c>
    </row>
    <row customHeight="1" ht="11.25">
      <c r="A1053" s="7771" t="s">
        <v>2266</v>
      </c>
      <c r="B1053" s="7771" t="s">
        <v>16</v>
      </c>
      <c r="C1053" s="7771" t="s">
        <v>4614</v>
      </c>
      <c r="D1053" s="7771" t="s">
        <v>4615</v>
      </c>
      <c r="E1053" s="7771" t="s">
        <v>4616</v>
      </c>
      <c r="F1053" s="7771" t="s">
        <v>4617</v>
      </c>
      <c r="G1053" s="7771" t="s">
        <v>4618</v>
      </c>
      <c r="H1053" s="7771" t="s">
        <v>28</v>
      </c>
      <c r="I1053" s="7771" t="s">
        <v>908</v>
      </c>
    </row>
    <row customHeight="1" ht="11.25">
      <c r="A1054" s="7771" t="s">
        <v>2266</v>
      </c>
      <c r="B1054" s="7771" t="s">
        <v>16</v>
      </c>
      <c r="C1054" s="7771" t="s">
        <v>4623</v>
      </c>
      <c r="D1054" s="7771" t="s">
        <v>4624</v>
      </c>
      <c r="E1054" s="7771" t="s">
        <v>4625</v>
      </c>
      <c r="F1054" s="7771" t="s">
        <v>2385</v>
      </c>
      <c r="G1054" s="7771" t="s">
        <v>28</v>
      </c>
      <c r="H1054" s="7771" t="s">
        <v>28</v>
      </c>
      <c r="I1054" s="7771" t="s">
        <v>908</v>
      </c>
    </row>
    <row customHeight="1" ht="11.25">
      <c r="A1055" s="7771" t="s">
        <v>2266</v>
      </c>
      <c r="B1055" s="7771" t="s">
        <v>16</v>
      </c>
      <c r="C1055" s="7771" t="s">
        <v>4626</v>
      </c>
      <c r="D1055" s="7771" t="s">
        <v>4627</v>
      </c>
      <c r="E1055" s="7771" t="s">
        <v>4628</v>
      </c>
      <c r="F1055" s="7771" t="s">
        <v>2300</v>
      </c>
      <c r="G1055" s="7771" t="s">
        <v>28</v>
      </c>
      <c r="H1055" s="7771" t="s">
        <v>28</v>
      </c>
      <c r="I1055" s="7771" t="s">
        <v>908</v>
      </c>
    </row>
    <row customHeight="1" ht="11.25">
      <c r="A1056" s="7771" t="s">
        <v>2266</v>
      </c>
      <c r="B1056" s="7771" t="s">
        <v>16</v>
      </c>
      <c r="C1056" s="7771" t="s">
        <v>4629</v>
      </c>
      <c r="D1056" s="7771" t="s">
        <v>4630</v>
      </c>
      <c r="E1056" s="7771" t="s">
        <v>4631</v>
      </c>
      <c r="F1056" s="7771" t="s">
        <v>2446</v>
      </c>
      <c r="G1056" s="7771" t="s">
        <v>4632</v>
      </c>
      <c r="H1056" s="7771" t="s">
        <v>28</v>
      </c>
      <c r="I1056" s="7771" t="s">
        <v>908</v>
      </c>
    </row>
    <row customHeight="1" ht="11.25">
      <c r="A1057" s="7771" t="s">
        <v>2266</v>
      </c>
      <c r="B1057" s="7771" t="s">
        <v>16</v>
      </c>
      <c r="C1057" s="7771" t="s">
        <v>4633</v>
      </c>
      <c r="D1057" s="7771" t="s">
        <v>4634</v>
      </c>
      <c r="E1057" s="7771" t="s">
        <v>4635</v>
      </c>
      <c r="F1057" s="7771" t="s">
        <v>2441</v>
      </c>
      <c r="G1057" s="7771" t="s">
        <v>4636</v>
      </c>
      <c r="H1057" s="7771" t="s">
        <v>28</v>
      </c>
      <c r="I1057" s="7771" t="s">
        <v>908</v>
      </c>
    </row>
    <row customHeight="1" ht="11.25">
      <c r="A1058" s="7771" t="s">
        <v>2266</v>
      </c>
      <c r="B1058" s="7771" t="s">
        <v>16</v>
      </c>
      <c r="C1058" s="7771" t="s">
        <v>4640</v>
      </c>
      <c r="D1058" s="7771" t="s">
        <v>4641</v>
      </c>
      <c r="E1058" s="7771" t="s">
        <v>4642</v>
      </c>
      <c r="F1058" s="7771" t="s">
        <v>2473</v>
      </c>
      <c r="G1058" s="7771" t="s">
        <v>28</v>
      </c>
      <c r="H1058" s="7771" t="s">
        <v>28</v>
      </c>
      <c r="I1058" s="7771" t="s">
        <v>908</v>
      </c>
    </row>
    <row customHeight="1" ht="11.25">
      <c r="A1059" s="7771" t="s">
        <v>2266</v>
      </c>
      <c r="B1059" s="7771" t="s">
        <v>16</v>
      </c>
      <c r="C1059" s="7771" t="s">
        <v>4643</v>
      </c>
      <c r="D1059" s="7771" t="s">
        <v>4644</v>
      </c>
      <c r="E1059" s="7771" t="s">
        <v>4645</v>
      </c>
      <c r="F1059" s="7771" t="s">
        <v>2295</v>
      </c>
      <c r="G1059" s="7771" t="s">
        <v>28</v>
      </c>
      <c r="H1059" s="7771" t="s">
        <v>28</v>
      </c>
      <c r="I1059" s="7771" t="s">
        <v>908</v>
      </c>
    </row>
    <row customHeight="1" ht="11.25">
      <c r="A1060" s="7771" t="s">
        <v>2266</v>
      </c>
      <c r="B1060" s="7771" t="s">
        <v>16</v>
      </c>
      <c r="C1060" s="7771" t="s">
        <v>4646</v>
      </c>
      <c r="D1060" s="7771" t="s">
        <v>4647</v>
      </c>
      <c r="E1060" s="7771" t="s">
        <v>4648</v>
      </c>
      <c r="F1060" s="7771" t="s">
        <v>2385</v>
      </c>
      <c r="G1060" s="7771" t="s">
        <v>4649</v>
      </c>
      <c r="H1060" s="7771" t="s">
        <v>28</v>
      </c>
      <c r="I1060" s="7771" t="s">
        <v>908</v>
      </c>
    </row>
    <row customHeight="1" ht="11.25">
      <c r="A1061" s="7771" t="s">
        <v>2266</v>
      </c>
      <c r="B1061" s="7771" t="s">
        <v>16</v>
      </c>
      <c r="C1061" s="7771" t="s">
        <v>4650</v>
      </c>
      <c r="D1061" s="7771" t="s">
        <v>4651</v>
      </c>
      <c r="E1061" s="7771" t="s">
        <v>4652</v>
      </c>
      <c r="F1061" s="7771" t="s">
        <v>2655</v>
      </c>
      <c r="G1061" s="7771" t="s">
        <v>28</v>
      </c>
      <c r="H1061" s="7771" t="s">
        <v>28</v>
      </c>
      <c r="I1061" s="7771" t="s">
        <v>908</v>
      </c>
    </row>
    <row customHeight="1" ht="11.25">
      <c r="A1062" s="7771" t="s">
        <v>2266</v>
      </c>
      <c r="B1062" s="7771" t="s">
        <v>16</v>
      </c>
      <c r="C1062" s="7771" t="s">
        <v>4653</v>
      </c>
      <c r="D1062" s="7771" t="s">
        <v>4654</v>
      </c>
      <c r="E1062" s="7771" t="s">
        <v>4655</v>
      </c>
      <c r="F1062" s="7771" t="s">
        <v>2300</v>
      </c>
      <c r="G1062" s="7771" t="s">
        <v>28</v>
      </c>
      <c r="H1062" s="7771" t="s">
        <v>28</v>
      </c>
      <c r="I1062" s="7771" t="s">
        <v>908</v>
      </c>
    </row>
    <row customHeight="1" ht="11.25">
      <c r="A1063" s="7771" t="s">
        <v>2266</v>
      </c>
      <c r="B1063" s="7771" t="s">
        <v>16</v>
      </c>
      <c r="C1063" s="7771" t="s">
        <v>4656</v>
      </c>
      <c r="D1063" s="7771" t="s">
        <v>4657</v>
      </c>
      <c r="E1063" s="7771" t="s">
        <v>4658</v>
      </c>
      <c r="F1063" s="7771" t="s">
        <v>2280</v>
      </c>
      <c r="G1063" s="7771" t="s">
        <v>28</v>
      </c>
      <c r="H1063" s="7771" t="s">
        <v>28</v>
      </c>
      <c r="I1063" s="7771" t="s">
        <v>908</v>
      </c>
    </row>
    <row customHeight="1" ht="11.25">
      <c r="A1064" s="7771" t="s">
        <v>2266</v>
      </c>
      <c r="B1064" s="7771" t="s">
        <v>16</v>
      </c>
      <c r="C1064" s="7771" t="s">
        <v>4659</v>
      </c>
      <c r="D1064" s="7771" t="s">
        <v>4660</v>
      </c>
      <c r="E1064" s="7771" t="s">
        <v>4661</v>
      </c>
      <c r="F1064" s="7771" t="s">
        <v>2377</v>
      </c>
      <c r="G1064" s="7771" t="s">
        <v>28</v>
      </c>
      <c r="H1064" s="7771" t="s">
        <v>28</v>
      </c>
      <c r="I1064" s="7771" t="s">
        <v>908</v>
      </c>
    </row>
    <row customHeight="1" ht="11.25">
      <c r="A1065" s="7771" t="s">
        <v>2266</v>
      </c>
      <c r="B1065" s="7771" t="s">
        <v>16</v>
      </c>
      <c r="C1065" s="7771" t="s">
        <v>4662</v>
      </c>
      <c r="D1065" s="7771" t="s">
        <v>4663</v>
      </c>
      <c r="E1065" s="7771" t="s">
        <v>4664</v>
      </c>
      <c r="F1065" s="7771" t="s">
        <v>2829</v>
      </c>
      <c r="G1065" s="7771" t="s">
        <v>28</v>
      </c>
      <c r="H1065" s="7771" t="s">
        <v>28</v>
      </c>
      <c r="I1065" s="7771" t="s">
        <v>908</v>
      </c>
    </row>
    <row customHeight="1" ht="11.25">
      <c r="A1066" s="7771" t="s">
        <v>2266</v>
      </c>
      <c r="B1066" s="7771" t="s">
        <v>16</v>
      </c>
      <c r="C1066" s="7771" t="s">
        <v>4668</v>
      </c>
      <c r="D1066" s="7771" t="s">
        <v>4669</v>
      </c>
      <c r="E1066" s="7771" t="s">
        <v>4670</v>
      </c>
      <c r="F1066" s="7771" t="s">
        <v>2280</v>
      </c>
      <c r="G1066" s="7771" t="s">
        <v>28</v>
      </c>
      <c r="H1066" s="7771" t="s">
        <v>28</v>
      </c>
      <c r="I1066" s="7771" t="s">
        <v>908</v>
      </c>
    </row>
    <row customHeight="1" ht="11.25">
      <c r="A1067" s="7771" t="s">
        <v>2266</v>
      </c>
      <c r="B1067" s="7771" t="s">
        <v>16</v>
      </c>
      <c r="C1067" s="7771" t="s">
        <v>4671</v>
      </c>
      <c r="D1067" s="7771" t="s">
        <v>4672</v>
      </c>
      <c r="E1067" s="7771" t="s">
        <v>4673</v>
      </c>
      <c r="F1067" s="7771" t="s">
        <v>2441</v>
      </c>
      <c r="G1067" s="7771" t="s">
        <v>28</v>
      </c>
      <c r="H1067" s="7771" t="s">
        <v>28</v>
      </c>
      <c r="I1067" s="7771" t="s">
        <v>908</v>
      </c>
    </row>
    <row customHeight="1" ht="11.25">
      <c r="A1068" s="7771" t="s">
        <v>2266</v>
      </c>
      <c r="B1068" s="7771" t="s">
        <v>16</v>
      </c>
      <c r="C1068" s="7771" t="s">
        <v>4674</v>
      </c>
      <c r="D1068" s="7771" t="s">
        <v>4675</v>
      </c>
      <c r="E1068" s="7771" t="s">
        <v>4676</v>
      </c>
      <c r="F1068" s="7771" t="s">
        <v>4677</v>
      </c>
      <c r="G1068" s="7771" t="s">
        <v>28</v>
      </c>
      <c r="H1068" s="7771" t="s">
        <v>28</v>
      </c>
      <c r="I1068" s="7771" t="s">
        <v>908</v>
      </c>
    </row>
    <row customHeight="1" ht="11.25">
      <c r="A1069" s="7771" t="s">
        <v>2266</v>
      </c>
      <c r="B1069" s="7771" t="s">
        <v>16</v>
      </c>
      <c r="C1069" s="7771" t="s">
        <v>4678</v>
      </c>
      <c r="D1069" s="7771" t="s">
        <v>4679</v>
      </c>
      <c r="E1069" s="7771" t="s">
        <v>4680</v>
      </c>
      <c r="F1069" s="7771" t="s">
        <v>2356</v>
      </c>
      <c r="G1069" s="7771" t="s">
        <v>4681</v>
      </c>
      <c r="H1069" s="7771" t="s">
        <v>28</v>
      </c>
      <c r="I1069" s="7771" t="s">
        <v>908</v>
      </c>
    </row>
    <row customHeight="1" ht="11.25">
      <c r="A1070" s="7771" t="s">
        <v>2266</v>
      </c>
      <c r="B1070" s="7771" t="s">
        <v>16</v>
      </c>
      <c r="C1070" s="7771" t="s">
        <v>4682</v>
      </c>
      <c r="D1070" s="7771" t="s">
        <v>4683</v>
      </c>
      <c r="E1070" s="7771" t="s">
        <v>4684</v>
      </c>
      <c r="F1070" s="7771" t="s">
        <v>2360</v>
      </c>
      <c r="G1070" s="7771" t="s">
        <v>28</v>
      </c>
      <c r="H1070" s="7771" t="s">
        <v>28</v>
      </c>
      <c r="I1070" s="7771" t="s">
        <v>908</v>
      </c>
    </row>
    <row customHeight="1" ht="11.25">
      <c r="A1071" s="7771" t="s">
        <v>2266</v>
      </c>
      <c r="B1071" s="7771" t="s">
        <v>16</v>
      </c>
      <c r="C1071" s="7771" t="s">
        <v>4685</v>
      </c>
      <c r="D1071" s="7771" t="s">
        <v>4686</v>
      </c>
      <c r="E1071" s="7771" t="s">
        <v>4687</v>
      </c>
      <c r="F1071" s="7771" t="s">
        <v>2629</v>
      </c>
      <c r="G1071" s="7771" t="s">
        <v>4688</v>
      </c>
      <c r="H1071" s="7771" t="s">
        <v>28</v>
      </c>
      <c r="I1071" s="7771" t="s">
        <v>908</v>
      </c>
    </row>
    <row customHeight="1" ht="11.25">
      <c r="A1072" s="7771" t="s">
        <v>2266</v>
      </c>
      <c r="B1072" s="7771" t="s">
        <v>16</v>
      </c>
      <c r="C1072" s="7771" t="s">
        <v>4693</v>
      </c>
      <c r="D1072" s="7771" t="s">
        <v>4694</v>
      </c>
      <c r="E1072" s="7771" t="s">
        <v>4695</v>
      </c>
      <c r="F1072" s="7771" t="s">
        <v>2330</v>
      </c>
      <c r="G1072" s="7771" t="s">
        <v>28</v>
      </c>
      <c r="H1072" s="7771" t="s">
        <v>28</v>
      </c>
      <c r="I1072" s="7771" t="s">
        <v>908</v>
      </c>
    </row>
    <row customHeight="1" ht="11.25">
      <c r="A1073" s="7771" t="s">
        <v>2266</v>
      </c>
      <c r="B1073" s="7771" t="s">
        <v>16</v>
      </c>
      <c r="C1073" s="7771" t="s">
        <v>4696</v>
      </c>
      <c r="D1073" s="7771" t="s">
        <v>4697</v>
      </c>
      <c r="E1073" s="7771" t="s">
        <v>4698</v>
      </c>
      <c r="F1073" s="7771" t="s">
        <v>2629</v>
      </c>
      <c r="G1073" s="7771" t="s">
        <v>28</v>
      </c>
      <c r="H1073" s="7771" t="s">
        <v>28</v>
      </c>
      <c r="I1073" s="7771" t="s">
        <v>908</v>
      </c>
    </row>
    <row customHeight="1" ht="11.25">
      <c r="A1074" s="7771" t="s">
        <v>2266</v>
      </c>
      <c r="B1074" s="7771" t="s">
        <v>16</v>
      </c>
      <c r="C1074" s="7771" t="s">
        <v>4699</v>
      </c>
      <c r="D1074" s="7771" t="s">
        <v>4700</v>
      </c>
      <c r="E1074" s="7771" t="s">
        <v>4701</v>
      </c>
      <c r="F1074" s="7771" t="s">
        <v>2829</v>
      </c>
      <c r="G1074" s="7771" t="s">
        <v>28</v>
      </c>
      <c r="H1074" s="7771" t="s">
        <v>28</v>
      </c>
      <c r="I1074" s="7771" t="s">
        <v>908</v>
      </c>
    </row>
    <row customHeight="1" ht="11.25">
      <c r="A1075" s="7771" t="s">
        <v>2266</v>
      </c>
      <c r="B1075" s="7771" t="s">
        <v>16</v>
      </c>
      <c r="C1075" s="7771" t="s">
        <v>4702</v>
      </c>
      <c r="D1075" s="7771" t="s">
        <v>4703</v>
      </c>
      <c r="E1075" s="7771" t="s">
        <v>4704</v>
      </c>
      <c r="F1075" s="7771" t="s">
        <v>2441</v>
      </c>
      <c r="G1075" s="7771" t="s">
        <v>4705</v>
      </c>
      <c r="H1075" s="7771" t="s">
        <v>28</v>
      </c>
      <c r="I1075" s="7771" t="s">
        <v>908</v>
      </c>
    </row>
    <row customHeight="1" ht="11.25">
      <c r="A1076" s="7771" t="s">
        <v>2266</v>
      </c>
      <c r="B1076" s="7771" t="s">
        <v>16</v>
      </c>
      <c r="C1076" s="7771" t="s">
        <v>4710</v>
      </c>
      <c r="D1076" s="7771" t="s">
        <v>4711</v>
      </c>
      <c r="E1076" s="7771" t="s">
        <v>4712</v>
      </c>
      <c r="F1076" s="7771" t="s">
        <v>2300</v>
      </c>
      <c r="G1076" s="7771" t="s">
        <v>28</v>
      </c>
      <c r="H1076" s="7771" t="s">
        <v>28</v>
      </c>
      <c r="I1076" s="7771" t="s">
        <v>908</v>
      </c>
    </row>
    <row customHeight="1" ht="11.25">
      <c r="A1077" s="7771" t="s">
        <v>2266</v>
      </c>
      <c r="B1077" s="7771" t="s">
        <v>16</v>
      </c>
      <c r="C1077" s="7771" t="s">
        <v>4713</v>
      </c>
      <c r="D1077" s="7771" t="s">
        <v>4714</v>
      </c>
      <c r="E1077" s="7771" t="s">
        <v>4715</v>
      </c>
      <c r="F1077" s="7771" t="s">
        <v>2430</v>
      </c>
      <c r="G1077" s="7771" t="s">
        <v>28</v>
      </c>
      <c r="H1077" s="7771" t="s">
        <v>28</v>
      </c>
      <c r="I1077" s="7771" t="s">
        <v>908</v>
      </c>
    </row>
    <row customHeight="1" ht="11.25">
      <c r="A1078" s="7771" t="s">
        <v>2266</v>
      </c>
      <c r="B1078" s="7771" t="s">
        <v>16</v>
      </c>
      <c r="C1078" s="7771" t="s">
        <v>4716</v>
      </c>
      <c r="D1078" s="7771" t="s">
        <v>4717</v>
      </c>
      <c r="E1078" s="7771" t="s">
        <v>4718</v>
      </c>
      <c r="F1078" s="7771" t="s">
        <v>2385</v>
      </c>
      <c r="G1078" s="7771" t="s">
        <v>4719</v>
      </c>
      <c r="H1078" s="7771" t="s">
        <v>28</v>
      </c>
      <c r="I1078" s="7771" t="s">
        <v>908</v>
      </c>
    </row>
    <row customHeight="1" ht="11.25">
      <c r="A1079" s="7771" t="s">
        <v>2266</v>
      </c>
      <c r="B1079" s="7771" t="s">
        <v>16</v>
      </c>
      <c r="C1079" s="7771" t="s">
        <v>4720</v>
      </c>
      <c r="D1079" s="7771" t="s">
        <v>4721</v>
      </c>
      <c r="E1079" s="7771" t="s">
        <v>3263</v>
      </c>
      <c r="F1079" s="7771" t="s">
        <v>4722</v>
      </c>
      <c r="G1079" s="7771" t="s">
        <v>4723</v>
      </c>
      <c r="H1079" s="7771" t="s">
        <v>28</v>
      </c>
      <c r="I1079" s="7771" t="s">
        <v>908</v>
      </c>
    </row>
    <row customHeight="1" ht="11.25">
      <c r="A1080" s="7771" t="s">
        <v>2266</v>
      </c>
      <c r="B1080" s="7771" t="s">
        <v>16</v>
      </c>
      <c r="C1080" s="7771" t="s">
        <v>4724</v>
      </c>
      <c r="D1080" s="7771" t="s">
        <v>4725</v>
      </c>
      <c r="E1080" s="7771" t="s">
        <v>4726</v>
      </c>
      <c r="F1080" s="7771" t="s">
        <v>2356</v>
      </c>
      <c r="G1080" s="7771" t="s">
        <v>4727</v>
      </c>
      <c r="H1080" s="7771" t="s">
        <v>28</v>
      </c>
      <c r="I1080" s="7771" t="s">
        <v>908</v>
      </c>
    </row>
    <row customHeight="1" ht="11.25">
      <c r="A1081" s="7771" t="s">
        <v>2266</v>
      </c>
      <c r="B1081" s="7771" t="s">
        <v>16</v>
      </c>
      <c r="C1081" s="7771" t="s">
        <v>13</v>
      </c>
      <c r="D1081" s="7771" t="s">
        <v>49</v>
      </c>
      <c r="E1081" s="7771" t="s">
        <v>52</v>
      </c>
      <c r="F1081" s="7771" t="s">
        <v>54</v>
      </c>
      <c r="G1081" s="7771" t="s">
        <v>4733</v>
      </c>
      <c r="H1081" s="7771" t="s">
        <v>28</v>
      </c>
      <c r="I1081" s="7771" t="s">
        <v>908</v>
      </c>
    </row>
    <row customHeight="1" ht="11.25">
      <c r="A1082" s="7771" t="s">
        <v>2266</v>
      </c>
      <c r="B1082" s="7771" t="s">
        <v>16</v>
      </c>
      <c r="C1082" s="7771" t="s">
        <v>4739</v>
      </c>
      <c r="D1082" s="7771" t="s">
        <v>4740</v>
      </c>
      <c r="E1082" s="7771" t="s">
        <v>4741</v>
      </c>
      <c r="F1082" s="7771" t="s">
        <v>4742</v>
      </c>
      <c r="G1082" s="7771" t="s">
        <v>4743</v>
      </c>
      <c r="H1082" s="7771" t="s">
        <v>28</v>
      </c>
      <c r="I1082" s="7771" t="s">
        <v>908</v>
      </c>
    </row>
    <row customHeight="1" ht="11.25">
      <c r="A1083" s="7771" t="s">
        <v>2266</v>
      </c>
      <c r="B1083" s="7771" t="s">
        <v>16</v>
      </c>
      <c r="C1083" s="7771" t="s">
        <v>4744</v>
      </c>
      <c r="D1083" s="7771" t="s">
        <v>4745</v>
      </c>
      <c r="E1083" s="7771" t="s">
        <v>4746</v>
      </c>
      <c r="F1083" s="7771" t="s">
        <v>4747</v>
      </c>
      <c r="G1083" s="7771" t="s">
        <v>4748</v>
      </c>
      <c r="H1083" s="7771" t="s">
        <v>28</v>
      </c>
      <c r="I1083" s="7771" t="s">
        <v>908</v>
      </c>
    </row>
    <row customHeight="1" ht="11.25">
      <c r="A1084" s="7771" t="s">
        <v>2266</v>
      </c>
      <c r="B1084" s="7771" t="s">
        <v>16</v>
      </c>
      <c r="C1084" s="7771" t="s">
        <v>4749</v>
      </c>
      <c r="D1084" s="7771" t="s">
        <v>4750</v>
      </c>
      <c r="E1084" s="7771" t="s">
        <v>4751</v>
      </c>
      <c r="F1084" s="7771" t="s">
        <v>4752</v>
      </c>
      <c r="G1084" s="7771" t="s">
        <v>28</v>
      </c>
      <c r="H1084" s="7771" t="s">
        <v>28</v>
      </c>
      <c r="I1084" s="7771" t="s">
        <v>908</v>
      </c>
    </row>
    <row customHeight="1" ht="11.25">
      <c r="A1085" s="7771" t="s">
        <v>2266</v>
      </c>
      <c r="B1085" s="7771" t="s">
        <v>16</v>
      </c>
      <c r="C1085" s="7771" t="s">
        <v>4753</v>
      </c>
      <c r="D1085" s="7771" t="s">
        <v>4754</v>
      </c>
      <c r="E1085" s="7771" t="s">
        <v>4009</v>
      </c>
      <c r="F1085" s="7771" t="s">
        <v>4755</v>
      </c>
      <c r="G1085" s="7771" t="s">
        <v>28</v>
      </c>
      <c r="H1085" s="7771" t="s">
        <v>28</v>
      </c>
      <c r="I1085" s="7771" t="s">
        <v>908</v>
      </c>
    </row>
    <row customHeight="1" ht="11.25">
      <c r="A1086" s="7771" t="s">
        <v>2266</v>
      </c>
      <c r="B1086" s="7771" t="s">
        <v>16</v>
      </c>
      <c r="C1086" s="7771" t="s">
        <v>4756</v>
      </c>
      <c r="D1086" s="7771" t="s">
        <v>4757</v>
      </c>
      <c r="E1086" s="7771" t="s">
        <v>4434</v>
      </c>
      <c r="F1086" s="7771" t="s">
        <v>4758</v>
      </c>
      <c r="G1086" s="7771" t="s">
        <v>28</v>
      </c>
      <c r="H1086" s="7771" t="s">
        <v>28</v>
      </c>
      <c r="I1086" s="7771" t="s">
        <v>908</v>
      </c>
    </row>
    <row customHeight="1" ht="11.25">
      <c r="A1087" s="7771" t="s">
        <v>2266</v>
      </c>
      <c r="B1087" s="7771" t="s">
        <v>16</v>
      </c>
      <c r="C1087" s="7771" t="s">
        <v>4764</v>
      </c>
      <c r="D1087" s="7771" t="s">
        <v>4765</v>
      </c>
      <c r="E1087" s="7771" t="s">
        <v>4766</v>
      </c>
      <c r="F1087" s="7771" t="s">
        <v>2739</v>
      </c>
      <c r="G1087" s="7771" t="s">
        <v>4767</v>
      </c>
      <c r="H1087" s="7771" t="s">
        <v>28</v>
      </c>
      <c r="I1087" s="7771" t="s">
        <v>908</v>
      </c>
    </row>
    <row customHeight="1" ht="11.25">
      <c r="A1088" s="7771" t="s">
        <v>2266</v>
      </c>
      <c r="B1088" s="7771" t="s">
        <v>16</v>
      </c>
      <c r="C1088" s="7771" t="s">
        <v>4768</v>
      </c>
      <c r="D1088" s="7771" t="s">
        <v>4769</v>
      </c>
      <c r="E1088" s="7771" t="s">
        <v>4009</v>
      </c>
      <c r="F1088" s="7771" t="s">
        <v>4770</v>
      </c>
      <c r="G1088" s="7771" t="s">
        <v>28</v>
      </c>
      <c r="H1088" s="7771" t="s">
        <v>28</v>
      </c>
      <c r="I1088" s="7771" t="s">
        <v>908</v>
      </c>
    </row>
    <row customHeight="1" ht="11.25">
      <c r="A1089" s="7771" t="s">
        <v>2266</v>
      </c>
      <c r="B1089" s="7771" t="s">
        <v>16</v>
      </c>
      <c r="C1089" s="7771" t="s">
        <v>4771</v>
      </c>
      <c r="D1089" s="7771" t="s">
        <v>4772</v>
      </c>
      <c r="E1089" s="7771" t="s">
        <v>4498</v>
      </c>
      <c r="F1089" s="7771" t="s">
        <v>4773</v>
      </c>
      <c r="G1089" s="7771" t="s">
        <v>28</v>
      </c>
      <c r="H1089" s="7771" t="s">
        <v>28</v>
      </c>
      <c r="I1089" s="7771" t="s">
        <v>908</v>
      </c>
    </row>
    <row customHeight="1" ht="11.25">
      <c r="A1090" s="7771" t="s">
        <v>2266</v>
      </c>
      <c r="B1090" s="7771" t="s">
        <v>16</v>
      </c>
      <c r="C1090" s="7771" t="s">
        <v>4774</v>
      </c>
      <c r="D1090" s="7771" t="s">
        <v>4775</v>
      </c>
      <c r="E1090" s="7771" t="s">
        <v>2363</v>
      </c>
      <c r="F1090" s="7771" t="s">
        <v>3528</v>
      </c>
      <c r="G1090" s="7771" t="s">
        <v>28</v>
      </c>
      <c r="H1090" s="7771" t="s">
        <v>28</v>
      </c>
      <c r="I1090" s="7771" t="s">
        <v>868</v>
      </c>
    </row>
    <row customHeight="1" ht="11.25">
      <c r="A1091" s="7771" t="s">
        <v>2266</v>
      </c>
      <c r="B1091" s="7771" t="s">
        <v>16</v>
      </c>
      <c r="C1091" s="7771" t="s">
        <v>4817</v>
      </c>
      <c r="D1091" s="7771" t="s">
        <v>4818</v>
      </c>
      <c r="E1091" s="7771" t="s">
        <v>4819</v>
      </c>
      <c r="F1091" s="7771" t="s">
        <v>4359</v>
      </c>
      <c r="G1091" s="7771" t="s">
        <v>28</v>
      </c>
      <c r="H1091" s="7771" t="s">
        <v>28</v>
      </c>
      <c r="I1091" s="7771" t="s">
        <v>868</v>
      </c>
    </row>
    <row customHeight="1" ht="11.25">
      <c r="A1092" s="7771" t="s">
        <v>2266</v>
      </c>
      <c r="B1092" s="7771" t="s">
        <v>16</v>
      </c>
      <c r="C1092" s="7771" t="s">
        <v>2287</v>
      </c>
      <c r="D1092" s="7771" t="s">
        <v>2288</v>
      </c>
      <c r="E1092" s="7771" t="s">
        <v>2289</v>
      </c>
      <c r="F1092" s="7771" t="s">
        <v>2290</v>
      </c>
      <c r="G1092" s="7771" t="s">
        <v>2291</v>
      </c>
      <c r="H1092" s="7771" t="s">
        <v>28</v>
      </c>
      <c r="I1092" s="7771" t="s">
        <v>868</v>
      </c>
    </row>
    <row customHeight="1" ht="11.25">
      <c r="A1093" s="7771" t="s">
        <v>2266</v>
      </c>
      <c r="B1093" s="7771" t="s">
        <v>16</v>
      </c>
      <c r="C1093" s="7771" t="s">
        <v>2292</v>
      </c>
      <c r="D1093" s="7771" t="s">
        <v>2293</v>
      </c>
      <c r="E1093" s="7771" t="s">
        <v>2294</v>
      </c>
      <c r="F1093" s="7771" t="s">
        <v>2295</v>
      </c>
      <c r="G1093" s="7771" t="s">
        <v>2296</v>
      </c>
      <c r="H1093" s="7771" t="s">
        <v>28</v>
      </c>
      <c r="I1093" s="7771" t="s">
        <v>868</v>
      </c>
    </row>
    <row customHeight="1" ht="11.25">
      <c r="A1094" s="7771" t="s">
        <v>2266</v>
      </c>
      <c r="B1094" s="7771" t="s">
        <v>16</v>
      </c>
      <c r="C1094" s="7771" t="s">
        <v>2301</v>
      </c>
      <c r="D1094" s="7771" t="s">
        <v>2302</v>
      </c>
      <c r="E1094" s="7771" t="s">
        <v>2303</v>
      </c>
      <c r="F1094" s="7771" t="s">
        <v>2280</v>
      </c>
      <c r="G1094" s="7771" t="s">
        <v>28</v>
      </c>
      <c r="H1094" s="7771" t="s">
        <v>28</v>
      </c>
      <c r="I1094" s="7771" t="s">
        <v>868</v>
      </c>
    </row>
    <row customHeight="1" ht="11.25">
      <c r="A1095" s="7771" t="s">
        <v>2266</v>
      </c>
      <c r="B1095" s="7771" t="s">
        <v>16</v>
      </c>
      <c r="C1095" s="7771" t="s">
        <v>4820</v>
      </c>
      <c r="D1095" s="7771" t="s">
        <v>4821</v>
      </c>
      <c r="E1095" s="7771" t="s">
        <v>4822</v>
      </c>
      <c r="F1095" s="7771" t="s">
        <v>2295</v>
      </c>
      <c r="G1095" s="7771" t="s">
        <v>4823</v>
      </c>
      <c r="H1095" s="7771" t="s">
        <v>28</v>
      </c>
      <c r="I1095" s="7771" t="s">
        <v>868</v>
      </c>
    </row>
    <row customHeight="1" ht="11.25">
      <c r="A1096" s="7771" t="s">
        <v>2266</v>
      </c>
      <c r="B1096" s="7771" t="s">
        <v>16</v>
      </c>
      <c r="C1096" s="7771" t="s">
        <v>2304</v>
      </c>
      <c r="D1096" s="7771" t="s">
        <v>2305</v>
      </c>
      <c r="E1096" s="7771" t="s">
        <v>2306</v>
      </c>
      <c r="F1096" s="7771" t="s">
        <v>2295</v>
      </c>
      <c r="G1096" s="7771" t="s">
        <v>2307</v>
      </c>
      <c r="H1096" s="7771" t="s">
        <v>28</v>
      </c>
      <c r="I1096" s="7771" t="s">
        <v>868</v>
      </c>
    </row>
    <row customHeight="1" ht="11.25">
      <c r="A1097" s="7771" t="s">
        <v>2266</v>
      </c>
      <c r="B1097" s="7771" t="s">
        <v>16</v>
      </c>
      <c r="C1097" s="7771" t="s">
        <v>2308</v>
      </c>
      <c r="D1097" s="7771" t="s">
        <v>2309</v>
      </c>
      <c r="E1097" s="7771" t="s">
        <v>2310</v>
      </c>
      <c r="F1097" s="7771" t="s">
        <v>2285</v>
      </c>
      <c r="G1097" s="7771" t="s">
        <v>2311</v>
      </c>
      <c r="H1097" s="7771" t="s">
        <v>28</v>
      </c>
      <c r="I1097" s="7771" t="s">
        <v>868</v>
      </c>
    </row>
    <row customHeight="1" ht="11.25">
      <c r="A1098" s="7771" t="s">
        <v>2266</v>
      </c>
      <c r="B1098" s="7771" t="s">
        <v>16</v>
      </c>
      <c r="C1098" s="7771" t="s">
        <v>2312</v>
      </c>
      <c r="D1098" s="7771" t="s">
        <v>2313</v>
      </c>
      <c r="E1098" s="7771" t="s">
        <v>2314</v>
      </c>
      <c r="F1098" s="7771" t="s">
        <v>2315</v>
      </c>
      <c r="G1098" s="7771" t="s">
        <v>2316</v>
      </c>
      <c r="H1098" s="7771" t="s">
        <v>28</v>
      </c>
      <c r="I1098" s="7771" t="s">
        <v>868</v>
      </c>
    </row>
    <row customHeight="1" ht="11.25">
      <c r="A1099" s="7771" t="s">
        <v>2266</v>
      </c>
      <c r="B1099" s="7771" t="s">
        <v>16</v>
      </c>
      <c r="C1099" s="7771" t="s">
        <v>4824</v>
      </c>
      <c r="D1099" s="7771" t="s">
        <v>4825</v>
      </c>
      <c r="E1099" s="7771" t="s">
        <v>4826</v>
      </c>
      <c r="F1099" s="7771" t="s">
        <v>2330</v>
      </c>
      <c r="G1099" s="7771" t="s">
        <v>4827</v>
      </c>
      <c r="H1099" s="7771" t="s">
        <v>28</v>
      </c>
      <c r="I1099" s="7771" t="s">
        <v>868</v>
      </c>
    </row>
    <row customHeight="1" ht="11.25">
      <c r="A1100" s="7771" t="s">
        <v>2266</v>
      </c>
      <c r="B1100" s="7771" t="s">
        <v>16</v>
      </c>
      <c r="C1100" s="7771" t="s">
        <v>2322</v>
      </c>
      <c r="D1100" s="7771" t="s">
        <v>2323</v>
      </c>
      <c r="E1100" s="7771" t="s">
        <v>2324</v>
      </c>
      <c r="F1100" s="7771" t="s">
        <v>2325</v>
      </c>
      <c r="G1100" s="7771" t="s">
        <v>2326</v>
      </c>
      <c r="H1100" s="7771" t="s">
        <v>28</v>
      </c>
      <c r="I1100" s="7771" t="s">
        <v>868</v>
      </c>
    </row>
    <row customHeight="1" ht="11.25">
      <c r="A1101" s="7771" t="s">
        <v>2266</v>
      </c>
      <c r="B1101" s="7771" t="s">
        <v>16</v>
      </c>
      <c r="C1101" s="7771" t="s">
        <v>2332</v>
      </c>
      <c r="D1101" s="7771" t="s">
        <v>2333</v>
      </c>
      <c r="E1101" s="7771" t="s">
        <v>2334</v>
      </c>
      <c r="F1101" s="7771" t="s">
        <v>2335</v>
      </c>
      <c r="G1101" s="7771" t="s">
        <v>28</v>
      </c>
      <c r="H1101" s="7771" t="s">
        <v>28</v>
      </c>
      <c r="I1101" s="7771" t="s">
        <v>868</v>
      </c>
    </row>
    <row customHeight="1" ht="11.25">
      <c r="A1102" s="7771" t="s">
        <v>2266</v>
      </c>
      <c r="B1102" s="7771" t="s">
        <v>16</v>
      </c>
      <c r="C1102" s="7771" t="s">
        <v>4828</v>
      </c>
      <c r="D1102" s="7771" t="s">
        <v>4829</v>
      </c>
      <c r="E1102" s="7771" t="s">
        <v>4830</v>
      </c>
      <c r="F1102" s="7771" t="s">
        <v>2285</v>
      </c>
      <c r="G1102" s="7771" t="s">
        <v>4831</v>
      </c>
      <c r="H1102" s="7771" t="s">
        <v>28</v>
      </c>
      <c r="I1102" s="7771" t="s">
        <v>868</v>
      </c>
    </row>
    <row customHeight="1" ht="11.25">
      <c r="A1103" s="7771" t="s">
        <v>2266</v>
      </c>
      <c r="B1103" s="7771" t="s">
        <v>16</v>
      </c>
      <c r="C1103" s="7771" t="s">
        <v>4832</v>
      </c>
      <c r="D1103" s="7771" t="s">
        <v>4833</v>
      </c>
      <c r="E1103" s="7771" t="s">
        <v>4834</v>
      </c>
      <c r="F1103" s="7771" t="s">
        <v>2538</v>
      </c>
      <c r="G1103" s="7771" t="s">
        <v>4835</v>
      </c>
      <c r="H1103" s="7771" t="s">
        <v>28</v>
      </c>
      <c r="I1103" s="7771" t="s">
        <v>868</v>
      </c>
    </row>
    <row customHeight="1" ht="11.25">
      <c r="A1104" s="7771" t="s">
        <v>2266</v>
      </c>
      <c r="B1104" s="7771" t="s">
        <v>16</v>
      </c>
      <c r="C1104" s="7771" t="s">
        <v>4836</v>
      </c>
      <c r="D1104" s="7771" t="s">
        <v>4833</v>
      </c>
      <c r="E1104" s="7771" t="s">
        <v>4837</v>
      </c>
      <c r="F1104" s="7771" t="s">
        <v>2285</v>
      </c>
      <c r="G1104" s="7771" t="s">
        <v>4838</v>
      </c>
      <c r="H1104" s="7771" t="s">
        <v>28</v>
      </c>
      <c r="I1104" s="7771" t="s">
        <v>868</v>
      </c>
    </row>
    <row customHeight="1" ht="11.25">
      <c r="A1105" s="7771" t="s">
        <v>2266</v>
      </c>
      <c r="B1105" s="7771" t="s">
        <v>16</v>
      </c>
      <c r="C1105" s="7771" t="s">
        <v>4839</v>
      </c>
      <c r="D1105" s="7771" t="s">
        <v>4840</v>
      </c>
      <c r="E1105" s="7771" t="s">
        <v>4841</v>
      </c>
      <c r="F1105" s="7771" t="s">
        <v>2518</v>
      </c>
      <c r="G1105" s="7771" t="s">
        <v>28</v>
      </c>
      <c r="H1105" s="7771" t="s">
        <v>28</v>
      </c>
      <c r="I1105" s="7771" t="s">
        <v>868</v>
      </c>
    </row>
    <row customHeight="1" ht="11.25">
      <c r="A1106" s="7771" t="s">
        <v>2266</v>
      </c>
      <c r="B1106" s="7771" t="s">
        <v>16</v>
      </c>
      <c r="C1106" s="7771" t="s">
        <v>2339</v>
      </c>
      <c r="D1106" s="7771" t="s">
        <v>2340</v>
      </c>
      <c r="E1106" s="7771" t="s">
        <v>2341</v>
      </c>
      <c r="F1106" s="7771" t="s">
        <v>2342</v>
      </c>
      <c r="G1106" s="7771" t="s">
        <v>2343</v>
      </c>
      <c r="H1106" s="7771" t="s">
        <v>28</v>
      </c>
      <c r="I1106" s="7771" t="s">
        <v>868</v>
      </c>
    </row>
    <row customHeight="1" ht="11.25">
      <c r="A1107" s="7771" t="s">
        <v>2266</v>
      </c>
      <c r="B1107" s="7771" t="s">
        <v>16</v>
      </c>
      <c r="C1107" s="7771" t="s">
        <v>4842</v>
      </c>
      <c r="D1107" s="7771" t="s">
        <v>4843</v>
      </c>
      <c r="E1107" s="7771" t="s">
        <v>4844</v>
      </c>
      <c r="F1107" s="7771" t="s">
        <v>4845</v>
      </c>
      <c r="G1107" s="7771" t="s">
        <v>28</v>
      </c>
      <c r="H1107" s="7771" t="s">
        <v>28</v>
      </c>
      <c r="I1107" s="7771" t="s">
        <v>868</v>
      </c>
    </row>
    <row customHeight="1" ht="11.25">
      <c r="A1108" s="7771" t="s">
        <v>2266</v>
      </c>
      <c r="B1108" s="7771" t="s">
        <v>16</v>
      </c>
      <c r="C1108" s="7771" t="s">
        <v>2353</v>
      </c>
      <c r="D1108" s="7771" t="s">
        <v>2354</v>
      </c>
      <c r="E1108" s="7771" t="s">
        <v>2355</v>
      </c>
      <c r="F1108" s="7771" t="s">
        <v>2356</v>
      </c>
      <c r="G1108" s="7771" t="s">
        <v>28</v>
      </c>
      <c r="H1108" s="7771" t="s">
        <v>28</v>
      </c>
      <c r="I1108" s="7771" t="s">
        <v>868</v>
      </c>
    </row>
    <row customHeight="1" ht="11.25">
      <c r="A1109" s="7771" t="s">
        <v>2266</v>
      </c>
      <c r="B1109" s="7771" t="s">
        <v>16</v>
      </c>
      <c r="C1109" s="7771" t="s">
        <v>2361</v>
      </c>
      <c r="D1109" s="7771" t="s">
        <v>2362</v>
      </c>
      <c r="E1109" s="7771" t="s">
        <v>2363</v>
      </c>
      <c r="F1109" s="7771" t="s">
        <v>2356</v>
      </c>
      <c r="G1109" s="7771" t="s">
        <v>2364</v>
      </c>
      <c r="H1109" s="7771" t="s">
        <v>28</v>
      </c>
      <c r="I1109" s="7771" t="s">
        <v>868</v>
      </c>
    </row>
    <row customHeight="1" ht="11.25">
      <c r="A1110" s="7771" t="s">
        <v>2266</v>
      </c>
      <c r="B1110" s="7771" t="s">
        <v>16</v>
      </c>
      <c r="C1110" s="7771" t="s">
        <v>4846</v>
      </c>
      <c r="D1110" s="7771" t="s">
        <v>4847</v>
      </c>
      <c r="E1110" s="7771" t="s">
        <v>4848</v>
      </c>
      <c r="F1110" s="7771" t="s">
        <v>2280</v>
      </c>
      <c r="G1110" s="7771" t="s">
        <v>28</v>
      </c>
      <c r="H1110" s="7771" t="s">
        <v>28</v>
      </c>
      <c r="I1110" s="7771" t="s">
        <v>868</v>
      </c>
    </row>
    <row customHeight="1" ht="11.25">
      <c r="A1111" s="7771" t="s">
        <v>2266</v>
      </c>
      <c r="B1111" s="7771" t="s">
        <v>16</v>
      </c>
      <c r="C1111" s="7771" t="s">
        <v>2365</v>
      </c>
      <c r="D1111" s="7771" t="s">
        <v>2366</v>
      </c>
      <c r="E1111" s="7771" t="s">
        <v>2367</v>
      </c>
      <c r="F1111" s="7771" t="s">
        <v>2368</v>
      </c>
      <c r="G1111" s="7771" t="s">
        <v>28</v>
      </c>
      <c r="H1111" s="7771" t="s">
        <v>28</v>
      </c>
      <c r="I1111" s="7771" t="s">
        <v>868</v>
      </c>
    </row>
    <row customHeight="1" ht="11.25">
      <c r="A1112" s="7771" t="s">
        <v>2266</v>
      </c>
      <c r="B1112" s="7771" t="s">
        <v>16</v>
      </c>
      <c r="C1112" s="7771" t="s">
        <v>2369</v>
      </c>
      <c r="D1112" s="7771" t="s">
        <v>2370</v>
      </c>
      <c r="E1112" s="7771" t="s">
        <v>2371</v>
      </c>
      <c r="F1112" s="7771" t="s">
        <v>2372</v>
      </c>
      <c r="G1112" s="7771" t="s">
        <v>2373</v>
      </c>
      <c r="H1112" s="7771" t="s">
        <v>28</v>
      </c>
      <c r="I1112" s="7771" t="s">
        <v>868</v>
      </c>
    </row>
    <row customHeight="1" ht="11.25">
      <c r="A1113" s="7771" t="s">
        <v>2266</v>
      </c>
      <c r="B1113" s="7771" t="s">
        <v>16</v>
      </c>
      <c r="C1113" s="7771" t="s">
        <v>4849</v>
      </c>
      <c r="D1113" s="7771" t="s">
        <v>4850</v>
      </c>
      <c r="E1113" s="7771" t="s">
        <v>4851</v>
      </c>
      <c r="F1113" s="7771" t="s">
        <v>4852</v>
      </c>
      <c r="G1113" s="7771" t="s">
        <v>4853</v>
      </c>
      <c r="H1113" s="7771" t="s">
        <v>28</v>
      </c>
      <c r="I1113" s="7771" t="s">
        <v>868</v>
      </c>
    </row>
    <row customHeight="1" ht="11.25">
      <c r="A1114" s="7771" t="s">
        <v>2266</v>
      </c>
      <c r="B1114" s="7771" t="s">
        <v>16</v>
      </c>
      <c r="C1114" s="7771" t="s">
        <v>2379</v>
      </c>
      <c r="D1114" s="7771" t="s">
        <v>2380</v>
      </c>
      <c r="E1114" s="7771" t="s">
        <v>2381</v>
      </c>
      <c r="F1114" s="7771" t="s">
        <v>2347</v>
      </c>
      <c r="G1114" s="7771" t="s">
        <v>28</v>
      </c>
      <c r="H1114" s="7771" t="s">
        <v>28</v>
      </c>
      <c r="I1114" s="7771" t="s">
        <v>868</v>
      </c>
    </row>
    <row customHeight="1" ht="11.25">
      <c r="A1115" s="7771" t="s">
        <v>2266</v>
      </c>
      <c r="B1115" s="7771" t="s">
        <v>16</v>
      </c>
      <c r="C1115" s="7771" t="s">
        <v>2387</v>
      </c>
      <c r="D1115" s="7771" t="s">
        <v>2388</v>
      </c>
      <c r="E1115" s="7771" t="s">
        <v>2389</v>
      </c>
      <c r="F1115" s="7771" t="s">
        <v>2390</v>
      </c>
      <c r="G1115" s="7771" t="s">
        <v>2391</v>
      </c>
      <c r="H1115" s="7771" t="s">
        <v>28</v>
      </c>
      <c r="I1115" s="7771" t="s">
        <v>868</v>
      </c>
    </row>
    <row customHeight="1" ht="11.25">
      <c r="A1116" s="7771" t="s">
        <v>2266</v>
      </c>
      <c r="B1116" s="7771" t="s">
        <v>16</v>
      </c>
      <c r="C1116" s="7771" t="s">
        <v>4854</v>
      </c>
      <c r="D1116" s="7771" t="s">
        <v>4855</v>
      </c>
      <c r="E1116" s="7771" t="s">
        <v>4856</v>
      </c>
      <c r="F1116" s="7771" t="s">
        <v>2280</v>
      </c>
      <c r="G1116" s="7771" t="s">
        <v>4857</v>
      </c>
      <c r="H1116" s="7771" t="s">
        <v>28</v>
      </c>
      <c r="I1116" s="7771" t="s">
        <v>868</v>
      </c>
    </row>
    <row customHeight="1" ht="11.25">
      <c r="A1117" s="7771" t="s">
        <v>2266</v>
      </c>
      <c r="B1117" s="7771" t="s">
        <v>16</v>
      </c>
      <c r="C1117" s="7771" t="s">
        <v>2392</v>
      </c>
      <c r="D1117" s="7771" t="s">
        <v>2393</v>
      </c>
      <c r="E1117" s="7771" t="s">
        <v>2394</v>
      </c>
      <c r="F1117" s="7771" t="s">
        <v>2280</v>
      </c>
      <c r="G1117" s="7771" t="s">
        <v>2395</v>
      </c>
      <c r="H1117" s="7771" t="s">
        <v>28</v>
      </c>
      <c r="I1117" s="7771" t="s">
        <v>868</v>
      </c>
    </row>
    <row customHeight="1" ht="11.25">
      <c r="A1118" s="7771" t="s">
        <v>2266</v>
      </c>
      <c r="B1118" s="7771" t="s">
        <v>16</v>
      </c>
      <c r="C1118" s="7771" t="s">
        <v>4858</v>
      </c>
      <c r="D1118" s="7771" t="s">
        <v>4859</v>
      </c>
      <c r="E1118" s="7771" t="s">
        <v>4860</v>
      </c>
      <c r="F1118" s="7771" t="s">
        <v>2538</v>
      </c>
      <c r="G1118" s="7771" t="s">
        <v>4861</v>
      </c>
      <c r="H1118" s="7771" t="s">
        <v>28</v>
      </c>
      <c r="I1118" s="7771" t="s">
        <v>868</v>
      </c>
    </row>
    <row customHeight="1" ht="11.25">
      <c r="A1119" s="7771" t="s">
        <v>2266</v>
      </c>
      <c r="B1119" s="7771" t="s">
        <v>16</v>
      </c>
      <c r="C1119" s="7771" t="s">
        <v>4862</v>
      </c>
      <c r="D1119" s="7771" t="s">
        <v>4863</v>
      </c>
      <c r="E1119" s="7771" t="s">
        <v>4864</v>
      </c>
      <c r="F1119" s="7771" t="s">
        <v>2988</v>
      </c>
      <c r="G1119" s="7771" t="s">
        <v>28</v>
      </c>
      <c r="H1119" s="7771" t="s">
        <v>28</v>
      </c>
      <c r="I1119" s="7771" t="s">
        <v>868</v>
      </c>
    </row>
    <row customHeight="1" ht="11.25">
      <c r="A1120" s="7771" t="s">
        <v>2266</v>
      </c>
      <c r="B1120" s="7771" t="s">
        <v>16</v>
      </c>
      <c r="C1120" s="7771" t="s">
        <v>4865</v>
      </c>
      <c r="D1120" s="7771" t="s">
        <v>4866</v>
      </c>
      <c r="E1120" s="7771" t="s">
        <v>4867</v>
      </c>
      <c r="F1120" s="7771" t="s">
        <v>4731</v>
      </c>
      <c r="G1120" s="7771" t="s">
        <v>28</v>
      </c>
      <c r="H1120" s="7771" t="s">
        <v>28</v>
      </c>
      <c r="I1120" s="7771" t="s">
        <v>868</v>
      </c>
    </row>
    <row customHeight="1" ht="11.25">
      <c r="A1121" s="7771" t="s">
        <v>2266</v>
      </c>
      <c r="B1121" s="7771" t="s">
        <v>16</v>
      </c>
      <c r="C1121" s="7771" t="s">
        <v>2422</v>
      </c>
      <c r="D1121" s="7771" t="s">
        <v>2423</v>
      </c>
      <c r="E1121" s="7771" t="s">
        <v>2424</v>
      </c>
      <c r="F1121" s="7771" t="s">
        <v>2425</v>
      </c>
      <c r="G1121" s="7771" t="s">
        <v>2426</v>
      </c>
      <c r="H1121" s="7771" t="s">
        <v>28</v>
      </c>
      <c r="I1121" s="7771" t="s">
        <v>868</v>
      </c>
    </row>
    <row customHeight="1" ht="11.25">
      <c r="A1122" s="7771" t="s">
        <v>2266</v>
      </c>
      <c r="B1122" s="7771" t="s">
        <v>16</v>
      </c>
      <c r="C1122" s="7771" t="s">
        <v>2427</v>
      </c>
      <c r="D1122" s="7771" t="s">
        <v>2428</v>
      </c>
      <c r="E1122" s="7771" t="s">
        <v>2429</v>
      </c>
      <c r="F1122" s="7771" t="s">
        <v>2430</v>
      </c>
      <c r="G1122" s="7771" t="s">
        <v>28</v>
      </c>
      <c r="H1122" s="7771" t="s">
        <v>28</v>
      </c>
      <c r="I1122" s="7771" t="s">
        <v>868</v>
      </c>
    </row>
    <row customHeight="1" ht="11.25">
      <c r="A1123" s="7771" t="s">
        <v>2266</v>
      </c>
      <c r="B1123" s="7771" t="s">
        <v>16</v>
      </c>
      <c r="C1123" s="7771" t="s">
        <v>4868</v>
      </c>
      <c r="D1123" s="7771" t="s">
        <v>4869</v>
      </c>
      <c r="E1123" s="7771" t="s">
        <v>4870</v>
      </c>
      <c r="F1123" s="7771" t="s">
        <v>2538</v>
      </c>
      <c r="G1123" s="7771" t="s">
        <v>4871</v>
      </c>
      <c r="H1123" s="7771" t="s">
        <v>28</v>
      </c>
      <c r="I1123" s="7771" t="s">
        <v>868</v>
      </c>
    </row>
    <row customHeight="1" ht="11.25">
      <c r="A1124" s="7771" t="s">
        <v>2266</v>
      </c>
      <c r="B1124" s="7771" t="s">
        <v>16</v>
      </c>
      <c r="C1124" s="7771" t="s">
        <v>2431</v>
      </c>
      <c r="D1124" s="7771" t="s">
        <v>2432</v>
      </c>
      <c r="E1124" s="7771" t="s">
        <v>2433</v>
      </c>
      <c r="F1124" s="7771" t="s">
        <v>2434</v>
      </c>
      <c r="G1124" s="7771" t="s">
        <v>28</v>
      </c>
      <c r="H1124" s="7771" t="s">
        <v>28</v>
      </c>
      <c r="I1124" s="7771" t="s">
        <v>868</v>
      </c>
    </row>
    <row customHeight="1" ht="11.25">
      <c r="A1125" s="7771" t="s">
        <v>2266</v>
      </c>
      <c r="B1125" s="7771" t="s">
        <v>16</v>
      </c>
      <c r="C1125" s="7771" t="s">
        <v>4872</v>
      </c>
      <c r="D1125" s="7771" t="s">
        <v>4873</v>
      </c>
      <c r="E1125" s="7771" t="s">
        <v>4874</v>
      </c>
      <c r="F1125" s="7771" t="s">
        <v>2285</v>
      </c>
      <c r="G1125" s="7771" t="s">
        <v>4875</v>
      </c>
      <c r="H1125" s="7771" t="s">
        <v>28</v>
      </c>
      <c r="I1125" s="7771" t="s">
        <v>868</v>
      </c>
    </row>
    <row customHeight="1" ht="11.25">
      <c r="A1126" s="7771" t="s">
        <v>2266</v>
      </c>
      <c r="B1126" s="7771" t="s">
        <v>16</v>
      </c>
      <c r="C1126" s="7771" t="s">
        <v>4876</v>
      </c>
      <c r="D1126" s="7771" t="s">
        <v>4877</v>
      </c>
      <c r="E1126" s="7771" t="s">
        <v>4878</v>
      </c>
      <c r="F1126" s="7771" t="s">
        <v>4879</v>
      </c>
      <c r="G1126" s="7771" t="s">
        <v>4880</v>
      </c>
      <c r="H1126" s="7771" t="s">
        <v>28</v>
      </c>
      <c r="I1126" s="7771" t="s">
        <v>868</v>
      </c>
    </row>
    <row customHeight="1" ht="11.25">
      <c r="A1127" s="7771" t="s">
        <v>2266</v>
      </c>
      <c r="B1127" s="7771" t="s">
        <v>16</v>
      </c>
      <c r="C1127" s="7771" t="s">
        <v>4881</v>
      </c>
      <c r="D1127" s="7771" t="s">
        <v>4882</v>
      </c>
      <c r="E1127" s="7771" t="s">
        <v>4883</v>
      </c>
      <c r="F1127" s="7771" t="s">
        <v>2451</v>
      </c>
      <c r="G1127" s="7771" t="s">
        <v>2452</v>
      </c>
      <c r="H1127" s="7771" t="s">
        <v>28</v>
      </c>
      <c r="I1127" s="7771" t="s">
        <v>868</v>
      </c>
    </row>
    <row customHeight="1" ht="11.25">
      <c r="A1128" s="7771" t="s">
        <v>2266</v>
      </c>
      <c r="B1128" s="7771" t="s">
        <v>16</v>
      </c>
      <c r="C1128" s="7771" t="s">
        <v>2453</v>
      </c>
      <c r="D1128" s="7771" t="s">
        <v>2454</v>
      </c>
      <c r="E1128" s="7771" t="s">
        <v>2455</v>
      </c>
      <c r="F1128" s="7771" t="s">
        <v>2430</v>
      </c>
      <c r="G1128" s="7771" t="s">
        <v>28</v>
      </c>
      <c r="H1128" s="7771" t="s">
        <v>28</v>
      </c>
      <c r="I1128" s="7771" t="s">
        <v>868</v>
      </c>
    </row>
    <row customHeight="1" ht="11.25">
      <c r="A1129" s="7771" t="s">
        <v>2266</v>
      </c>
      <c r="B1129" s="7771" t="s">
        <v>16</v>
      </c>
      <c r="C1129" s="7771" t="s">
        <v>2456</v>
      </c>
      <c r="D1129" s="7771" t="s">
        <v>2457</v>
      </c>
      <c r="E1129" s="7771" t="s">
        <v>2458</v>
      </c>
      <c r="F1129" s="7771" t="s">
        <v>2446</v>
      </c>
      <c r="G1129" s="7771" t="s">
        <v>2459</v>
      </c>
      <c r="H1129" s="7771" t="s">
        <v>28</v>
      </c>
      <c r="I1129" s="7771" t="s">
        <v>868</v>
      </c>
    </row>
    <row customHeight="1" ht="11.25">
      <c r="A1130" s="7771" t="s">
        <v>2266</v>
      </c>
      <c r="B1130" s="7771" t="s">
        <v>16</v>
      </c>
      <c r="C1130" s="7771" t="s">
        <v>2465</v>
      </c>
      <c r="D1130" s="7771" t="s">
        <v>2466</v>
      </c>
      <c r="E1130" s="7771" t="s">
        <v>2467</v>
      </c>
      <c r="F1130" s="7771" t="s">
        <v>2468</v>
      </c>
      <c r="G1130" s="7771" t="s">
        <v>2469</v>
      </c>
      <c r="H1130" s="7771" t="s">
        <v>28</v>
      </c>
      <c r="I1130" s="7771" t="s">
        <v>868</v>
      </c>
    </row>
    <row customHeight="1" ht="11.25">
      <c r="A1131" s="7771" t="s">
        <v>2266</v>
      </c>
      <c r="B1131" s="7771" t="s">
        <v>16</v>
      </c>
      <c r="C1131" s="7771" t="s">
        <v>2470</v>
      </c>
      <c r="D1131" s="7771" t="s">
        <v>2471</v>
      </c>
      <c r="E1131" s="7771" t="s">
        <v>2472</v>
      </c>
      <c r="F1131" s="7771" t="s">
        <v>2473</v>
      </c>
      <c r="G1131" s="7771" t="s">
        <v>2474</v>
      </c>
      <c r="H1131" s="7771" t="s">
        <v>28</v>
      </c>
      <c r="I1131" s="7771" t="s">
        <v>868</v>
      </c>
    </row>
    <row customHeight="1" ht="11.25">
      <c r="A1132" s="7771" t="s">
        <v>2266</v>
      </c>
      <c r="B1132" s="7771" t="s">
        <v>16</v>
      </c>
      <c r="C1132" s="7771" t="s">
        <v>2475</v>
      </c>
      <c r="D1132" s="7771" t="s">
        <v>2476</v>
      </c>
      <c r="E1132" s="7771" t="s">
        <v>2477</v>
      </c>
      <c r="F1132" s="7771" t="s">
        <v>2478</v>
      </c>
      <c r="G1132" s="7771" t="s">
        <v>28</v>
      </c>
      <c r="H1132" s="7771" t="s">
        <v>28</v>
      </c>
      <c r="I1132" s="7771" t="s">
        <v>868</v>
      </c>
    </row>
    <row customHeight="1" ht="11.25">
      <c r="A1133" s="7771" t="s">
        <v>2266</v>
      </c>
      <c r="B1133" s="7771" t="s">
        <v>16</v>
      </c>
      <c r="C1133" s="7771" t="s">
        <v>2479</v>
      </c>
      <c r="D1133" s="7771" t="s">
        <v>2480</v>
      </c>
      <c r="E1133" s="7771" t="s">
        <v>2481</v>
      </c>
      <c r="F1133" s="7771" t="s">
        <v>2451</v>
      </c>
      <c r="G1133" s="7771" t="s">
        <v>2482</v>
      </c>
      <c r="H1133" s="7771" t="s">
        <v>28</v>
      </c>
      <c r="I1133" s="7771" t="s">
        <v>868</v>
      </c>
    </row>
    <row customHeight="1" ht="11.25">
      <c r="A1134" s="7771" t="s">
        <v>2266</v>
      </c>
      <c r="B1134" s="7771" t="s">
        <v>16</v>
      </c>
      <c r="C1134" s="7771" t="s">
        <v>2488</v>
      </c>
      <c r="D1134" s="7771" t="s">
        <v>2489</v>
      </c>
      <c r="E1134" s="7771" t="s">
        <v>2490</v>
      </c>
      <c r="F1134" s="7771" t="s">
        <v>2463</v>
      </c>
      <c r="G1134" s="7771" t="s">
        <v>2491</v>
      </c>
      <c r="H1134" s="7771" t="s">
        <v>28</v>
      </c>
      <c r="I1134" s="7771" t="s">
        <v>868</v>
      </c>
    </row>
    <row customHeight="1" ht="11.25">
      <c r="A1135" s="7771" t="s">
        <v>2266</v>
      </c>
      <c r="B1135" s="7771" t="s">
        <v>16</v>
      </c>
      <c r="C1135" s="7771" t="s">
        <v>2492</v>
      </c>
      <c r="D1135" s="7771" t="s">
        <v>2493</v>
      </c>
      <c r="E1135" s="7771" t="s">
        <v>2494</v>
      </c>
      <c r="F1135" s="7771" t="s">
        <v>2495</v>
      </c>
      <c r="G1135" s="7771" t="s">
        <v>28</v>
      </c>
      <c r="H1135" s="7771" t="s">
        <v>28</v>
      </c>
      <c r="I1135" s="7771" t="s">
        <v>868</v>
      </c>
    </row>
    <row customHeight="1" ht="11.25">
      <c r="A1136" s="7771" t="s">
        <v>2266</v>
      </c>
      <c r="B1136" s="7771" t="s">
        <v>16</v>
      </c>
      <c r="C1136" s="7771" t="s">
        <v>2500</v>
      </c>
      <c r="D1136" s="7771" t="s">
        <v>2501</v>
      </c>
      <c r="E1136" s="7771" t="s">
        <v>2502</v>
      </c>
      <c r="F1136" s="7771" t="s">
        <v>2503</v>
      </c>
      <c r="G1136" s="7771" t="s">
        <v>2504</v>
      </c>
      <c r="H1136" s="7771" t="s">
        <v>28</v>
      </c>
      <c r="I1136" s="7771" t="s">
        <v>868</v>
      </c>
    </row>
    <row customHeight="1" ht="11.25">
      <c r="A1137" s="7771" t="s">
        <v>2266</v>
      </c>
      <c r="B1137" s="7771" t="s">
        <v>16</v>
      </c>
      <c r="C1137" s="7771" t="s">
        <v>4884</v>
      </c>
      <c r="D1137" s="7771" t="s">
        <v>4885</v>
      </c>
      <c r="E1137" s="7771" t="s">
        <v>4886</v>
      </c>
      <c r="F1137" s="7771" t="s">
        <v>3027</v>
      </c>
      <c r="G1137" s="7771" t="s">
        <v>28</v>
      </c>
      <c r="H1137" s="7771" t="s">
        <v>28</v>
      </c>
      <c r="I1137" s="7771" t="s">
        <v>868</v>
      </c>
    </row>
    <row customHeight="1" ht="11.25">
      <c r="A1138" s="7771" t="s">
        <v>2266</v>
      </c>
      <c r="B1138" s="7771" t="s">
        <v>16</v>
      </c>
      <c r="C1138" s="7771" t="s">
        <v>2505</v>
      </c>
      <c r="D1138" s="7771" t="s">
        <v>2506</v>
      </c>
      <c r="E1138" s="7771" t="s">
        <v>2507</v>
      </c>
      <c r="F1138" s="7771" t="s">
        <v>2300</v>
      </c>
      <c r="G1138" s="7771" t="s">
        <v>2508</v>
      </c>
      <c r="H1138" s="7771" t="s">
        <v>28</v>
      </c>
      <c r="I1138" s="7771" t="s">
        <v>868</v>
      </c>
    </row>
    <row customHeight="1" ht="11.25">
      <c r="A1139" s="7771" t="s">
        <v>2266</v>
      </c>
      <c r="B1139" s="7771" t="s">
        <v>16</v>
      </c>
      <c r="C1139" s="7771" t="s">
        <v>2509</v>
      </c>
      <c r="D1139" s="7771" t="s">
        <v>2510</v>
      </c>
      <c r="E1139" s="7771" t="s">
        <v>2511</v>
      </c>
      <c r="F1139" s="7771" t="s">
        <v>2468</v>
      </c>
      <c r="G1139" s="7771" t="s">
        <v>2512</v>
      </c>
      <c r="H1139" s="7771" t="s">
        <v>28</v>
      </c>
      <c r="I1139" s="7771" t="s">
        <v>868</v>
      </c>
    </row>
    <row customHeight="1" ht="11.25">
      <c r="A1140" s="7771" t="s">
        <v>2266</v>
      </c>
      <c r="B1140" s="7771" t="s">
        <v>16</v>
      </c>
      <c r="C1140" s="7771" t="s">
        <v>2513</v>
      </c>
      <c r="D1140" s="7771" t="s">
        <v>2514</v>
      </c>
      <c r="E1140" s="7771" t="s">
        <v>2269</v>
      </c>
      <c r="F1140" s="7771" t="s">
        <v>2446</v>
      </c>
      <c r="G1140" s="7771" t="s">
        <v>2271</v>
      </c>
      <c r="H1140" s="7771" t="s">
        <v>28</v>
      </c>
      <c r="I1140" s="7771" t="s">
        <v>868</v>
      </c>
    </row>
    <row customHeight="1" ht="11.25">
      <c r="A1141" s="7771" t="s">
        <v>2266</v>
      </c>
      <c r="B1141" s="7771" t="s">
        <v>16</v>
      </c>
      <c r="C1141" s="7771" t="s">
        <v>4887</v>
      </c>
      <c r="D1141" s="7771" t="s">
        <v>4888</v>
      </c>
      <c r="E1141" s="7771" t="s">
        <v>4889</v>
      </c>
      <c r="F1141" s="7771" t="s">
        <v>2372</v>
      </c>
      <c r="G1141" s="7771" t="s">
        <v>4890</v>
      </c>
      <c r="H1141" s="7771" t="s">
        <v>28</v>
      </c>
      <c r="I1141" s="7771" t="s">
        <v>868</v>
      </c>
    </row>
    <row customHeight="1" ht="11.25">
      <c r="A1142" s="7771" t="s">
        <v>2266</v>
      </c>
      <c r="B1142" s="7771" t="s">
        <v>16</v>
      </c>
      <c r="C1142" s="7771" t="s">
        <v>2540</v>
      </c>
      <c r="D1142" s="7771" t="s">
        <v>2541</v>
      </c>
      <c r="E1142" s="7771" t="s">
        <v>2542</v>
      </c>
      <c r="F1142" s="7771" t="s">
        <v>2441</v>
      </c>
      <c r="G1142" s="7771" t="s">
        <v>2543</v>
      </c>
      <c r="H1142" s="7771" t="s">
        <v>28</v>
      </c>
      <c r="I1142" s="7771" t="s">
        <v>868</v>
      </c>
    </row>
    <row customHeight="1" ht="11.25">
      <c r="A1143" s="7771" t="s">
        <v>2266</v>
      </c>
      <c r="B1143" s="7771" t="s">
        <v>16</v>
      </c>
      <c r="C1143" s="7771" t="s">
        <v>2548</v>
      </c>
      <c r="D1143" s="7771" t="s">
        <v>2549</v>
      </c>
      <c r="E1143" s="7771" t="s">
        <v>2550</v>
      </c>
      <c r="F1143" s="7771" t="s">
        <v>2295</v>
      </c>
      <c r="G1143" s="7771" t="s">
        <v>28</v>
      </c>
      <c r="H1143" s="7771" t="s">
        <v>28</v>
      </c>
      <c r="I1143" s="7771" t="s">
        <v>868</v>
      </c>
    </row>
    <row customHeight="1" ht="11.25">
      <c r="A1144" s="7771" t="s">
        <v>2266</v>
      </c>
      <c r="B1144" s="7771" t="s">
        <v>16</v>
      </c>
      <c r="C1144" s="7771" t="s">
        <v>2557</v>
      </c>
      <c r="D1144" s="7771" t="s">
        <v>2558</v>
      </c>
      <c r="E1144" s="7771" t="s">
        <v>2559</v>
      </c>
      <c r="F1144" s="7771" t="s">
        <v>2285</v>
      </c>
      <c r="G1144" s="7771" t="s">
        <v>2560</v>
      </c>
      <c r="H1144" s="7771" t="s">
        <v>28</v>
      </c>
      <c r="I1144" s="7771" t="s">
        <v>868</v>
      </c>
    </row>
    <row customHeight="1" ht="11.25">
      <c r="A1145" s="7771" t="s">
        <v>2266</v>
      </c>
      <c r="B1145" s="7771" t="s">
        <v>16</v>
      </c>
      <c r="C1145" s="7771" t="s">
        <v>2575</v>
      </c>
      <c r="D1145" s="7771" t="s">
        <v>2576</v>
      </c>
      <c r="E1145" s="7771" t="s">
        <v>2577</v>
      </c>
      <c r="F1145" s="7771" t="s">
        <v>2578</v>
      </c>
      <c r="G1145" s="7771" t="s">
        <v>2579</v>
      </c>
      <c r="H1145" s="7771" t="s">
        <v>28</v>
      </c>
      <c r="I1145" s="7771" t="s">
        <v>868</v>
      </c>
    </row>
    <row customHeight="1" ht="11.25">
      <c r="A1146" s="7771" t="s">
        <v>2266</v>
      </c>
      <c r="B1146" s="7771" t="s">
        <v>16</v>
      </c>
      <c r="C1146" s="7771" t="s">
        <v>4776</v>
      </c>
      <c r="D1146" s="7771" t="s">
        <v>4777</v>
      </c>
      <c r="E1146" s="7771" t="s">
        <v>4778</v>
      </c>
      <c r="F1146" s="7771" t="s">
        <v>2368</v>
      </c>
      <c r="G1146" s="7771" t="s">
        <v>4124</v>
      </c>
      <c r="H1146" s="7771" t="s">
        <v>28</v>
      </c>
      <c r="I1146" s="7771" t="s">
        <v>868</v>
      </c>
    </row>
    <row customHeight="1" ht="11.25">
      <c r="A1147" s="7771" t="s">
        <v>2266</v>
      </c>
      <c r="B1147" s="7771" t="s">
        <v>16</v>
      </c>
      <c r="C1147" s="7771" t="s">
        <v>4891</v>
      </c>
      <c r="D1147" s="7771" t="s">
        <v>4892</v>
      </c>
      <c r="E1147" s="7771" t="s">
        <v>4893</v>
      </c>
      <c r="F1147" s="7771" t="s">
        <v>2624</v>
      </c>
      <c r="G1147" s="7771" t="s">
        <v>3853</v>
      </c>
      <c r="H1147" s="7771" t="s">
        <v>28</v>
      </c>
      <c r="I1147" s="7771" t="s">
        <v>868</v>
      </c>
    </row>
    <row customHeight="1" ht="11.25">
      <c r="A1148" s="7771" t="s">
        <v>2266</v>
      </c>
      <c r="B1148" s="7771" t="s">
        <v>16</v>
      </c>
      <c r="C1148" s="7771" t="s">
        <v>2585</v>
      </c>
      <c r="D1148" s="7771" t="s">
        <v>2586</v>
      </c>
      <c r="E1148" s="7771" t="s">
        <v>2587</v>
      </c>
      <c r="F1148" s="7771" t="s">
        <v>2280</v>
      </c>
      <c r="G1148" s="7771" t="s">
        <v>2588</v>
      </c>
      <c r="H1148" s="7771" t="s">
        <v>28</v>
      </c>
      <c r="I1148" s="7771" t="s">
        <v>868</v>
      </c>
    </row>
    <row customHeight="1" ht="11.25">
      <c r="A1149" s="7771" t="s">
        <v>2266</v>
      </c>
      <c r="B1149" s="7771" t="s">
        <v>16</v>
      </c>
      <c r="C1149" s="7771" t="s">
        <v>4894</v>
      </c>
      <c r="D1149" s="7771" t="s">
        <v>4895</v>
      </c>
      <c r="E1149" s="7771" t="s">
        <v>4896</v>
      </c>
      <c r="F1149" s="7771" t="s">
        <v>2280</v>
      </c>
      <c r="G1149" s="7771" t="s">
        <v>4897</v>
      </c>
      <c r="H1149" s="7771" t="s">
        <v>28</v>
      </c>
      <c r="I1149" s="7771" t="s">
        <v>868</v>
      </c>
    </row>
    <row customHeight="1" ht="11.25">
      <c r="A1150" s="7771" t="s">
        <v>2266</v>
      </c>
      <c r="B1150" s="7771" t="s">
        <v>16</v>
      </c>
      <c r="C1150" s="7771" t="s">
        <v>2589</v>
      </c>
      <c r="D1150" s="7771" t="s">
        <v>2590</v>
      </c>
      <c r="E1150" s="7771" t="s">
        <v>2591</v>
      </c>
      <c r="F1150" s="7771" t="s">
        <v>2592</v>
      </c>
      <c r="G1150" s="7771" t="s">
        <v>28</v>
      </c>
      <c r="H1150" s="7771" t="s">
        <v>28</v>
      </c>
      <c r="I1150" s="7771" t="s">
        <v>868</v>
      </c>
    </row>
    <row customHeight="1" ht="11.25">
      <c r="A1151" s="7771" t="s">
        <v>2266</v>
      </c>
      <c r="B1151" s="7771" t="s">
        <v>16</v>
      </c>
      <c r="C1151" s="7771" t="s">
        <v>2597</v>
      </c>
      <c r="D1151" s="7771" t="s">
        <v>2598</v>
      </c>
      <c r="E1151" s="7771" t="s">
        <v>2599</v>
      </c>
      <c r="F1151" s="7771" t="s">
        <v>2280</v>
      </c>
      <c r="G1151" s="7771" t="s">
        <v>2600</v>
      </c>
      <c r="H1151" s="7771" t="s">
        <v>28</v>
      </c>
      <c r="I1151" s="7771" t="s">
        <v>868</v>
      </c>
    </row>
    <row customHeight="1" ht="11.25">
      <c r="A1152" s="7771" t="s">
        <v>2266</v>
      </c>
      <c r="B1152" s="7771" t="s">
        <v>16</v>
      </c>
      <c r="C1152" s="7771" t="s">
        <v>2617</v>
      </c>
      <c r="D1152" s="7771" t="s">
        <v>2618</v>
      </c>
      <c r="E1152" s="7771" t="s">
        <v>2619</v>
      </c>
      <c r="F1152" s="7771" t="s">
        <v>2592</v>
      </c>
      <c r="G1152" s="7771" t="s">
        <v>2620</v>
      </c>
      <c r="H1152" s="7771" t="s">
        <v>28</v>
      </c>
      <c r="I1152" s="7771" t="s">
        <v>868</v>
      </c>
    </row>
    <row customHeight="1" ht="11.25">
      <c r="A1153" s="7771" t="s">
        <v>2266</v>
      </c>
      <c r="B1153" s="7771" t="s">
        <v>16</v>
      </c>
      <c r="C1153" s="7771" t="s">
        <v>4898</v>
      </c>
      <c r="D1153" s="7771" t="s">
        <v>4899</v>
      </c>
      <c r="E1153" s="7771" t="s">
        <v>4900</v>
      </c>
      <c r="F1153" s="7771" t="s">
        <v>2592</v>
      </c>
      <c r="G1153" s="7771" t="s">
        <v>4901</v>
      </c>
      <c r="H1153" s="7771" t="s">
        <v>28</v>
      </c>
      <c r="I1153" s="7771" t="s">
        <v>868</v>
      </c>
    </row>
    <row customHeight="1" ht="11.25">
      <c r="A1154" s="7771" t="s">
        <v>2266</v>
      </c>
      <c r="B1154" s="7771" t="s">
        <v>16</v>
      </c>
      <c r="C1154" s="7771" t="s">
        <v>2626</v>
      </c>
      <c r="D1154" s="7771" t="s">
        <v>2627</v>
      </c>
      <c r="E1154" s="7771" t="s">
        <v>2628</v>
      </c>
      <c r="F1154" s="7771" t="s">
        <v>2629</v>
      </c>
      <c r="G1154" s="7771" t="s">
        <v>2630</v>
      </c>
      <c r="H1154" s="7771" t="s">
        <v>28</v>
      </c>
      <c r="I1154" s="7771" t="s">
        <v>868</v>
      </c>
    </row>
    <row customHeight="1" ht="11.25">
      <c r="A1155" s="7771" t="s">
        <v>2266</v>
      </c>
      <c r="B1155" s="7771" t="s">
        <v>16</v>
      </c>
      <c r="C1155" s="7771" t="s">
        <v>2631</v>
      </c>
      <c r="D1155" s="7771" t="s">
        <v>2632</v>
      </c>
      <c r="E1155" s="7771" t="s">
        <v>2633</v>
      </c>
      <c r="F1155" s="7771" t="s">
        <v>2377</v>
      </c>
      <c r="G1155" s="7771" t="s">
        <v>2634</v>
      </c>
      <c r="H1155" s="7771" t="s">
        <v>28</v>
      </c>
      <c r="I1155" s="7771" t="s">
        <v>868</v>
      </c>
    </row>
    <row customHeight="1" ht="11.25">
      <c r="A1156" s="7771" t="s">
        <v>2266</v>
      </c>
      <c r="B1156" s="7771" t="s">
        <v>16</v>
      </c>
      <c r="C1156" s="7771" t="s">
        <v>2635</v>
      </c>
      <c r="D1156" s="7771" t="s">
        <v>2636</v>
      </c>
      <c r="E1156" s="7771" t="s">
        <v>2637</v>
      </c>
      <c r="F1156" s="7771" t="s">
        <v>2372</v>
      </c>
      <c r="G1156" s="7771" t="s">
        <v>2638</v>
      </c>
      <c r="H1156" s="7771" t="s">
        <v>28</v>
      </c>
      <c r="I1156" s="7771" t="s">
        <v>868</v>
      </c>
    </row>
    <row customHeight="1" ht="11.25">
      <c r="A1157" s="7771" t="s">
        <v>2266</v>
      </c>
      <c r="B1157" s="7771" t="s">
        <v>16</v>
      </c>
      <c r="C1157" s="7771" t="s">
        <v>4902</v>
      </c>
      <c r="D1157" s="7771" t="s">
        <v>4903</v>
      </c>
      <c r="E1157" s="7771" t="s">
        <v>4904</v>
      </c>
      <c r="F1157" s="7771" t="s">
        <v>2280</v>
      </c>
      <c r="G1157" s="7771" t="s">
        <v>4905</v>
      </c>
      <c r="H1157" s="7771" t="s">
        <v>28</v>
      </c>
      <c r="I1157" s="7771" t="s">
        <v>868</v>
      </c>
    </row>
    <row customHeight="1" ht="11.25">
      <c r="A1158" s="7771" t="s">
        <v>2266</v>
      </c>
      <c r="B1158" s="7771" t="s">
        <v>16</v>
      </c>
      <c r="C1158" s="7771" t="s">
        <v>2644</v>
      </c>
      <c r="D1158" s="7771" t="s">
        <v>2645</v>
      </c>
      <c r="E1158" s="7771" t="s">
        <v>2646</v>
      </c>
      <c r="F1158" s="7771" t="s">
        <v>2372</v>
      </c>
      <c r="G1158" s="7771" t="s">
        <v>2647</v>
      </c>
      <c r="H1158" s="7771" t="s">
        <v>28</v>
      </c>
      <c r="I1158" s="7771" t="s">
        <v>868</v>
      </c>
    </row>
    <row customHeight="1" ht="11.25">
      <c r="A1159" s="7771" t="s">
        <v>2266</v>
      </c>
      <c r="B1159" s="7771" t="s">
        <v>16</v>
      </c>
      <c r="C1159" s="7771" t="s">
        <v>2648</v>
      </c>
      <c r="D1159" s="7771" t="s">
        <v>2649</v>
      </c>
      <c r="E1159" s="7771" t="s">
        <v>2650</v>
      </c>
      <c r="F1159" s="7771" t="s">
        <v>2280</v>
      </c>
      <c r="G1159" s="7771" t="s">
        <v>2651</v>
      </c>
      <c r="H1159" s="7771" t="s">
        <v>28</v>
      </c>
      <c r="I1159" s="7771" t="s">
        <v>868</v>
      </c>
    </row>
    <row customHeight="1" ht="11.25">
      <c r="A1160" s="7771" t="s">
        <v>2266</v>
      </c>
      <c r="B1160" s="7771" t="s">
        <v>16</v>
      </c>
      <c r="C1160" s="7771" t="s">
        <v>2652</v>
      </c>
      <c r="D1160" s="7771" t="s">
        <v>2653</v>
      </c>
      <c r="E1160" s="7771" t="s">
        <v>2654</v>
      </c>
      <c r="F1160" s="7771" t="s">
        <v>2655</v>
      </c>
      <c r="G1160" s="7771" t="s">
        <v>28</v>
      </c>
      <c r="H1160" s="7771" t="s">
        <v>28</v>
      </c>
      <c r="I1160" s="7771" t="s">
        <v>868</v>
      </c>
    </row>
    <row customHeight="1" ht="11.25">
      <c r="A1161" s="7771" t="s">
        <v>2266</v>
      </c>
      <c r="B1161" s="7771" t="s">
        <v>16</v>
      </c>
      <c r="C1161" s="7771" t="s">
        <v>4906</v>
      </c>
      <c r="D1161" s="7771" t="s">
        <v>4907</v>
      </c>
      <c r="E1161" s="7771" t="s">
        <v>4908</v>
      </c>
      <c r="F1161" s="7771" t="s">
        <v>2360</v>
      </c>
      <c r="G1161" s="7771" t="s">
        <v>4909</v>
      </c>
      <c r="H1161" s="7771" t="s">
        <v>28</v>
      </c>
      <c r="I1161" s="7771" t="s">
        <v>868</v>
      </c>
    </row>
    <row customHeight="1" ht="11.25">
      <c r="A1162" s="7771" t="s">
        <v>2266</v>
      </c>
      <c r="B1162" s="7771" t="s">
        <v>16</v>
      </c>
      <c r="C1162" s="7771" t="s">
        <v>4910</v>
      </c>
      <c r="D1162" s="7771" t="s">
        <v>4911</v>
      </c>
      <c r="E1162" s="7771" t="s">
        <v>4912</v>
      </c>
      <c r="F1162" s="7771" t="s">
        <v>2280</v>
      </c>
      <c r="G1162" s="7771" t="s">
        <v>4913</v>
      </c>
      <c r="H1162" s="7771" t="s">
        <v>28</v>
      </c>
      <c r="I1162" s="7771" t="s">
        <v>868</v>
      </c>
    </row>
    <row customHeight="1" ht="11.25">
      <c r="A1163" s="7771" t="s">
        <v>2266</v>
      </c>
      <c r="B1163" s="7771" t="s">
        <v>16</v>
      </c>
      <c r="C1163" s="7771" t="s">
        <v>2680</v>
      </c>
      <c r="D1163" s="7771" t="s">
        <v>2681</v>
      </c>
      <c r="E1163" s="7771" t="s">
        <v>2682</v>
      </c>
      <c r="F1163" s="7771" t="s">
        <v>2290</v>
      </c>
      <c r="G1163" s="7771" t="s">
        <v>2683</v>
      </c>
      <c r="H1163" s="7771" t="s">
        <v>28</v>
      </c>
      <c r="I1163" s="7771" t="s">
        <v>868</v>
      </c>
    </row>
    <row customHeight="1" ht="11.25">
      <c r="A1164" s="7771" t="s">
        <v>2266</v>
      </c>
      <c r="B1164" s="7771" t="s">
        <v>16</v>
      </c>
      <c r="C1164" s="7771" t="s">
        <v>2688</v>
      </c>
      <c r="D1164" s="7771" t="s">
        <v>2689</v>
      </c>
      <c r="E1164" s="7771" t="s">
        <v>2690</v>
      </c>
      <c r="F1164" s="7771" t="s">
        <v>2629</v>
      </c>
      <c r="G1164" s="7771" t="s">
        <v>2691</v>
      </c>
      <c r="H1164" s="7771" t="s">
        <v>28</v>
      </c>
      <c r="I1164" s="7771" t="s">
        <v>868</v>
      </c>
    </row>
    <row customHeight="1" ht="11.25">
      <c r="A1165" s="7771" t="s">
        <v>2266</v>
      </c>
      <c r="B1165" s="7771" t="s">
        <v>16</v>
      </c>
      <c r="C1165" s="7771" t="s">
        <v>2692</v>
      </c>
      <c r="D1165" s="7771" t="s">
        <v>2693</v>
      </c>
      <c r="E1165" s="7771" t="s">
        <v>2694</v>
      </c>
      <c r="F1165" s="7771" t="s">
        <v>2538</v>
      </c>
      <c r="G1165" s="7771" t="s">
        <v>2695</v>
      </c>
      <c r="H1165" s="7771" t="s">
        <v>28</v>
      </c>
      <c r="I1165" s="7771" t="s">
        <v>868</v>
      </c>
    </row>
    <row customHeight="1" ht="11.25">
      <c r="A1166" s="7771" t="s">
        <v>2266</v>
      </c>
      <c r="B1166" s="7771" t="s">
        <v>16</v>
      </c>
      <c r="C1166" s="7771" t="s">
        <v>2701</v>
      </c>
      <c r="D1166" s="7771" t="s">
        <v>2702</v>
      </c>
      <c r="E1166" s="7771" t="s">
        <v>2703</v>
      </c>
      <c r="F1166" s="7771" t="s">
        <v>2285</v>
      </c>
      <c r="G1166" s="7771" t="s">
        <v>2704</v>
      </c>
      <c r="H1166" s="7771" t="s">
        <v>28</v>
      </c>
      <c r="I1166" s="7771" t="s">
        <v>868</v>
      </c>
    </row>
    <row customHeight="1" ht="11.25">
      <c r="A1167" s="7771" t="s">
        <v>2266</v>
      </c>
      <c r="B1167" s="7771" t="s">
        <v>16</v>
      </c>
      <c r="C1167" s="7771" t="s">
        <v>2708</v>
      </c>
      <c r="D1167" s="7771" t="s">
        <v>2709</v>
      </c>
      <c r="E1167" s="7771" t="s">
        <v>2710</v>
      </c>
      <c r="F1167" s="7771" t="s">
        <v>2285</v>
      </c>
      <c r="G1167" s="7771" t="s">
        <v>2711</v>
      </c>
      <c r="H1167" s="7771" t="s">
        <v>28</v>
      </c>
      <c r="I1167" s="7771" t="s">
        <v>868</v>
      </c>
    </row>
    <row customHeight="1" ht="11.25">
      <c r="A1168" s="7771" t="s">
        <v>2266</v>
      </c>
      <c r="B1168" s="7771" t="s">
        <v>16</v>
      </c>
      <c r="C1168" s="7771" t="s">
        <v>4914</v>
      </c>
      <c r="D1168" s="7771" t="s">
        <v>4915</v>
      </c>
      <c r="E1168" s="7771" t="s">
        <v>4916</v>
      </c>
      <c r="F1168" s="7771" t="s">
        <v>2451</v>
      </c>
      <c r="G1168" s="7771" t="s">
        <v>4917</v>
      </c>
      <c r="H1168" s="7771" t="s">
        <v>28</v>
      </c>
      <c r="I1168" s="7771" t="s">
        <v>868</v>
      </c>
    </row>
    <row customHeight="1" ht="11.25">
      <c r="A1169" s="7771" t="s">
        <v>2266</v>
      </c>
      <c r="B1169" s="7771" t="s">
        <v>16</v>
      </c>
      <c r="C1169" s="7771" t="s">
        <v>4918</v>
      </c>
      <c r="D1169" s="7771" t="s">
        <v>4919</v>
      </c>
      <c r="E1169" s="7771" t="s">
        <v>4920</v>
      </c>
      <c r="F1169" s="7771" t="s">
        <v>2882</v>
      </c>
      <c r="G1169" s="7771" t="s">
        <v>28</v>
      </c>
      <c r="H1169" s="7771" t="s">
        <v>28</v>
      </c>
      <c r="I1169" s="7771" t="s">
        <v>868</v>
      </c>
    </row>
    <row customHeight="1" ht="11.25">
      <c r="A1170" s="7771" t="s">
        <v>2266</v>
      </c>
      <c r="B1170" s="7771" t="s">
        <v>16</v>
      </c>
      <c r="C1170" s="7771" t="s">
        <v>4921</v>
      </c>
      <c r="D1170" s="7771" t="s">
        <v>4922</v>
      </c>
      <c r="E1170" s="7771" t="s">
        <v>4923</v>
      </c>
      <c r="F1170" s="7771" t="s">
        <v>2372</v>
      </c>
      <c r="G1170" s="7771" t="s">
        <v>28</v>
      </c>
      <c r="H1170" s="7771" t="s">
        <v>28</v>
      </c>
      <c r="I1170" s="7771" t="s">
        <v>868</v>
      </c>
    </row>
    <row customHeight="1" ht="11.25">
      <c r="A1171" s="7771" t="s">
        <v>2266</v>
      </c>
      <c r="B1171" s="7771" t="s">
        <v>16</v>
      </c>
      <c r="C1171" s="7771" t="s">
        <v>2716</v>
      </c>
      <c r="D1171" s="7771" t="s">
        <v>2717</v>
      </c>
      <c r="E1171" s="7771" t="s">
        <v>2718</v>
      </c>
      <c r="F1171" s="7771" t="s">
        <v>2592</v>
      </c>
      <c r="G1171" s="7771" t="s">
        <v>2719</v>
      </c>
      <c r="H1171" s="7771" t="s">
        <v>28</v>
      </c>
      <c r="I1171" s="7771" t="s">
        <v>868</v>
      </c>
    </row>
    <row customHeight="1" ht="11.25">
      <c r="A1172" s="7771" t="s">
        <v>2266</v>
      </c>
      <c r="B1172" s="7771" t="s">
        <v>16</v>
      </c>
      <c r="C1172" s="7771" t="s">
        <v>2720</v>
      </c>
      <c r="D1172" s="7771" t="s">
        <v>2721</v>
      </c>
      <c r="E1172" s="7771" t="s">
        <v>2722</v>
      </c>
      <c r="F1172" s="7771" t="s">
        <v>2723</v>
      </c>
      <c r="G1172" s="7771" t="s">
        <v>2724</v>
      </c>
      <c r="H1172" s="7771" t="s">
        <v>28</v>
      </c>
      <c r="I1172" s="7771" t="s">
        <v>868</v>
      </c>
    </row>
    <row customHeight="1" ht="11.25">
      <c r="A1173" s="7771" t="s">
        <v>2266</v>
      </c>
      <c r="B1173" s="7771" t="s">
        <v>16</v>
      </c>
      <c r="C1173" s="7771" t="s">
        <v>2725</v>
      </c>
      <c r="D1173" s="7771" t="s">
        <v>2726</v>
      </c>
      <c r="E1173" s="7771" t="s">
        <v>2727</v>
      </c>
      <c r="F1173" s="7771" t="s">
        <v>2368</v>
      </c>
      <c r="G1173" s="7771" t="s">
        <v>2728</v>
      </c>
      <c r="H1173" s="7771" t="s">
        <v>28</v>
      </c>
      <c r="I1173" s="7771" t="s">
        <v>868</v>
      </c>
    </row>
    <row customHeight="1" ht="11.25">
      <c r="A1174" s="7771" t="s">
        <v>2266</v>
      </c>
      <c r="B1174" s="7771" t="s">
        <v>16</v>
      </c>
      <c r="C1174" s="7771" t="s">
        <v>2729</v>
      </c>
      <c r="D1174" s="7771" t="s">
        <v>2730</v>
      </c>
      <c r="E1174" s="7771" t="s">
        <v>2731</v>
      </c>
      <c r="F1174" s="7771" t="s">
        <v>2280</v>
      </c>
      <c r="G1174" s="7771" t="s">
        <v>2732</v>
      </c>
      <c r="H1174" s="7771" t="s">
        <v>28</v>
      </c>
      <c r="I1174" s="7771" t="s">
        <v>868</v>
      </c>
    </row>
    <row customHeight="1" ht="11.25">
      <c r="A1175" s="7771" t="s">
        <v>2266</v>
      </c>
      <c r="B1175" s="7771" t="s">
        <v>16</v>
      </c>
      <c r="C1175" s="7771" t="s">
        <v>4924</v>
      </c>
      <c r="D1175" s="7771" t="s">
        <v>4925</v>
      </c>
      <c r="E1175" s="7771" t="s">
        <v>4926</v>
      </c>
      <c r="F1175" s="7771" t="s">
        <v>2446</v>
      </c>
      <c r="G1175" s="7771" t="s">
        <v>28</v>
      </c>
      <c r="H1175" s="7771" t="s">
        <v>28</v>
      </c>
      <c r="I1175" s="7771" t="s">
        <v>868</v>
      </c>
    </row>
    <row customHeight="1" ht="11.25">
      <c r="A1176" s="7771" t="s">
        <v>2266</v>
      </c>
      <c r="B1176" s="7771" t="s">
        <v>16</v>
      </c>
      <c r="C1176" s="7771" t="s">
        <v>4779</v>
      </c>
      <c r="D1176" s="7771" t="s">
        <v>4780</v>
      </c>
      <c r="E1176" s="7771" t="s">
        <v>4781</v>
      </c>
      <c r="F1176" s="7771" t="s">
        <v>2739</v>
      </c>
      <c r="G1176" s="7771" t="s">
        <v>4782</v>
      </c>
      <c r="H1176" s="7771" t="s">
        <v>28</v>
      </c>
      <c r="I1176" s="7771" t="s">
        <v>868</v>
      </c>
    </row>
    <row customHeight="1" ht="11.25">
      <c r="A1177" s="7771" t="s">
        <v>2266</v>
      </c>
      <c r="B1177" s="7771" t="s">
        <v>16</v>
      </c>
      <c r="C1177" s="7771" t="s">
        <v>4927</v>
      </c>
      <c r="D1177" s="7771" t="s">
        <v>4928</v>
      </c>
      <c r="E1177" s="7771" t="s">
        <v>4929</v>
      </c>
      <c r="F1177" s="7771" t="s">
        <v>2280</v>
      </c>
      <c r="G1177" s="7771" t="s">
        <v>4930</v>
      </c>
      <c r="H1177" s="7771" t="s">
        <v>28</v>
      </c>
      <c r="I1177" s="7771" t="s">
        <v>868</v>
      </c>
    </row>
    <row customHeight="1" ht="11.25">
      <c r="A1178" s="7771" t="s">
        <v>2266</v>
      </c>
      <c r="B1178" s="7771" t="s">
        <v>16</v>
      </c>
      <c r="C1178" s="7771" t="s">
        <v>2746</v>
      </c>
      <c r="D1178" s="7771" t="s">
        <v>2747</v>
      </c>
      <c r="E1178" s="7771" t="s">
        <v>2748</v>
      </c>
      <c r="F1178" s="7771" t="s">
        <v>2629</v>
      </c>
      <c r="G1178" s="7771" t="s">
        <v>2749</v>
      </c>
      <c r="H1178" s="7771" t="s">
        <v>28</v>
      </c>
      <c r="I1178" s="7771" t="s">
        <v>868</v>
      </c>
    </row>
    <row customHeight="1" ht="11.25">
      <c r="A1179" s="7771" t="s">
        <v>2266</v>
      </c>
      <c r="B1179" s="7771" t="s">
        <v>16</v>
      </c>
      <c r="C1179" s="7771" t="s">
        <v>2750</v>
      </c>
      <c r="D1179" s="7771" t="s">
        <v>2751</v>
      </c>
      <c r="E1179" s="7771" t="s">
        <v>2752</v>
      </c>
      <c r="F1179" s="7771" t="s">
        <v>2753</v>
      </c>
      <c r="G1179" s="7771" t="s">
        <v>28</v>
      </c>
      <c r="H1179" s="7771" t="s">
        <v>28</v>
      </c>
      <c r="I1179" s="7771" t="s">
        <v>868</v>
      </c>
    </row>
    <row customHeight="1" ht="11.25">
      <c r="A1180" s="7771" t="s">
        <v>2266</v>
      </c>
      <c r="B1180" s="7771" t="s">
        <v>16</v>
      </c>
      <c r="C1180" s="7771" t="s">
        <v>2758</v>
      </c>
      <c r="D1180" s="7771" t="s">
        <v>2759</v>
      </c>
      <c r="E1180" s="7771" t="s">
        <v>2760</v>
      </c>
      <c r="F1180" s="7771" t="s">
        <v>2761</v>
      </c>
      <c r="G1180" s="7771" t="s">
        <v>2762</v>
      </c>
      <c r="H1180" s="7771" t="s">
        <v>28</v>
      </c>
      <c r="I1180" s="7771" t="s">
        <v>868</v>
      </c>
    </row>
    <row customHeight="1" ht="11.25">
      <c r="A1181" s="7771" t="s">
        <v>2266</v>
      </c>
      <c r="B1181" s="7771" t="s">
        <v>16</v>
      </c>
      <c r="C1181" s="7771" t="s">
        <v>4931</v>
      </c>
      <c r="D1181" s="7771" t="s">
        <v>4932</v>
      </c>
      <c r="E1181" s="7771" t="s">
        <v>4434</v>
      </c>
      <c r="F1181" s="7771" t="s">
        <v>4328</v>
      </c>
      <c r="G1181" s="7771" t="s">
        <v>4933</v>
      </c>
      <c r="H1181" s="7771" t="s">
        <v>28</v>
      </c>
      <c r="I1181" s="7771" t="s">
        <v>868</v>
      </c>
    </row>
    <row customHeight="1" ht="11.25">
      <c r="A1182" s="7771" t="s">
        <v>2266</v>
      </c>
      <c r="B1182" s="7771" t="s">
        <v>16</v>
      </c>
      <c r="C1182" s="7771" t="s">
        <v>4934</v>
      </c>
      <c r="D1182" s="7771" t="s">
        <v>4935</v>
      </c>
      <c r="E1182" s="7771" t="s">
        <v>4936</v>
      </c>
      <c r="F1182" s="7771" t="s">
        <v>4937</v>
      </c>
      <c r="G1182" s="7771" t="s">
        <v>28</v>
      </c>
      <c r="H1182" s="7771" t="s">
        <v>28</v>
      </c>
      <c r="I1182" s="7771" t="s">
        <v>868</v>
      </c>
    </row>
    <row customHeight="1" ht="11.25">
      <c r="A1183" s="7771" t="s">
        <v>2266</v>
      </c>
      <c r="B1183" s="7771" t="s">
        <v>16</v>
      </c>
      <c r="C1183" s="7771" t="s">
        <v>2776</v>
      </c>
      <c r="D1183" s="7771" t="s">
        <v>2777</v>
      </c>
      <c r="E1183" s="7771" t="s">
        <v>2778</v>
      </c>
      <c r="F1183" s="7771" t="s">
        <v>2538</v>
      </c>
      <c r="G1183" s="7771" t="s">
        <v>2779</v>
      </c>
      <c r="H1183" s="7771" t="s">
        <v>28</v>
      </c>
      <c r="I1183" s="7771" t="s">
        <v>868</v>
      </c>
    </row>
    <row customHeight="1" ht="11.25">
      <c r="A1184" s="7771" t="s">
        <v>2266</v>
      </c>
      <c r="B1184" s="7771" t="s">
        <v>16</v>
      </c>
      <c r="C1184" s="7771" t="s">
        <v>2784</v>
      </c>
      <c r="D1184" s="7771" t="s">
        <v>2785</v>
      </c>
      <c r="E1184" s="7771" t="s">
        <v>2786</v>
      </c>
      <c r="F1184" s="7771" t="s">
        <v>2486</v>
      </c>
      <c r="G1184" s="7771" t="s">
        <v>2787</v>
      </c>
      <c r="H1184" s="7771" t="s">
        <v>28</v>
      </c>
      <c r="I1184" s="7771" t="s">
        <v>868</v>
      </c>
    </row>
    <row customHeight="1" ht="11.25">
      <c r="A1185" s="7771" t="s">
        <v>2266</v>
      </c>
      <c r="B1185" s="7771" t="s">
        <v>16</v>
      </c>
      <c r="C1185" s="7771" t="s">
        <v>2802</v>
      </c>
      <c r="D1185" s="7771" t="s">
        <v>2803</v>
      </c>
      <c r="E1185" s="7771" t="s">
        <v>2804</v>
      </c>
      <c r="F1185" s="7771" t="s">
        <v>2342</v>
      </c>
      <c r="G1185" s="7771" t="s">
        <v>2805</v>
      </c>
      <c r="H1185" s="7771" t="s">
        <v>28</v>
      </c>
      <c r="I1185" s="7771" t="s">
        <v>868</v>
      </c>
    </row>
    <row customHeight="1" ht="11.25">
      <c r="A1186" s="7771" t="s">
        <v>2266</v>
      </c>
      <c r="B1186" s="7771" t="s">
        <v>16</v>
      </c>
      <c r="C1186" s="7771" t="s">
        <v>2806</v>
      </c>
      <c r="D1186" s="7771" t="s">
        <v>2807</v>
      </c>
      <c r="E1186" s="7771" t="s">
        <v>2808</v>
      </c>
      <c r="F1186" s="7771" t="s">
        <v>2486</v>
      </c>
      <c r="G1186" s="7771" t="s">
        <v>2809</v>
      </c>
      <c r="H1186" s="7771" t="s">
        <v>28</v>
      </c>
      <c r="I1186" s="7771" t="s">
        <v>868</v>
      </c>
    </row>
    <row customHeight="1" ht="11.25">
      <c r="A1187" s="7771" t="s">
        <v>2266</v>
      </c>
      <c r="B1187" s="7771" t="s">
        <v>16</v>
      </c>
      <c r="C1187" s="7771" t="s">
        <v>2810</v>
      </c>
      <c r="D1187" s="7771" t="s">
        <v>2811</v>
      </c>
      <c r="E1187" s="7771" t="s">
        <v>2812</v>
      </c>
      <c r="F1187" s="7771" t="s">
        <v>2813</v>
      </c>
      <c r="G1187" s="7771" t="s">
        <v>28</v>
      </c>
      <c r="H1187" s="7771" t="s">
        <v>28</v>
      </c>
      <c r="I1187" s="7771" t="s">
        <v>868</v>
      </c>
    </row>
    <row customHeight="1" ht="11.25">
      <c r="A1188" s="7771" t="s">
        <v>2266</v>
      </c>
      <c r="B1188" s="7771" t="s">
        <v>16</v>
      </c>
      <c r="C1188" s="7771" t="s">
        <v>2814</v>
      </c>
      <c r="D1188" s="7771" t="s">
        <v>2815</v>
      </c>
      <c r="E1188" s="7771" t="s">
        <v>2816</v>
      </c>
      <c r="F1188" s="7771" t="s">
        <v>2739</v>
      </c>
      <c r="G1188" s="7771" t="s">
        <v>2817</v>
      </c>
      <c r="H1188" s="7771" t="s">
        <v>28</v>
      </c>
      <c r="I1188" s="7771" t="s">
        <v>868</v>
      </c>
    </row>
    <row customHeight="1" ht="11.25">
      <c r="A1189" s="7771" t="s">
        <v>2266</v>
      </c>
      <c r="B1189" s="7771" t="s">
        <v>16</v>
      </c>
      <c r="C1189" s="7771" t="s">
        <v>2818</v>
      </c>
      <c r="D1189" s="7771" t="s">
        <v>2819</v>
      </c>
      <c r="E1189" s="7771" t="s">
        <v>2820</v>
      </c>
      <c r="F1189" s="7771" t="s">
        <v>2425</v>
      </c>
      <c r="G1189" s="7771" t="s">
        <v>2821</v>
      </c>
      <c r="H1189" s="7771" t="s">
        <v>28</v>
      </c>
      <c r="I1189" s="7771" t="s">
        <v>868</v>
      </c>
    </row>
    <row customHeight="1" ht="11.25">
      <c r="A1190" s="7771" t="s">
        <v>2266</v>
      </c>
      <c r="B1190" s="7771" t="s">
        <v>16</v>
      </c>
      <c r="C1190" s="7771" t="s">
        <v>2822</v>
      </c>
      <c r="D1190" s="7771" t="s">
        <v>2823</v>
      </c>
      <c r="E1190" s="7771" t="s">
        <v>2824</v>
      </c>
      <c r="F1190" s="7771" t="s">
        <v>2800</v>
      </c>
      <c r="G1190" s="7771" t="s">
        <v>2825</v>
      </c>
      <c r="H1190" s="7771" t="s">
        <v>28</v>
      </c>
      <c r="I1190" s="7771" t="s">
        <v>868</v>
      </c>
    </row>
    <row customHeight="1" ht="11.25">
      <c r="A1191" s="7771" t="s">
        <v>2266</v>
      </c>
      <c r="B1191" s="7771" t="s">
        <v>16</v>
      </c>
      <c r="C1191" s="7771" t="s">
        <v>2826</v>
      </c>
      <c r="D1191" s="7771" t="s">
        <v>2827</v>
      </c>
      <c r="E1191" s="7771" t="s">
        <v>2828</v>
      </c>
      <c r="F1191" s="7771" t="s">
        <v>2829</v>
      </c>
      <c r="G1191" s="7771" t="s">
        <v>2830</v>
      </c>
      <c r="H1191" s="7771" t="s">
        <v>28</v>
      </c>
      <c r="I1191" s="7771" t="s">
        <v>868</v>
      </c>
    </row>
    <row customHeight="1" ht="11.25">
      <c r="A1192" s="7771" t="s">
        <v>2266</v>
      </c>
      <c r="B1192" s="7771" t="s">
        <v>16</v>
      </c>
      <c r="C1192" s="7771" t="s">
        <v>2835</v>
      </c>
      <c r="D1192" s="7771" t="s">
        <v>2836</v>
      </c>
      <c r="E1192" s="7771" t="s">
        <v>2837</v>
      </c>
      <c r="F1192" s="7771" t="s">
        <v>2655</v>
      </c>
      <c r="G1192" s="7771" t="s">
        <v>2838</v>
      </c>
      <c r="H1192" s="7771" t="s">
        <v>28</v>
      </c>
      <c r="I1192" s="7771" t="s">
        <v>868</v>
      </c>
    </row>
    <row customHeight="1" ht="11.25">
      <c r="A1193" s="7771" t="s">
        <v>2266</v>
      </c>
      <c r="B1193" s="7771" t="s">
        <v>16</v>
      </c>
      <c r="C1193" s="7771" t="s">
        <v>4938</v>
      </c>
      <c r="D1193" s="7771" t="s">
        <v>4939</v>
      </c>
      <c r="E1193" s="7771" t="s">
        <v>4940</v>
      </c>
      <c r="F1193" s="7771" t="s">
        <v>2377</v>
      </c>
      <c r="G1193" s="7771" t="s">
        <v>28</v>
      </c>
      <c r="H1193" s="7771" t="s">
        <v>28</v>
      </c>
      <c r="I1193" s="7771" t="s">
        <v>868</v>
      </c>
    </row>
    <row customHeight="1" ht="11.25">
      <c r="A1194" s="7771" t="s">
        <v>2266</v>
      </c>
      <c r="B1194" s="7771" t="s">
        <v>16</v>
      </c>
      <c r="C1194" s="7771" t="s">
        <v>2843</v>
      </c>
      <c r="D1194" s="7771" t="s">
        <v>2844</v>
      </c>
      <c r="E1194" s="7771" t="s">
        <v>2845</v>
      </c>
      <c r="F1194" s="7771" t="s">
        <v>2846</v>
      </c>
      <c r="G1194" s="7771" t="s">
        <v>2847</v>
      </c>
      <c r="H1194" s="7771" t="s">
        <v>28</v>
      </c>
      <c r="I1194" s="7771" t="s">
        <v>868</v>
      </c>
    </row>
    <row customHeight="1" ht="11.25">
      <c r="A1195" s="7771" t="s">
        <v>2266</v>
      </c>
      <c r="B1195" s="7771" t="s">
        <v>16</v>
      </c>
      <c r="C1195" s="7771" t="s">
        <v>2848</v>
      </c>
      <c r="D1195" s="7771" t="s">
        <v>2849</v>
      </c>
      <c r="E1195" s="7771" t="s">
        <v>2850</v>
      </c>
      <c r="F1195" s="7771" t="s">
        <v>2723</v>
      </c>
      <c r="G1195" s="7771" t="s">
        <v>28</v>
      </c>
      <c r="H1195" s="7771" t="s">
        <v>28</v>
      </c>
      <c r="I1195" s="7771" t="s">
        <v>868</v>
      </c>
    </row>
    <row customHeight="1" ht="11.25">
      <c r="A1196" s="7771" t="s">
        <v>2266</v>
      </c>
      <c r="B1196" s="7771" t="s">
        <v>16</v>
      </c>
      <c r="C1196" s="7771" t="s">
        <v>2851</v>
      </c>
      <c r="D1196" s="7771" t="s">
        <v>2852</v>
      </c>
      <c r="E1196" s="7771" t="s">
        <v>2853</v>
      </c>
      <c r="F1196" s="7771" t="s">
        <v>2596</v>
      </c>
      <c r="G1196" s="7771" t="s">
        <v>2854</v>
      </c>
      <c r="H1196" s="7771" t="s">
        <v>28</v>
      </c>
      <c r="I1196" s="7771" t="s">
        <v>868</v>
      </c>
    </row>
    <row customHeight="1" ht="11.25">
      <c r="A1197" s="7771" t="s">
        <v>2266</v>
      </c>
      <c r="B1197" s="7771" t="s">
        <v>16</v>
      </c>
      <c r="C1197" s="7771" t="s">
        <v>4941</v>
      </c>
      <c r="D1197" s="7771" t="s">
        <v>4942</v>
      </c>
      <c r="E1197" s="7771" t="s">
        <v>4943</v>
      </c>
      <c r="F1197" s="7771" t="s">
        <v>2347</v>
      </c>
      <c r="G1197" s="7771" t="s">
        <v>28</v>
      </c>
      <c r="H1197" s="7771" t="s">
        <v>28</v>
      </c>
      <c r="I1197" s="7771" t="s">
        <v>868</v>
      </c>
    </row>
    <row customHeight="1" ht="11.25">
      <c r="A1198" s="7771" t="s">
        <v>2266</v>
      </c>
      <c r="B1198" s="7771" t="s">
        <v>16</v>
      </c>
      <c r="C1198" s="7771" t="s">
        <v>2855</v>
      </c>
      <c r="D1198" s="7771" t="s">
        <v>2856</v>
      </c>
      <c r="E1198" s="7771" t="s">
        <v>2857</v>
      </c>
      <c r="F1198" s="7771" t="s">
        <v>2655</v>
      </c>
      <c r="G1198" s="7771" t="s">
        <v>2858</v>
      </c>
      <c r="H1198" s="7771" t="s">
        <v>28</v>
      </c>
      <c r="I1198" s="7771" t="s">
        <v>868</v>
      </c>
    </row>
    <row customHeight="1" ht="11.25">
      <c r="A1199" s="7771" t="s">
        <v>2266</v>
      </c>
      <c r="B1199" s="7771" t="s">
        <v>16</v>
      </c>
      <c r="C1199" s="7771" t="s">
        <v>2859</v>
      </c>
      <c r="D1199" s="7771" t="s">
        <v>2860</v>
      </c>
      <c r="E1199" s="7771" t="s">
        <v>2861</v>
      </c>
      <c r="F1199" s="7771" t="s">
        <v>2430</v>
      </c>
      <c r="G1199" s="7771" t="s">
        <v>28</v>
      </c>
      <c r="H1199" s="7771" t="s">
        <v>28</v>
      </c>
      <c r="I1199" s="7771" t="s">
        <v>868</v>
      </c>
    </row>
    <row customHeight="1" ht="11.25">
      <c r="A1200" s="7771" t="s">
        <v>2266</v>
      </c>
      <c r="B1200" s="7771" t="s">
        <v>16</v>
      </c>
      <c r="C1200" s="7771" t="s">
        <v>2865</v>
      </c>
      <c r="D1200" s="7771" t="s">
        <v>2866</v>
      </c>
      <c r="E1200" s="7771" t="s">
        <v>2867</v>
      </c>
      <c r="F1200" s="7771" t="s">
        <v>2285</v>
      </c>
      <c r="G1200" s="7771" t="s">
        <v>28</v>
      </c>
      <c r="H1200" s="7771" t="s">
        <v>28</v>
      </c>
      <c r="I1200" s="7771" t="s">
        <v>868</v>
      </c>
    </row>
    <row customHeight="1" ht="11.25">
      <c r="A1201" s="7771" t="s">
        <v>2266</v>
      </c>
      <c r="B1201" s="7771" t="s">
        <v>16</v>
      </c>
      <c r="C1201" s="7771" t="s">
        <v>4944</v>
      </c>
      <c r="D1201" s="7771" t="s">
        <v>4945</v>
      </c>
      <c r="E1201" s="7771" t="s">
        <v>4946</v>
      </c>
      <c r="F1201" s="7771" t="s">
        <v>2846</v>
      </c>
      <c r="G1201" s="7771" t="s">
        <v>28</v>
      </c>
      <c r="H1201" s="7771" t="s">
        <v>28</v>
      </c>
      <c r="I1201" s="7771" t="s">
        <v>868</v>
      </c>
    </row>
    <row customHeight="1" ht="11.25">
      <c r="A1202" s="7771" t="s">
        <v>2266</v>
      </c>
      <c r="B1202" s="7771" t="s">
        <v>16</v>
      </c>
      <c r="C1202" s="7771" t="s">
        <v>2868</v>
      </c>
      <c r="D1202" s="7771" t="s">
        <v>2869</v>
      </c>
      <c r="E1202" s="7771" t="s">
        <v>2870</v>
      </c>
      <c r="F1202" s="7771" t="s">
        <v>2829</v>
      </c>
      <c r="G1202" s="7771" t="s">
        <v>2871</v>
      </c>
      <c r="H1202" s="7771" t="s">
        <v>28</v>
      </c>
      <c r="I1202" s="7771" t="s">
        <v>868</v>
      </c>
    </row>
    <row customHeight="1" ht="11.25">
      <c r="A1203" s="7771" t="s">
        <v>2266</v>
      </c>
      <c r="B1203" s="7771" t="s">
        <v>16</v>
      </c>
      <c r="C1203" s="7771" t="s">
        <v>4947</v>
      </c>
      <c r="D1203" s="7771" t="s">
        <v>4948</v>
      </c>
      <c r="E1203" s="7771" t="s">
        <v>4949</v>
      </c>
      <c r="F1203" s="7771" t="s">
        <v>2592</v>
      </c>
      <c r="G1203" s="7771" t="s">
        <v>4950</v>
      </c>
      <c r="H1203" s="7771" t="s">
        <v>28</v>
      </c>
      <c r="I1203" s="7771" t="s">
        <v>868</v>
      </c>
    </row>
    <row customHeight="1" ht="11.25">
      <c r="A1204" s="7771" t="s">
        <v>2266</v>
      </c>
      <c r="B1204" s="7771" t="s">
        <v>16</v>
      </c>
      <c r="C1204" s="7771" t="s">
        <v>4951</v>
      </c>
      <c r="D1204" s="7771" t="s">
        <v>4952</v>
      </c>
      <c r="E1204" s="7771" t="s">
        <v>4953</v>
      </c>
      <c r="F1204" s="7771" t="s">
        <v>2360</v>
      </c>
      <c r="G1204" s="7771" t="s">
        <v>28</v>
      </c>
      <c r="H1204" s="7771" t="s">
        <v>28</v>
      </c>
      <c r="I1204" s="7771" t="s">
        <v>868</v>
      </c>
    </row>
    <row customHeight="1" ht="11.25">
      <c r="A1205" s="7771" t="s">
        <v>2266</v>
      </c>
      <c r="B1205" s="7771" t="s">
        <v>16</v>
      </c>
      <c r="C1205" s="7771" t="s">
        <v>4954</v>
      </c>
      <c r="D1205" s="7771" t="s">
        <v>4955</v>
      </c>
      <c r="E1205" s="7771" t="s">
        <v>4956</v>
      </c>
      <c r="F1205" s="7771" t="s">
        <v>2390</v>
      </c>
      <c r="G1205" s="7771" t="s">
        <v>4957</v>
      </c>
      <c r="H1205" s="7771" t="s">
        <v>28</v>
      </c>
      <c r="I1205" s="7771" t="s">
        <v>868</v>
      </c>
    </row>
    <row customHeight="1" ht="11.25">
      <c r="A1206" s="7771" t="s">
        <v>2266</v>
      </c>
      <c r="B1206" s="7771" t="s">
        <v>16</v>
      </c>
      <c r="C1206" s="7771" t="s">
        <v>2876</v>
      </c>
      <c r="D1206" s="7771" t="s">
        <v>2877</v>
      </c>
      <c r="E1206" s="7771" t="s">
        <v>2878</v>
      </c>
      <c r="F1206" s="7771" t="s">
        <v>2377</v>
      </c>
      <c r="G1206" s="7771" t="s">
        <v>2386</v>
      </c>
      <c r="H1206" s="7771" t="s">
        <v>28</v>
      </c>
      <c r="I1206" s="7771" t="s">
        <v>868</v>
      </c>
    </row>
    <row customHeight="1" ht="11.25">
      <c r="A1207" s="7771" t="s">
        <v>2266</v>
      </c>
      <c r="B1207" s="7771" t="s">
        <v>16</v>
      </c>
      <c r="C1207" s="7771" t="s">
        <v>2879</v>
      </c>
      <c r="D1207" s="7771" t="s">
        <v>2880</v>
      </c>
      <c r="E1207" s="7771" t="s">
        <v>2881</v>
      </c>
      <c r="F1207" s="7771" t="s">
        <v>2882</v>
      </c>
      <c r="G1207" s="7771" t="s">
        <v>2883</v>
      </c>
      <c r="H1207" s="7771" t="s">
        <v>28</v>
      </c>
      <c r="I1207" s="7771" t="s">
        <v>868</v>
      </c>
    </row>
    <row customHeight="1" ht="11.25">
      <c r="A1208" s="7771" t="s">
        <v>2266</v>
      </c>
      <c r="B1208" s="7771" t="s">
        <v>16</v>
      </c>
      <c r="C1208" s="7771" t="s">
        <v>2884</v>
      </c>
      <c r="D1208" s="7771" t="s">
        <v>2885</v>
      </c>
      <c r="E1208" s="7771" t="s">
        <v>2886</v>
      </c>
      <c r="F1208" s="7771" t="s">
        <v>2441</v>
      </c>
      <c r="G1208" s="7771" t="s">
        <v>28</v>
      </c>
      <c r="H1208" s="7771" t="s">
        <v>28</v>
      </c>
      <c r="I1208" s="7771" t="s">
        <v>868</v>
      </c>
    </row>
    <row customHeight="1" ht="11.25">
      <c r="A1209" s="7771" t="s">
        <v>2266</v>
      </c>
      <c r="B1209" s="7771" t="s">
        <v>16</v>
      </c>
      <c r="C1209" s="7771" t="s">
        <v>2891</v>
      </c>
      <c r="D1209" s="7771" t="s">
        <v>2892</v>
      </c>
      <c r="E1209" s="7771" t="s">
        <v>2893</v>
      </c>
      <c r="F1209" s="7771" t="s">
        <v>2894</v>
      </c>
      <c r="G1209" s="7771" t="s">
        <v>2895</v>
      </c>
      <c r="H1209" s="7771" t="s">
        <v>28</v>
      </c>
      <c r="I1209" s="7771" t="s">
        <v>868</v>
      </c>
    </row>
    <row customHeight="1" ht="11.25">
      <c r="A1210" s="7771" t="s">
        <v>2266</v>
      </c>
      <c r="B1210" s="7771" t="s">
        <v>16</v>
      </c>
      <c r="C1210" s="7771" t="s">
        <v>4958</v>
      </c>
      <c r="D1210" s="7771" t="s">
        <v>4959</v>
      </c>
      <c r="E1210" s="7771" t="s">
        <v>4960</v>
      </c>
      <c r="F1210" s="7771" t="s">
        <v>4961</v>
      </c>
      <c r="G1210" s="7771" t="s">
        <v>28</v>
      </c>
      <c r="H1210" s="7771" t="s">
        <v>28</v>
      </c>
      <c r="I1210" s="7771" t="s">
        <v>868</v>
      </c>
    </row>
    <row customHeight="1" ht="11.25">
      <c r="A1211" s="7771" t="s">
        <v>2266</v>
      </c>
      <c r="B1211" s="7771" t="s">
        <v>16</v>
      </c>
      <c r="C1211" s="7771" t="s">
        <v>2896</v>
      </c>
      <c r="D1211" s="7771" t="s">
        <v>2897</v>
      </c>
      <c r="E1211" s="7771" t="s">
        <v>2898</v>
      </c>
      <c r="F1211" s="7771" t="s">
        <v>2425</v>
      </c>
      <c r="G1211" s="7771" t="s">
        <v>2899</v>
      </c>
      <c r="H1211" s="7771" t="s">
        <v>28</v>
      </c>
      <c r="I1211" s="7771" t="s">
        <v>868</v>
      </c>
    </row>
    <row customHeight="1" ht="11.25">
      <c r="A1212" s="7771" t="s">
        <v>2266</v>
      </c>
      <c r="B1212" s="7771" t="s">
        <v>16</v>
      </c>
      <c r="C1212" s="7771" t="s">
        <v>4962</v>
      </c>
      <c r="D1212" s="7771" t="s">
        <v>4963</v>
      </c>
      <c r="E1212" s="7771" t="s">
        <v>4964</v>
      </c>
      <c r="F1212" s="7771" t="s">
        <v>2503</v>
      </c>
      <c r="G1212" s="7771" t="s">
        <v>28</v>
      </c>
      <c r="H1212" s="7771" t="s">
        <v>28</v>
      </c>
      <c r="I1212" s="7771" t="s">
        <v>868</v>
      </c>
    </row>
    <row customHeight="1" ht="11.25">
      <c r="A1213" s="7771" t="s">
        <v>2266</v>
      </c>
      <c r="B1213" s="7771" t="s">
        <v>16</v>
      </c>
      <c r="C1213" s="7771" t="s">
        <v>2900</v>
      </c>
      <c r="D1213" s="7771" t="s">
        <v>2901</v>
      </c>
      <c r="E1213" s="7771" t="s">
        <v>2765</v>
      </c>
      <c r="F1213" s="7771" t="s">
        <v>2902</v>
      </c>
      <c r="G1213" s="7771" t="s">
        <v>28</v>
      </c>
      <c r="H1213" s="7771" t="s">
        <v>28</v>
      </c>
      <c r="I1213" s="7771" t="s">
        <v>868</v>
      </c>
    </row>
    <row customHeight="1" ht="11.25">
      <c r="A1214" s="7771" t="s">
        <v>2266</v>
      </c>
      <c r="B1214" s="7771" t="s">
        <v>16</v>
      </c>
      <c r="C1214" s="7771" t="s">
        <v>2903</v>
      </c>
      <c r="D1214" s="7771" t="s">
        <v>2904</v>
      </c>
      <c r="E1214" s="7771" t="s">
        <v>2905</v>
      </c>
      <c r="F1214" s="7771" t="s">
        <v>2385</v>
      </c>
      <c r="G1214" s="7771" t="s">
        <v>2906</v>
      </c>
      <c r="H1214" s="7771" t="s">
        <v>28</v>
      </c>
      <c r="I1214" s="7771" t="s">
        <v>868</v>
      </c>
    </row>
    <row customHeight="1" ht="11.25">
      <c r="A1215" s="7771" t="s">
        <v>2266</v>
      </c>
      <c r="B1215" s="7771" t="s">
        <v>16</v>
      </c>
      <c r="C1215" s="7771" t="s">
        <v>2907</v>
      </c>
      <c r="D1215" s="7771" t="s">
        <v>2908</v>
      </c>
      <c r="E1215" s="7771" t="s">
        <v>2909</v>
      </c>
      <c r="F1215" s="7771" t="s">
        <v>2451</v>
      </c>
      <c r="G1215" s="7771" t="s">
        <v>2910</v>
      </c>
      <c r="H1215" s="7771" t="s">
        <v>28</v>
      </c>
      <c r="I1215" s="7771" t="s">
        <v>868</v>
      </c>
    </row>
    <row customHeight="1" ht="11.25">
      <c r="A1216" s="7771" t="s">
        <v>2266</v>
      </c>
      <c r="B1216" s="7771" t="s">
        <v>16</v>
      </c>
      <c r="C1216" s="7771" t="s">
        <v>4965</v>
      </c>
      <c r="D1216" s="7771" t="s">
        <v>4966</v>
      </c>
      <c r="E1216" s="7771" t="s">
        <v>4967</v>
      </c>
      <c r="F1216" s="7771" t="s">
        <v>2441</v>
      </c>
      <c r="G1216" s="7771" t="s">
        <v>28</v>
      </c>
      <c r="H1216" s="7771" t="s">
        <v>28</v>
      </c>
      <c r="I1216" s="7771" t="s">
        <v>868</v>
      </c>
    </row>
    <row customHeight="1" ht="11.25">
      <c r="A1217" s="7771" t="s">
        <v>2266</v>
      </c>
      <c r="B1217" s="7771" t="s">
        <v>16</v>
      </c>
      <c r="C1217" s="7771" t="s">
        <v>4968</v>
      </c>
      <c r="D1217" s="7771" t="s">
        <v>4969</v>
      </c>
      <c r="E1217" s="7771" t="s">
        <v>4970</v>
      </c>
      <c r="F1217" s="7771" t="s">
        <v>2295</v>
      </c>
      <c r="G1217" s="7771" t="s">
        <v>4971</v>
      </c>
      <c r="H1217" s="7771" t="s">
        <v>28</v>
      </c>
      <c r="I1217" s="7771" t="s">
        <v>868</v>
      </c>
    </row>
    <row customHeight="1" ht="11.25">
      <c r="A1218" s="7771" t="s">
        <v>2266</v>
      </c>
      <c r="B1218" s="7771" t="s">
        <v>16</v>
      </c>
      <c r="C1218" s="7771" t="s">
        <v>2911</v>
      </c>
      <c r="D1218" s="7771" t="s">
        <v>2912</v>
      </c>
      <c r="E1218" s="7771" t="s">
        <v>2913</v>
      </c>
      <c r="F1218" s="7771" t="s">
        <v>2914</v>
      </c>
      <c r="G1218" s="7771" t="s">
        <v>2915</v>
      </c>
      <c r="H1218" s="7771" t="s">
        <v>28</v>
      </c>
      <c r="I1218" s="7771" t="s">
        <v>868</v>
      </c>
    </row>
    <row customHeight="1" ht="11.25">
      <c r="A1219" s="7771" t="s">
        <v>2266</v>
      </c>
      <c r="B1219" s="7771" t="s">
        <v>16</v>
      </c>
      <c r="C1219" s="7771" t="s">
        <v>4972</v>
      </c>
      <c r="D1219" s="7771" t="s">
        <v>4973</v>
      </c>
      <c r="E1219" s="7771" t="s">
        <v>4974</v>
      </c>
      <c r="F1219" s="7771" t="s">
        <v>2430</v>
      </c>
      <c r="G1219" s="7771" t="s">
        <v>28</v>
      </c>
      <c r="H1219" s="7771" t="s">
        <v>28</v>
      </c>
      <c r="I1219" s="7771" t="s">
        <v>868</v>
      </c>
    </row>
    <row customHeight="1" ht="11.25">
      <c r="A1220" s="7771" t="s">
        <v>2266</v>
      </c>
      <c r="B1220" s="7771" t="s">
        <v>16</v>
      </c>
      <c r="C1220" s="7771" t="s">
        <v>4975</v>
      </c>
      <c r="D1220" s="7771" t="s">
        <v>4976</v>
      </c>
      <c r="E1220" s="7771" t="s">
        <v>4977</v>
      </c>
      <c r="F1220" s="7771" t="s">
        <v>2518</v>
      </c>
      <c r="G1220" s="7771" t="s">
        <v>28</v>
      </c>
      <c r="H1220" s="7771" t="s">
        <v>28</v>
      </c>
      <c r="I1220" s="7771" t="s">
        <v>868</v>
      </c>
    </row>
    <row customHeight="1" ht="11.25">
      <c r="A1221" s="7771" t="s">
        <v>2266</v>
      </c>
      <c r="B1221" s="7771" t="s">
        <v>16</v>
      </c>
      <c r="C1221" s="7771" t="s">
        <v>2923</v>
      </c>
      <c r="D1221" s="7771" t="s">
        <v>2924</v>
      </c>
      <c r="E1221" s="7771" t="s">
        <v>2925</v>
      </c>
      <c r="F1221" s="7771" t="s">
        <v>2430</v>
      </c>
      <c r="G1221" s="7771" t="s">
        <v>28</v>
      </c>
      <c r="H1221" s="7771" t="s">
        <v>28</v>
      </c>
      <c r="I1221" s="7771" t="s">
        <v>868</v>
      </c>
    </row>
    <row customHeight="1" ht="11.25">
      <c r="A1222" s="7771" t="s">
        <v>2266</v>
      </c>
      <c r="B1222" s="7771" t="s">
        <v>16</v>
      </c>
      <c r="C1222" s="7771" t="s">
        <v>4978</v>
      </c>
      <c r="D1222" s="7771" t="s">
        <v>4979</v>
      </c>
      <c r="E1222" s="7771" t="s">
        <v>4980</v>
      </c>
      <c r="F1222" s="7771" t="s">
        <v>2330</v>
      </c>
      <c r="G1222" s="7771" t="s">
        <v>4981</v>
      </c>
      <c r="H1222" s="7771" t="s">
        <v>28</v>
      </c>
      <c r="I1222" s="7771" t="s">
        <v>868</v>
      </c>
    </row>
    <row customHeight="1" ht="11.25">
      <c r="A1223" s="7771" t="s">
        <v>2266</v>
      </c>
      <c r="B1223" s="7771" t="s">
        <v>16</v>
      </c>
      <c r="C1223" s="7771" t="s">
        <v>4982</v>
      </c>
      <c r="D1223" s="7771" t="s">
        <v>4983</v>
      </c>
      <c r="E1223" s="7771" t="s">
        <v>4984</v>
      </c>
      <c r="F1223" s="7771" t="s">
        <v>3125</v>
      </c>
      <c r="G1223" s="7771" t="s">
        <v>4985</v>
      </c>
      <c r="H1223" s="7771" t="s">
        <v>28</v>
      </c>
      <c r="I1223" s="7771" t="s">
        <v>868</v>
      </c>
    </row>
    <row customHeight="1" ht="11.25">
      <c r="A1224" s="7771" t="s">
        <v>2266</v>
      </c>
      <c r="B1224" s="7771" t="s">
        <v>16</v>
      </c>
      <c r="C1224" s="7771" t="s">
        <v>2930</v>
      </c>
      <c r="D1224" s="7771" t="s">
        <v>2931</v>
      </c>
      <c r="E1224" s="7771" t="s">
        <v>2932</v>
      </c>
      <c r="F1224" s="7771" t="s">
        <v>2933</v>
      </c>
      <c r="G1224" s="7771" t="s">
        <v>28</v>
      </c>
      <c r="H1224" s="7771" t="s">
        <v>28</v>
      </c>
      <c r="I1224" s="7771" t="s">
        <v>868</v>
      </c>
    </row>
    <row customHeight="1" ht="11.25">
      <c r="A1225" s="7771" t="s">
        <v>2266</v>
      </c>
      <c r="B1225" s="7771" t="s">
        <v>16</v>
      </c>
      <c r="C1225" s="7771" t="s">
        <v>2934</v>
      </c>
      <c r="D1225" s="7771" t="s">
        <v>2935</v>
      </c>
      <c r="E1225" s="7771" t="s">
        <v>2936</v>
      </c>
      <c r="F1225" s="7771" t="s">
        <v>2629</v>
      </c>
      <c r="G1225" s="7771" t="s">
        <v>2937</v>
      </c>
      <c r="H1225" s="7771" t="s">
        <v>28</v>
      </c>
      <c r="I1225" s="7771" t="s">
        <v>868</v>
      </c>
    </row>
    <row customHeight="1" ht="11.25">
      <c r="A1226" s="7771" t="s">
        <v>2266</v>
      </c>
      <c r="B1226" s="7771" t="s">
        <v>16</v>
      </c>
      <c r="C1226" s="7771" t="s">
        <v>4986</v>
      </c>
      <c r="D1226" s="7771" t="s">
        <v>4987</v>
      </c>
      <c r="E1226" s="7771" t="s">
        <v>4988</v>
      </c>
      <c r="F1226" s="7771" t="s">
        <v>3754</v>
      </c>
      <c r="G1226" s="7771" t="s">
        <v>28</v>
      </c>
      <c r="H1226" s="7771" t="s">
        <v>28</v>
      </c>
      <c r="I1226" s="7771" t="s">
        <v>868</v>
      </c>
    </row>
    <row customHeight="1" ht="11.25">
      <c r="A1227" s="7771" t="s">
        <v>2266</v>
      </c>
      <c r="B1227" s="7771" t="s">
        <v>16</v>
      </c>
      <c r="C1227" s="7771" t="s">
        <v>4989</v>
      </c>
      <c r="D1227" s="7771" t="s">
        <v>4990</v>
      </c>
      <c r="E1227" s="7771" t="s">
        <v>4991</v>
      </c>
      <c r="F1227" s="7771" t="s">
        <v>2280</v>
      </c>
      <c r="G1227" s="7771" t="s">
        <v>28</v>
      </c>
      <c r="H1227" s="7771" t="s">
        <v>28</v>
      </c>
      <c r="I1227" s="7771" t="s">
        <v>868</v>
      </c>
    </row>
    <row customHeight="1" ht="11.25">
      <c r="A1228" s="7771" t="s">
        <v>2266</v>
      </c>
      <c r="B1228" s="7771" t="s">
        <v>16</v>
      </c>
      <c r="C1228" s="7771" t="s">
        <v>2942</v>
      </c>
      <c r="D1228" s="7771" t="s">
        <v>2943</v>
      </c>
      <c r="E1228" s="7771" t="s">
        <v>2944</v>
      </c>
      <c r="F1228" s="7771" t="s">
        <v>2945</v>
      </c>
      <c r="G1228" s="7771" t="s">
        <v>28</v>
      </c>
      <c r="H1228" s="7771" t="s">
        <v>28</v>
      </c>
      <c r="I1228" s="7771" t="s">
        <v>868</v>
      </c>
    </row>
    <row customHeight="1" ht="11.25">
      <c r="A1229" s="7771" t="s">
        <v>2266</v>
      </c>
      <c r="B1229" s="7771" t="s">
        <v>16</v>
      </c>
      <c r="C1229" s="7771" t="s">
        <v>4992</v>
      </c>
      <c r="D1229" s="7771" t="s">
        <v>4993</v>
      </c>
      <c r="E1229" s="7771" t="s">
        <v>4994</v>
      </c>
      <c r="F1229" s="7771" t="s">
        <v>2518</v>
      </c>
      <c r="G1229" s="7771" t="s">
        <v>28</v>
      </c>
      <c r="H1229" s="7771" t="s">
        <v>28</v>
      </c>
      <c r="I1229" s="7771" t="s">
        <v>868</v>
      </c>
    </row>
    <row customHeight="1" ht="11.25">
      <c r="A1230" s="7771" t="s">
        <v>2266</v>
      </c>
      <c r="B1230" s="7771" t="s">
        <v>16</v>
      </c>
      <c r="C1230" s="7771" t="s">
        <v>4995</v>
      </c>
      <c r="D1230" s="7771" t="s">
        <v>4996</v>
      </c>
      <c r="E1230" s="7771" t="s">
        <v>4997</v>
      </c>
      <c r="F1230" s="7771" t="s">
        <v>2655</v>
      </c>
      <c r="G1230" s="7771" t="s">
        <v>28</v>
      </c>
      <c r="H1230" s="7771" t="s">
        <v>28</v>
      </c>
      <c r="I1230" s="7771" t="s">
        <v>868</v>
      </c>
    </row>
    <row customHeight="1" ht="11.25">
      <c r="A1231" s="7771" t="s">
        <v>2266</v>
      </c>
      <c r="B1231" s="7771" t="s">
        <v>16</v>
      </c>
      <c r="C1231" s="7771" t="s">
        <v>4998</v>
      </c>
      <c r="D1231" s="7771" t="s">
        <v>4999</v>
      </c>
      <c r="E1231" s="7771" t="s">
        <v>5000</v>
      </c>
      <c r="F1231" s="7771" t="s">
        <v>2280</v>
      </c>
      <c r="G1231" s="7771" t="s">
        <v>28</v>
      </c>
      <c r="H1231" s="7771" t="s">
        <v>28</v>
      </c>
      <c r="I1231" s="7771" t="s">
        <v>868</v>
      </c>
    </row>
    <row customHeight="1" ht="11.25">
      <c r="A1232" s="7771" t="s">
        <v>2266</v>
      </c>
      <c r="B1232" s="7771" t="s">
        <v>16</v>
      </c>
      <c r="C1232" s="7771" t="s">
        <v>4783</v>
      </c>
      <c r="D1232" s="7771" t="s">
        <v>4784</v>
      </c>
      <c r="E1232" s="7771" t="s">
        <v>4785</v>
      </c>
      <c r="F1232" s="7771" t="s">
        <v>2290</v>
      </c>
      <c r="G1232" s="7771" t="s">
        <v>28</v>
      </c>
      <c r="H1232" s="7771" t="s">
        <v>28</v>
      </c>
      <c r="I1232" s="7771" t="s">
        <v>868</v>
      </c>
    </row>
    <row customHeight="1" ht="11.25">
      <c r="A1233" s="7771" t="s">
        <v>2266</v>
      </c>
      <c r="B1233" s="7771" t="s">
        <v>16</v>
      </c>
      <c r="C1233" s="7771" t="s">
        <v>5001</v>
      </c>
      <c r="D1233" s="7771" t="s">
        <v>5002</v>
      </c>
      <c r="E1233" s="7771" t="s">
        <v>5003</v>
      </c>
      <c r="F1233" s="7771" t="s">
        <v>2280</v>
      </c>
      <c r="G1233" s="7771" t="s">
        <v>28</v>
      </c>
      <c r="H1233" s="7771" t="s">
        <v>28</v>
      </c>
      <c r="I1233" s="7771" t="s">
        <v>868</v>
      </c>
    </row>
    <row customHeight="1" ht="11.25">
      <c r="A1234" s="7771" t="s">
        <v>2266</v>
      </c>
      <c r="B1234" s="7771" t="s">
        <v>16</v>
      </c>
      <c r="C1234" s="7771" t="s">
        <v>2957</v>
      </c>
      <c r="D1234" s="7771" t="s">
        <v>2958</v>
      </c>
      <c r="E1234" s="7771" t="s">
        <v>2959</v>
      </c>
      <c r="F1234" s="7771" t="s">
        <v>2285</v>
      </c>
      <c r="G1234" s="7771" t="s">
        <v>28</v>
      </c>
      <c r="H1234" s="7771" t="s">
        <v>28</v>
      </c>
      <c r="I1234" s="7771" t="s">
        <v>868</v>
      </c>
    </row>
    <row customHeight="1" ht="11.25">
      <c r="A1235" s="7771" t="s">
        <v>2266</v>
      </c>
      <c r="B1235" s="7771" t="s">
        <v>16</v>
      </c>
      <c r="C1235" s="7771" t="s">
        <v>5004</v>
      </c>
      <c r="D1235" s="7771" t="s">
        <v>5005</v>
      </c>
      <c r="E1235" s="7771" t="s">
        <v>5006</v>
      </c>
      <c r="F1235" s="7771" t="s">
        <v>2829</v>
      </c>
      <c r="G1235" s="7771" t="s">
        <v>28</v>
      </c>
      <c r="H1235" s="7771" t="s">
        <v>28</v>
      </c>
      <c r="I1235" s="7771" t="s">
        <v>868</v>
      </c>
    </row>
    <row customHeight="1" ht="11.25">
      <c r="A1236" s="7771" t="s">
        <v>2266</v>
      </c>
      <c r="B1236" s="7771" t="s">
        <v>16</v>
      </c>
      <c r="C1236" s="7771" t="s">
        <v>5007</v>
      </c>
      <c r="D1236" s="7771" t="s">
        <v>5008</v>
      </c>
      <c r="E1236" s="7771" t="s">
        <v>5009</v>
      </c>
      <c r="F1236" s="7771" t="s">
        <v>2295</v>
      </c>
      <c r="G1236" s="7771" t="s">
        <v>28</v>
      </c>
      <c r="H1236" s="7771" t="s">
        <v>28</v>
      </c>
      <c r="I1236" s="7771" t="s">
        <v>868</v>
      </c>
    </row>
    <row customHeight="1" ht="11.25">
      <c r="A1237" s="7771" t="s">
        <v>2266</v>
      </c>
      <c r="B1237" s="7771" t="s">
        <v>16</v>
      </c>
      <c r="C1237" s="7771" t="s">
        <v>2960</v>
      </c>
      <c r="D1237" s="7771" t="s">
        <v>2961</v>
      </c>
      <c r="E1237" s="7771" t="s">
        <v>2962</v>
      </c>
      <c r="F1237" s="7771" t="s">
        <v>2813</v>
      </c>
      <c r="G1237" s="7771" t="s">
        <v>2963</v>
      </c>
      <c r="H1237" s="7771" t="s">
        <v>28</v>
      </c>
      <c r="I1237" s="7771" t="s">
        <v>868</v>
      </c>
    </row>
    <row customHeight="1" ht="11.25">
      <c r="A1238" s="7771" t="s">
        <v>2266</v>
      </c>
      <c r="B1238" s="7771" t="s">
        <v>16</v>
      </c>
      <c r="C1238" s="7771" t="s">
        <v>2964</v>
      </c>
      <c r="D1238" s="7771" t="s">
        <v>2965</v>
      </c>
      <c r="E1238" s="7771" t="s">
        <v>2966</v>
      </c>
      <c r="F1238" s="7771" t="s">
        <v>2280</v>
      </c>
      <c r="G1238" s="7771" t="s">
        <v>2967</v>
      </c>
      <c r="H1238" s="7771" t="s">
        <v>28</v>
      </c>
      <c r="I1238" s="7771" t="s">
        <v>868</v>
      </c>
    </row>
    <row customHeight="1" ht="11.25">
      <c r="A1239" s="7771" t="s">
        <v>2266</v>
      </c>
      <c r="B1239" s="7771" t="s">
        <v>16</v>
      </c>
      <c r="C1239" s="7771" t="s">
        <v>5010</v>
      </c>
      <c r="D1239" s="7771" t="s">
        <v>5011</v>
      </c>
      <c r="E1239" s="7771" t="s">
        <v>5012</v>
      </c>
      <c r="F1239" s="7771" t="s">
        <v>2592</v>
      </c>
      <c r="G1239" s="7771" t="s">
        <v>28</v>
      </c>
      <c r="H1239" s="7771" t="s">
        <v>28</v>
      </c>
      <c r="I1239" s="7771" t="s">
        <v>868</v>
      </c>
    </row>
    <row customHeight="1" ht="11.25">
      <c r="A1240" s="7771" t="s">
        <v>2266</v>
      </c>
      <c r="B1240" s="7771" t="s">
        <v>16</v>
      </c>
      <c r="C1240" s="7771" t="s">
        <v>2971</v>
      </c>
      <c r="D1240" s="7771" t="s">
        <v>2972</v>
      </c>
      <c r="E1240" s="7771" t="s">
        <v>2973</v>
      </c>
      <c r="F1240" s="7771" t="s">
        <v>2629</v>
      </c>
      <c r="G1240" s="7771" t="s">
        <v>2974</v>
      </c>
      <c r="H1240" s="7771" t="s">
        <v>28</v>
      </c>
      <c r="I1240" s="7771" t="s">
        <v>868</v>
      </c>
    </row>
    <row customHeight="1" ht="11.25">
      <c r="A1241" s="7771" t="s">
        <v>2266</v>
      </c>
      <c r="B1241" s="7771" t="s">
        <v>16</v>
      </c>
      <c r="C1241" s="7771" t="s">
        <v>2975</v>
      </c>
      <c r="D1241" s="7771" t="s">
        <v>2976</v>
      </c>
      <c r="E1241" s="7771" t="s">
        <v>2977</v>
      </c>
      <c r="F1241" s="7771" t="s">
        <v>2468</v>
      </c>
      <c r="G1241" s="7771" t="s">
        <v>28</v>
      </c>
      <c r="H1241" s="7771" t="s">
        <v>28</v>
      </c>
      <c r="I1241" s="7771" t="s">
        <v>868</v>
      </c>
    </row>
    <row customHeight="1" ht="11.25">
      <c r="A1242" s="7771" t="s">
        <v>2266</v>
      </c>
      <c r="B1242" s="7771" t="s">
        <v>16</v>
      </c>
      <c r="C1242" s="7771" t="s">
        <v>5013</v>
      </c>
      <c r="D1242" s="7771" t="s">
        <v>5014</v>
      </c>
      <c r="E1242" s="7771" t="s">
        <v>5015</v>
      </c>
      <c r="F1242" s="7771" t="s">
        <v>2518</v>
      </c>
      <c r="G1242" s="7771" t="s">
        <v>28</v>
      </c>
      <c r="H1242" s="7771" t="s">
        <v>28</v>
      </c>
      <c r="I1242" s="7771" t="s">
        <v>868</v>
      </c>
    </row>
    <row customHeight="1" ht="11.25">
      <c r="A1243" s="7771" t="s">
        <v>2266</v>
      </c>
      <c r="B1243" s="7771" t="s">
        <v>16</v>
      </c>
      <c r="C1243" s="7771" t="s">
        <v>5016</v>
      </c>
      <c r="D1243" s="7771" t="s">
        <v>5017</v>
      </c>
      <c r="E1243" s="7771" t="s">
        <v>5018</v>
      </c>
      <c r="F1243" s="7771" t="s">
        <v>2280</v>
      </c>
      <c r="G1243" s="7771" t="s">
        <v>28</v>
      </c>
      <c r="H1243" s="7771" t="s">
        <v>28</v>
      </c>
      <c r="I1243" s="7771" t="s">
        <v>868</v>
      </c>
    </row>
    <row customHeight="1" ht="11.25">
      <c r="A1244" s="7771" t="s">
        <v>2266</v>
      </c>
      <c r="B1244" s="7771" t="s">
        <v>16</v>
      </c>
      <c r="C1244" s="7771" t="s">
        <v>2990</v>
      </c>
      <c r="D1244" s="7771" t="s">
        <v>2991</v>
      </c>
      <c r="E1244" s="7771" t="s">
        <v>2992</v>
      </c>
      <c r="F1244" s="7771" t="s">
        <v>2372</v>
      </c>
      <c r="G1244" s="7771" t="s">
        <v>2993</v>
      </c>
      <c r="H1244" s="7771" t="s">
        <v>28</v>
      </c>
      <c r="I1244" s="7771" t="s">
        <v>868</v>
      </c>
    </row>
    <row customHeight="1" ht="11.25">
      <c r="A1245" s="7771" t="s">
        <v>2266</v>
      </c>
      <c r="B1245" s="7771" t="s">
        <v>16</v>
      </c>
      <c r="C1245" s="7771" t="s">
        <v>2994</v>
      </c>
      <c r="D1245" s="7771" t="s">
        <v>2995</v>
      </c>
      <c r="E1245" s="7771" t="s">
        <v>2996</v>
      </c>
      <c r="F1245" s="7771" t="s">
        <v>2629</v>
      </c>
      <c r="G1245" s="7771" t="s">
        <v>28</v>
      </c>
      <c r="H1245" s="7771" t="s">
        <v>28</v>
      </c>
      <c r="I1245" s="7771" t="s">
        <v>868</v>
      </c>
    </row>
    <row customHeight="1" ht="11.25">
      <c r="A1246" s="7771" t="s">
        <v>2266</v>
      </c>
      <c r="B1246" s="7771" t="s">
        <v>16</v>
      </c>
      <c r="C1246" s="7771" t="s">
        <v>5019</v>
      </c>
      <c r="D1246" s="7771" t="s">
        <v>5020</v>
      </c>
      <c r="E1246" s="7771" t="s">
        <v>5021</v>
      </c>
      <c r="F1246" s="7771" t="s">
        <v>2330</v>
      </c>
      <c r="G1246" s="7771" t="s">
        <v>28</v>
      </c>
      <c r="H1246" s="7771" t="s">
        <v>28</v>
      </c>
      <c r="I1246" s="7771" t="s">
        <v>868</v>
      </c>
    </row>
    <row customHeight="1" ht="11.25">
      <c r="A1247" s="7771" t="s">
        <v>2266</v>
      </c>
      <c r="B1247" s="7771" t="s">
        <v>16</v>
      </c>
      <c r="C1247" s="7771" t="s">
        <v>5022</v>
      </c>
      <c r="D1247" s="7771" t="s">
        <v>5023</v>
      </c>
      <c r="E1247" s="7771" t="s">
        <v>5024</v>
      </c>
      <c r="F1247" s="7771" t="s">
        <v>2385</v>
      </c>
      <c r="G1247" s="7771" t="s">
        <v>5025</v>
      </c>
      <c r="H1247" s="7771" t="s">
        <v>28</v>
      </c>
      <c r="I1247" s="7771" t="s">
        <v>868</v>
      </c>
    </row>
    <row customHeight="1" ht="11.25">
      <c r="A1248" s="7771" t="s">
        <v>2266</v>
      </c>
      <c r="B1248" s="7771" t="s">
        <v>16</v>
      </c>
      <c r="C1248" s="7771" t="s">
        <v>5026</v>
      </c>
      <c r="D1248" s="7771" t="s">
        <v>5027</v>
      </c>
      <c r="E1248" s="7771" t="s">
        <v>5028</v>
      </c>
      <c r="F1248" s="7771" t="s">
        <v>2592</v>
      </c>
      <c r="G1248" s="7771" t="s">
        <v>28</v>
      </c>
      <c r="H1248" s="7771" t="s">
        <v>28</v>
      </c>
      <c r="I1248" s="7771" t="s">
        <v>868</v>
      </c>
    </row>
    <row customHeight="1" ht="11.25">
      <c r="A1249" s="7771" t="s">
        <v>2266</v>
      </c>
      <c r="B1249" s="7771" t="s">
        <v>16</v>
      </c>
      <c r="C1249" s="7771" t="s">
        <v>5029</v>
      </c>
      <c r="D1249" s="7771" t="s">
        <v>5030</v>
      </c>
      <c r="E1249" s="7771" t="s">
        <v>5031</v>
      </c>
      <c r="F1249" s="7771" t="s">
        <v>590</v>
      </c>
      <c r="G1249" s="7771" t="s">
        <v>5032</v>
      </c>
      <c r="H1249" s="7771" t="s">
        <v>28</v>
      </c>
      <c r="I1249" s="7771" t="s">
        <v>868</v>
      </c>
    </row>
    <row customHeight="1" ht="11.25">
      <c r="A1250" s="7771" t="s">
        <v>2266</v>
      </c>
      <c r="B1250" s="7771" t="s">
        <v>16</v>
      </c>
      <c r="C1250" s="7771" t="s">
        <v>5033</v>
      </c>
      <c r="D1250" s="7771" t="s">
        <v>5034</v>
      </c>
      <c r="E1250" s="7771" t="s">
        <v>5035</v>
      </c>
      <c r="F1250" s="7771" t="s">
        <v>590</v>
      </c>
      <c r="G1250" s="7771" t="s">
        <v>5036</v>
      </c>
      <c r="H1250" s="7771" t="s">
        <v>28</v>
      </c>
      <c r="I1250" s="7771" t="s">
        <v>868</v>
      </c>
    </row>
    <row customHeight="1" ht="11.25">
      <c r="A1251" s="7771" t="s">
        <v>2266</v>
      </c>
      <c r="B1251" s="7771" t="s">
        <v>16</v>
      </c>
      <c r="C1251" s="7771" t="s">
        <v>28</v>
      </c>
      <c r="D1251" s="7771" t="s">
        <v>3011</v>
      </c>
      <c r="E1251" s="7771" t="s">
        <v>3012</v>
      </c>
      <c r="F1251" s="7771" t="s">
        <v>2285</v>
      </c>
      <c r="G1251" s="7771" t="s">
        <v>28</v>
      </c>
      <c r="H1251" s="7771" t="s">
        <v>28</v>
      </c>
      <c r="I1251" s="7771" t="s">
        <v>868</v>
      </c>
    </row>
    <row customHeight="1" ht="11.25">
      <c r="A1252" s="7771" t="s">
        <v>2266</v>
      </c>
      <c r="B1252" s="7771" t="s">
        <v>16</v>
      </c>
      <c r="C1252" s="7771" t="s">
        <v>5037</v>
      </c>
      <c r="D1252" s="7771" t="s">
        <v>5038</v>
      </c>
      <c r="E1252" s="7771" t="s">
        <v>5039</v>
      </c>
      <c r="F1252" s="7771" t="s">
        <v>5040</v>
      </c>
      <c r="G1252" s="7771" t="s">
        <v>28</v>
      </c>
      <c r="H1252" s="7771" t="s">
        <v>28</v>
      </c>
      <c r="I1252" s="7771" t="s">
        <v>868</v>
      </c>
    </row>
    <row customHeight="1" ht="11.25">
      <c r="A1253" s="7771" t="s">
        <v>2266</v>
      </c>
      <c r="B1253" s="7771" t="s">
        <v>16</v>
      </c>
      <c r="C1253" s="7771" t="s">
        <v>3013</v>
      </c>
      <c r="D1253" s="7771" t="s">
        <v>3014</v>
      </c>
      <c r="E1253" s="7771" t="s">
        <v>3015</v>
      </c>
      <c r="F1253" s="7771" t="s">
        <v>3016</v>
      </c>
      <c r="G1253" s="7771" t="s">
        <v>3017</v>
      </c>
      <c r="H1253" s="7771" t="s">
        <v>28</v>
      </c>
      <c r="I1253" s="7771" t="s">
        <v>868</v>
      </c>
    </row>
    <row customHeight="1" ht="11.25">
      <c r="A1254" s="7771" t="s">
        <v>2266</v>
      </c>
      <c r="B1254" s="7771" t="s">
        <v>16</v>
      </c>
      <c r="C1254" s="7771" t="s">
        <v>3018</v>
      </c>
      <c r="D1254" s="7771" t="s">
        <v>3019</v>
      </c>
      <c r="E1254" s="7771" t="s">
        <v>3020</v>
      </c>
      <c r="F1254" s="7771" t="s">
        <v>2377</v>
      </c>
      <c r="G1254" s="7771" t="s">
        <v>28</v>
      </c>
      <c r="H1254" s="7771" t="s">
        <v>28</v>
      </c>
      <c r="I1254" s="7771" t="s">
        <v>868</v>
      </c>
    </row>
    <row customHeight="1" ht="11.25">
      <c r="A1255" s="7771" t="s">
        <v>2266</v>
      </c>
      <c r="B1255" s="7771" t="s">
        <v>16</v>
      </c>
      <c r="C1255" s="7771" t="s">
        <v>3029</v>
      </c>
      <c r="D1255" s="7771" t="s">
        <v>3030</v>
      </c>
      <c r="E1255" s="7771" t="s">
        <v>3031</v>
      </c>
      <c r="F1255" s="7771" t="s">
        <v>2441</v>
      </c>
      <c r="G1255" s="7771" t="s">
        <v>3032</v>
      </c>
      <c r="H1255" s="7771" t="s">
        <v>28</v>
      </c>
      <c r="I1255" s="7771" t="s">
        <v>868</v>
      </c>
    </row>
    <row customHeight="1" ht="11.25">
      <c r="A1256" s="7771" t="s">
        <v>2266</v>
      </c>
      <c r="B1256" s="7771" t="s">
        <v>16</v>
      </c>
      <c r="C1256" s="7771" t="s">
        <v>3033</v>
      </c>
      <c r="D1256" s="7771" t="s">
        <v>3034</v>
      </c>
      <c r="E1256" s="7771" t="s">
        <v>3035</v>
      </c>
      <c r="F1256" s="7771" t="s">
        <v>3036</v>
      </c>
      <c r="G1256" s="7771" t="s">
        <v>28</v>
      </c>
      <c r="H1256" s="7771" t="s">
        <v>28</v>
      </c>
      <c r="I1256" s="7771" t="s">
        <v>868</v>
      </c>
    </row>
    <row customHeight="1" ht="11.25">
      <c r="A1257" s="7771" t="s">
        <v>2266</v>
      </c>
      <c r="B1257" s="7771" t="s">
        <v>16</v>
      </c>
      <c r="C1257" s="7771" t="s">
        <v>5041</v>
      </c>
      <c r="D1257" s="7771" t="s">
        <v>5042</v>
      </c>
      <c r="E1257" s="7771" t="s">
        <v>5043</v>
      </c>
      <c r="F1257" s="7771" t="s">
        <v>2451</v>
      </c>
      <c r="G1257" s="7771" t="s">
        <v>3051</v>
      </c>
      <c r="H1257" s="7771" t="s">
        <v>28</v>
      </c>
      <c r="I1257" s="7771" t="s">
        <v>868</v>
      </c>
    </row>
    <row customHeight="1" ht="11.25">
      <c r="A1258" s="7771" t="s">
        <v>2266</v>
      </c>
      <c r="B1258" s="7771" t="s">
        <v>16</v>
      </c>
      <c r="C1258" s="7771" t="s">
        <v>3037</v>
      </c>
      <c r="D1258" s="7771" t="s">
        <v>3038</v>
      </c>
      <c r="E1258" s="7771" t="s">
        <v>3039</v>
      </c>
      <c r="F1258" s="7771" t="s">
        <v>2829</v>
      </c>
      <c r="G1258" s="7771" t="s">
        <v>3040</v>
      </c>
      <c r="H1258" s="7771" t="s">
        <v>28</v>
      </c>
      <c r="I1258" s="7771" t="s">
        <v>868</v>
      </c>
    </row>
    <row customHeight="1" ht="11.25">
      <c r="A1259" s="7771" t="s">
        <v>2266</v>
      </c>
      <c r="B1259" s="7771" t="s">
        <v>16</v>
      </c>
      <c r="C1259" s="7771" t="s">
        <v>5044</v>
      </c>
      <c r="D1259" s="7771" t="s">
        <v>5045</v>
      </c>
      <c r="E1259" s="7771" t="s">
        <v>5046</v>
      </c>
      <c r="F1259" s="7771" t="s">
        <v>2592</v>
      </c>
      <c r="G1259" s="7771" t="s">
        <v>5047</v>
      </c>
      <c r="H1259" s="7771" t="s">
        <v>28</v>
      </c>
      <c r="I1259" s="7771" t="s">
        <v>868</v>
      </c>
    </row>
    <row customHeight="1" ht="11.25">
      <c r="A1260" s="7771" t="s">
        <v>2266</v>
      </c>
      <c r="B1260" s="7771" t="s">
        <v>16</v>
      </c>
      <c r="C1260" s="7771" t="s">
        <v>3044</v>
      </c>
      <c r="D1260" s="7771" t="s">
        <v>3045</v>
      </c>
      <c r="E1260" s="7771" t="s">
        <v>3046</v>
      </c>
      <c r="F1260" s="7771" t="s">
        <v>2360</v>
      </c>
      <c r="G1260" s="7771" t="s">
        <v>3047</v>
      </c>
      <c r="H1260" s="7771" t="s">
        <v>28</v>
      </c>
      <c r="I1260" s="7771" t="s">
        <v>868</v>
      </c>
    </row>
    <row customHeight="1" ht="11.25">
      <c r="A1261" s="7771" t="s">
        <v>2266</v>
      </c>
      <c r="B1261" s="7771" t="s">
        <v>16</v>
      </c>
      <c r="C1261" s="7771" t="s">
        <v>3059</v>
      </c>
      <c r="D1261" s="7771" t="s">
        <v>3060</v>
      </c>
      <c r="E1261" s="7771" t="s">
        <v>3061</v>
      </c>
      <c r="F1261" s="7771" t="s">
        <v>2360</v>
      </c>
      <c r="G1261" s="7771" t="s">
        <v>3062</v>
      </c>
      <c r="H1261" s="7771" t="s">
        <v>28</v>
      </c>
      <c r="I1261" s="7771" t="s">
        <v>868</v>
      </c>
    </row>
    <row customHeight="1" ht="11.25">
      <c r="A1262" s="7771" t="s">
        <v>2266</v>
      </c>
      <c r="B1262" s="7771" t="s">
        <v>16</v>
      </c>
      <c r="C1262" s="7771" t="s">
        <v>3063</v>
      </c>
      <c r="D1262" s="7771" t="s">
        <v>3064</v>
      </c>
      <c r="E1262" s="7771" t="s">
        <v>3065</v>
      </c>
      <c r="F1262" s="7771" t="s">
        <v>3066</v>
      </c>
      <c r="G1262" s="7771" t="s">
        <v>28</v>
      </c>
      <c r="H1262" s="7771" t="s">
        <v>28</v>
      </c>
      <c r="I1262" s="7771" t="s">
        <v>868</v>
      </c>
    </row>
    <row customHeight="1" ht="11.25">
      <c r="A1263" s="7771" t="s">
        <v>2266</v>
      </c>
      <c r="B1263" s="7771" t="s">
        <v>16</v>
      </c>
      <c r="C1263" s="7771" t="s">
        <v>3067</v>
      </c>
      <c r="D1263" s="7771" t="s">
        <v>3068</v>
      </c>
      <c r="E1263" s="7771" t="s">
        <v>3069</v>
      </c>
      <c r="F1263" s="7771" t="s">
        <v>2451</v>
      </c>
      <c r="G1263" s="7771" t="s">
        <v>2825</v>
      </c>
      <c r="H1263" s="7771" t="s">
        <v>28</v>
      </c>
      <c r="I1263" s="7771" t="s">
        <v>868</v>
      </c>
    </row>
    <row customHeight="1" ht="11.25">
      <c r="A1264" s="7771" t="s">
        <v>2266</v>
      </c>
      <c r="B1264" s="7771" t="s">
        <v>16</v>
      </c>
      <c r="C1264" s="7771" t="s">
        <v>3070</v>
      </c>
      <c r="D1264" s="7771" t="s">
        <v>3071</v>
      </c>
      <c r="E1264" s="7771" t="s">
        <v>3072</v>
      </c>
      <c r="F1264" s="7771" t="s">
        <v>2473</v>
      </c>
      <c r="G1264" s="7771" t="s">
        <v>3073</v>
      </c>
      <c r="H1264" s="7771" t="s">
        <v>28</v>
      </c>
      <c r="I1264" s="7771" t="s">
        <v>868</v>
      </c>
    </row>
    <row customHeight="1" ht="11.25">
      <c r="A1265" s="7771" t="s">
        <v>2266</v>
      </c>
      <c r="B1265" s="7771" t="s">
        <v>16</v>
      </c>
      <c r="C1265" s="7771" t="s">
        <v>3074</v>
      </c>
      <c r="D1265" s="7771" t="s">
        <v>3075</v>
      </c>
      <c r="E1265" s="7771" t="s">
        <v>3076</v>
      </c>
      <c r="F1265" s="7771" t="s">
        <v>2330</v>
      </c>
      <c r="G1265" s="7771" t="s">
        <v>3077</v>
      </c>
      <c r="H1265" s="7771" t="s">
        <v>28</v>
      </c>
      <c r="I1265" s="7771" t="s">
        <v>868</v>
      </c>
    </row>
    <row customHeight="1" ht="11.25">
      <c r="A1266" s="7771" t="s">
        <v>2266</v>
      </c>
      <c r="B1266" s="7771" t="s">
        <v>16</v>
      </c>
      <c r="C1266" s="7771" t="s">
        <v>3078</v>
      </c>
      <c r="D1266" s="7771" t="s">
        <v>3079</v>
      </c>
      <c r="E1266" s="7771" t="s">
        <v>3080</v>
      </c>
      <c r="F1266" s="7771" t="s">
        <v>2280</v>
      </c>
      <c r="G1266" s="7771" t="s">
        <v>3081</v>
      </c>
      <c r="H1266" s="7771" t="s">
        <v>28</v>
      </c>
      <c r="I1266" s="7771" t="s">
        <v>868</v>
      </c>
    </row>
    <row customHeight="1" ht="11.25">
      <c r="A1267" s="7771" t="s">
        <v>2266</v>
      </c>
      <c r="B1267" s="7771" t="s">
        <v>16</v>
      </c>
      <c r="C1267" s="7771" t="s">
        <v>3082</v>
      </c>
      <c r="D1267" s="7771" t="s">
        <v>3083</v>
      </c>
      <c r="E1267" s="7771" t="s">
        <v>3084</v>
      </c>
      <c r="F1267" s="7771" t="s">
        <v>2280</v>
      </c>
      <c r="G1267" s="7771" t="s">
        <v>28</v>
      </c>
      <c r="H1267" s="7771" t="s">
        <v>28</v>
      </c>
      <c r="I1267" s="7771" t="s">
        <v>868</v>
      </c>
    </row>
    <row customHeight="1" ht="11.25">
      <c r="A1268" s="7771" t="s">
        <v>2266</v>
      </c>
      <c r="B1268" s="7771" t="s">
        <v>16</v>
      </c>
      <c r="C1268" s="7771" t="s">
        <v>3085</v>
      </c>
      <c r="D1268" s="7771" t="s">
        <v>3086</v>
      </c>
      <c r="E1268" s="7771" t="s">
        <v>3087</v>
      </c>
      <c r="F1268" s="7771" t="s">
        <v>2468</v>
      </c>
      <c r="G1268" s="7771" t="s">
        <v>3088</v>
      </c>
      <c r="H1268" s="7771" t="s">
        <v>28</v>
      </c>
      <c r="I1268" s="7771" t="s">
        <v>868</v>
      </c>
    </row>
    <row customHeight="1" ht="11.25">
      <c r="A1269" s="7771" t="s">
        <v>2266</v>
      </c>
      <c r="B1269" s="7771" t="s">
        <v>16</v>
      </c>
      <c r="C1269" s="7771" t="s">
        <v>3089</v>
      </c>
      <c r="D1269" s="7771" t="s">
        <v>3090</v>
      </c>
      <c r="E1269" s="7771" t="s">
        <v>3091</v>
      </c>
      <c r="F1269" s="7771" t="s">
        <v>2425</v>
      </c>
      <c r="G1269" s="7771" t="s">
        <v>3092</v>
      </c>
      <c r="H1269" s="7771" t="s">
        <v>28</v>
      </c>
      <c r="I1269" s="7771" t="s">
        <v>868</v>
      </c>
    </row>
    <row customHeight="1" ht="11.25">
      <c r="A1270" s="7771" t="s">
        <v>2266</v>
      </c>
      <c r="B1270" s="7771" t="s">
        <v>16</v>
      </c>
      <c r="C1270" s="7771" t="s">
        <v>5048</v>
      </c>
      <c r="D1270" s="7771" t="s">
        <v>5049</v>
      </c>
      <c r="E1270" s="7771" t="s">
        <v>5050</v>
      </c>
      <c r="F1270" s="7771" t="s">
        <v>2503</v>
      </c>
      <c r="G1270" s="7771" t="s">
        <v>28</v>
      </c>
      <c r="H1270" s="7771" t="s">
        <v>28</v>
      </c>
      <c r="I1270" s="7771" t="s">
        <v>868</v>
      </c>
    </row>
    <row customHeight="1" ht="11.25">
      <c r="A1271" s="7771" t="s">
        <v>2266</v>
      </c>
      <c r="B1271" s="7771" t="s">
        <v>16</v>
      </c>
      <c r="C1271" s="7771" t="s">
        <v>3093</v>
      </c>
      <c r="D1271" s="7771" t="s">
        <v>3094</v>
      </c>
      <c r="E1271" s="7771" t="s">
        <v>3095</v>
      </c>
      <c r="F1271" s="7771" t="s">
        <v>2412</v>
      </c>
      <c r="G1271" s="7771" t="s">
        <v>3096</v>
      </c>
      <c r="H1271" s="7771" t="s">
        <v>28</v>
      </c>
      <c r="I1271" s="7771" t="s">
        <v>868</v>
      </c>
    </row>
    <row customHeight="1" ht="11.25">
      <c r="A1272" s="7771" t="s">
        <v>2266</v>
      </c>
      <c r="B1272" s="7771" t="s">
        <v>16</v>
      </c>
      <c r="C1272" s="7771" t="s">
        <v>5051</v>
      </c>
      <c r="D1272" s="7771" t="s">
        <v>3094</v>
      </c>
      <c r="E1272" s="7771" t="s">
        <v>5052</v>
      </c>
      <c r="F1272" s="7771" t="s">
        <v>2791</v>
      </c>
      <c r="G1272" s="7771" t="s">
        <v>28</v>
      </c>
      <c r="H1272" s="7771" t="s">
        <v>28</v>
      </c>
      <c r="I1272" s="7771" t="s">
        <v>868</v>
      </c>
    </row>
    <row customHeight="1" ht="11.25">
      <c r="A1273" s="7771" t="s">
        <v>2266</v>
      </c>
      <c r="B1273" s="7771" t="s">
        <v>16</v>
      </c>
      <c r="C1273" s="7771" t="s">
        <v>5053</v>
      </c>
      <c r="D1273" s="7771" t="s">
        <v>3094</v>
      </c>
      <c r="E1273" s="7771" t="s">
        <v>5054</v>
      </c>
      <c r="F1273" s="7771" t="s">
        <v>2451</v>
      </c>
      <c r="G1273" s="7771" t="s">
        <v>28</v>
      </c>
      <c r="H1273" s="7771" t="s">
        <v>28</v>
      </c>
      <c r="I1273" s="7771" t="s">
        <v>868</v>
      </c>
    </row>
    <row customHeight="1" ht="11.25">
      <c r="A1274" s="7771" t="s">
        <v>2266</v>
      </c>
      <c r="B1274" s="7771" t="s">
        <v>16</v>
      </c>
      <c r="C1274" s="7771" t="s">
        <v>5055</v>
      </c>
      <c r="D1274" s="7771" t="s">
        <v>3094</v>
      </c>
      <c r="E1274" s="7771" t="s">
        <v>5056</v>
      </c>
      <c r="F1274" s="7771" t="s">
        <v>2629</v>
      </c>
      <c r="G1274" s="7771" t="s">
        <v>5057</v>
      </c>
      <c r="H1274" s="7771" t="s">
        <v>28</v>
      </c>
      <c r="I1274" s="7771" t="s">
        <v>868</v>
      </c>
    </row>
    <row customHeight="1" ht="11.25">
      <c r="A1275" s="7771" t="s">
        <v>2266</v>
      </c>
      <c r="B1275" s="7771" t="s">
        <v>16</v>
      </c>
      <c r="C1275" s="7771" t="s">
        <v>3097</v>
      </c>
      <c r="D1275" s="7771" t="s">
        <v>3098</v>
      </c>
      <c r="E1275" s="7771" t="s">
        <v>3099</v>
      </c>
      <c r="F1275" s="7771" t="s">
        <v>2399</v>
      </c>
      <c r="G1275" s="7771" t="s">
        <v>28</v>
      </c>
      <c r="H1275" s="7771" t="s">
        <v>28</v>
      </c>
      <c r="I1275" s="7771" t="s">
        <v>868</v>
      </c>
    </row>
    <row customHeight="1" ht="11.25">
      <c r="A1276" s="7771" t="s">
        <v>2266</v>
      </c>
      <c r="B1276" s="7771" t="s">
        <v>16</v>
      </c>
      <c r="C1276" s="7771" t="s">
        <v>4786</v>
      </c>
      <c r="D1276" s="7771" t="s">
        <v>4787</v>
      </c>
      <c r="E1276" s="7771" t="s">
        <v>4788</v>
      </c>
      <c r="F1276" s="7771" t="s">
        <v>2642</v>
      </c>
      <c r="G1276" s="7771" t="s">
        <v>4789</v>
      </c>
      <c r="H1276" s="7771" t="s">
        <v>28</v>
      </c>
      <c r="I1276" s="7771" t="s">
        <v>868</v>
      </c>
    </row>
    <row customHeight="1" ht="11.25">
      <c r="A1277" s="7771" t="s">
        <v>2266</v>
      </c>
      <c r="B1277" s="7771" t="s">
        <v>16</v>
      </c>
      <c r="C1277" s="7771" t="s">
        <v>3100</v>
      </c>
      <c r="D1277" s="7771" t="s">
        <v>3101</v>
      </c>
      <c r="E1277" s="7771" t="s">
        <v>3102</v>
      </c>
      <c r="F1277" s="7771" t="s">
        <v>2372</v>
      </c>
      <c r="G1277" s="7771" t="s">
        <v>3103</v>
      </c>
      <c r="H1277" s="7771" t="s">
        <v>28</v>
      </c>
      <c r="I1277" s="7771" t="s">
        <v>868</v>
      </c>
    </row>
    <row customHeight="1" ht="11.25">
      <c r="A1278" s="7771" t="s">
        <v>2266</v>
      </c>
      <c r="B1278" s="7771" t="s">
        <v>16</v>
      </c>
      <c r="C1278" s="7771" t="s">
        <v>5058</v>
      </c>
      <c r="D1278" s="7771" t="s">
        <v>5059</v>
      </c>
      <c r="E1278" s="7771" t="s">
        <v>5060</v>
      </c>
      <c r="F1278" s="7771" t="s">
        <v>2385</v>
      </c>
      <c r="G1278" s="7771" t="s">
        <v>5061</v>
      </c>
      <c r="H1278" s="7771" t="s">
        <v>28</v>
      </c>
      <c r="I1278" s="7771" t="s">
        <v>868</v>
      </c>
    </row>
    <row customHeight="1" ht="11.25">
      <c r="A1279" s="7771" t="s">
        <v>2266</v>
      </c>
      <c r="B1279" s="7771" t="s">
        <v>16</v>
      </c>
      <c r="C1279" s="7771" t="s">
        <v>3108</v>
      </c>
      <c r="D1279" s="7771" t="s">
        <v>3109</v>
      </c>
      <c r="E1279" s="7771" t="s">
        <v>3110</v>
      </c>
      <c r="F1279" s="7771" t="s">
        <v>3111</v>
      </c>
      <c r="G1279" s="7771" t="s">
        <v>3112</v>
      </c>
      <c r="H1279" s="7771" t="s">
        <v>28</v>
      </c>
      <c r="I1279" s="7771" t="s">
        <v>868</v>
      </c>
    </row>
    <row customHeight="1" ht="11.25">
      <c r="A1280" s="7771" t="s">
        <v>2266</v>
      </c>
      <c r="B1280" s="7771" t="s">
        <v>16</v>
      </c>
      <c r="C1280" s="7771" t="s">
        <v>3113</v>
      </c>
      <c r="D1280" s="7771" t="s">
        <v>3114</v>
      </c>
      <c r="E1280" s="7771" t="s">
        <v>3115</v>
      </c>
      <c r="F1280" s="7771" t="s">
        <v>2280</v>
      </c>
      <c r="G1280" s="7771" t="s">
        <v>3116</v>
      </c>
      <c r="H1280" s="7771" t="s">
        <v>28</v>
      </c>
      <c r="I1280" s="7771" t="s">
        <v>868</v>
      </c>
    </row>
    <row customHeight="1" ht="11.25">
      <c r="A1281" s="7771" t="s">
        <v>2266</v>
      </c>
      <c r="B1281" s="7771" t="s">
        <v>16</v>
      </c>
      <c r="C1281" s="7771" t="s">
        <v>3117</v>
      </c>
      <c r="D1281" s="7771" t="s">
        <v>3118</v>
      </c>
      <c r="E1281" s="7771" t="s">
        <v>3119</v>
      </c>
      <c r="F1281" s="7771" t="s">
        <v>3120</v>
      </c>
      <c r="G1281" s="7771" t="s">
        <v>3121</v>
      </c>
      <c r="H1281" s="7771" t="s">
        <v>28</v>
      </c>
      <c r="I1281" s="7771" t="s">
        <v>868</v>
      </c>
    </row>
    <row customHeight="1" ht="11.25">
      <c r="A1282" s="7771" t="s">
        <v>2266</v>
      </c>
      <c r="B1282" s="7771" t="s">
        <v>16</v>
      </c>
      <c r="C1282" s="7771" t="s">
        <v>5062</v>
      </c>
      <c r="D1282" s="7771" t="s">
        <v>5063</v>
      </c>
      <c r="E1282" s="7771" t="s">
        <v>5064</v>
      </c>
      <c r="F1282" s="7771" t="s">
        <v>2372</v>
      </c>
      <c r="G1282" s="7771" t="s">
        <v>5065</v>
      </c>
      <c r="H1282" s="7771" t="s">
        <v>28</v>
      </c>
      <c r="I1282" s="7771" t="s">
        <v>868</v>
      </c>
    </row>
    <row customHeight="1" ht="11.25">
      <c r="A1283" s="7771" t="s">
        <v>2266</v>
      </c>
      <c r="B1283" s="7771" t="s">
        <v>16</v>
      </c>
      <c r="C1283" s="7771" t="s">
        <v>5066</v>
      </c>
      <c r="D1283" s="7771" t="s">
        <v>5067</v>
      </c>
      <c r="E1283" s="7771" t="s">
        <v>5068</v>
      </c>
      <c r="F1283" s="7771" t="s">
        <v>2723</v>
      </c>
      <c r="G1283" s="7771" t="s">
        <v>5069</v>
      </c>
      <c r="H1283" s="7771" t="s">
        <v>28</v>
      </c>
      <c r="I1283" s="7771" t="s">
        <v>868</v>
      </c>
    </row>
    <row customHeight="1" ht="11.25">
      <c r="A1284" s="7771" t="s">
        <v>2266</v>
      </c>
      <c r="B1284" s="7771" t="s">
        <v>16</v>
      </c>
      <c r="C1284" s="7771" t="s">
        <v>5070</v>
      </c>
      <c r="D1284" s="7771" t="s">
        <v>5071</v>
      </c>
      <c r="E1284" s="7771" t="s">
        <v>5072</v>
      </c>
      <c r="F1284" s="7771" t="s">
        <v>2629</v>
      </c>
      <c r="G1284" s="7771" t="s">
        <v>5073</v>
      </c>
      <c r="H1284" s="7771" t="s">
        <v>28</v>
      </c>
      <c r="I1284" s="7771" t="s">
        <v>868</v>
      </c>
    </row>
    <row customHeight="1" ht="11.25">
      <c r="A1285" s="7771" t="s">
        <v>2266</v>
      </c>
      <c r="B1285" s="7771" t="s">
        <v>16</v>
      </c>
      <c r="C1285" s="7771" t="s">
        <v>3127</v>
      </c>
      <c r="D1285" s="7771" t="s">
        <v>3128</v>
      </c>
      <c r="E1285" s="7771" t="s">
        <v>3129</v>
      </c>
      <c r="F1285" s="7771" t="s">
        <v>2655</v>
      </c>
      <c r="G1285" s="7771" t="s">
        <v>3130</v>
      </c>
      <c r="H1285" s="7771" t="s">
        <v>28</v>
      </c>
      <c r="I1285" s="7771" t="s">
        <v>868</v>
      </c>
    </row>
    <row customHeight="1" ht="11.25">
      <c r="A1286" s="7771" t="s">
        <v>2266</v>
      </c>
      <c r="B1286" s="7771" t="s">
        <v>16</v>
      </c>
      <c r="C1286" s="7771" t="s">
        <v>3131</v>
      </c>
      <c r="D1286" s="7771" t="s">
        <v>3132</v>
      </c>
      <c r="E1286" s="7771" t="s">
        <v>3133</v>
      </c>
      <c r="F1286" s="7771" t="s">
        <v>2377</v>
      </c>
      <c r="G1286" s="7771" t="s">
        <v>3134</v>
      </c>
      <c r="H1286" s="7771" t="s">
        <v>28</v>
      </c>
      <c r="I1286" s="7771" t="s">
        <v>868</v>
      </c>
    </row>
    <row customHeight="1" ht="11.25">
      <c r="A1287" s="7771" t="s">
        <v>2266</v>
      </c>
      <c r="B1287" s="7771" t="s">
        <v>16</v>
      </c>
      <c r="C1287" s="7771" t="s">
        <v>5074</v>
      </c>
      <c r="D1287" s="7771" t="s">
        <v>5075</v>
      </c>
      <c r="E1287" s="7771" t="s">
        <v>5076</v>
      </c>
      <c r="F1287" s="7771" t="s">
        <v>2347</v>
      </c>
      <c r="G1287" s="7771" t="s">
        <v>5077</v>
      </c>
      <c r="H1287" s="7771" t="s">
        <v>28</v>
      </c>
      <c r="I1287" s="7771" t="s">
        <v>868</v>
      </c>
    </row>
    <row customHeight="1" ht="11.25">
      <c r="A1288" s="7771" t="s">
        <v>2266</v>
      </c>
      <c r="B1288" s="7771" t="s">
        <v>16</v>
      </c>
      <c r="C1288" s="7771" t="s">
        <v>5078</v>
      </c>
      <c r="D1288" s="7771" t="s">
        <v>5079</v>
      </c>
      <c r="E1288" s="7771" t="s">
        <v>5080</v>
      </c>
      <c r="F1288" s="7771" t="s">
        <v>2412</v>
      </c>
      <c r="G1288" s="7771" t="s">
        <v>5081</v>
      </c>
      <c r="H1288" s="7771" t="s">
        <v>28</v>
      </c>
      <c r="I1288" s="7771" t="s">
        <v>868</v>
      </c>
    </row>
    <row customHeight="1" ht="11.25">
      <c r="A1289" s="7771" t="s">
        <v>2266</v>
      </c>
      <c r="B1289" s="7771" t="s">
        <v>16</v>
      </c>
      <c r="C1289" s="7771" t="s">
        <v>3135</v>
      </c>
      <c r="D1289" s="7771" t="s">
        <v>3136</v>
      </c>
      <c r="E1289" s="7771" t="s">
        <v>3137</v>
      </c>
      <c r="F1289" s="7771" t="s">
        <v>2655</v>
      </c>
      <c r="G1289" s="7771" t="s">
        <v>3138</v>
      </c>
      <c r="H1289" s="7771" t="s">
        <v>28</v>
      </c>
      <c r="I1289" s="7771" t="s">
        <v>868</v>
      </c>
    </row>
    <row customHeight="1" ht="11.25">
      <c r="A1290" s="7771" t="s">
        <v>2266</v>
      </c>
      <c r="B1290" s="7771" t="s">
        <v>16</v>
      </c>
      <c r="C1290" s="7771" t="s">
        <v>3139</v>
      </c>
      <c r="D1290" s="7771" t="s">
        <v>3140</v>
      </c>
      <c r="E1290" s="7771" t="s">
        <v>3141</v>
      </c>
      <c r="F1290" s="7771" t="s">
        <v>2320</v>
      </c>
      <c r="G1290" s="7771" t="s">
        <v>28</v>
      </c>
      <c r="H1290" s="7771" t="s">
        <v>28</v>
      </c>
      <c r="I1290" s="7771" t="s">
        <v>868</v>
      </c>
    </row>
    <row customHeight="1" ht="11.25">
      <c r="A1291" s="7771" t="s">
        <v>2266</v>
      </c>
      <c r="B1291" s="7771" t="s">
        <v>16</v>
      </c>
      <c r="C1291" s="7771" t="s">
        <v>3142</v>
      </c>
      <c r="D1291" s="7771" t="s">
        <v>3143</v>
      </c>
      <c r="E1291" s="7771" t="s">
        <v>3144</v>
      </c>
      <c r="F1291" s="7771" t="s">
        <v>2399</v>
      </c>
      <c r="G1291" s="7771" t="s">
        <v>3145</v>
      </c>
      <c r="H1291" s="7771" t="s">
        <v>28</v>
      </c>
      <c r="I1291" s="7771" t="s">
        <v>868</v>
      </c>
    </row>
    <row customHeight="1" ht="11.25">
      <c r="A1292" s="7771" t="s">
        <v>2266</v>
      </c>
      <c r="B1292" s="7771" t="s">
        <v>16</v>
      </c>
      <c r="C1292" s="7771" t="s">
        <v>5082</v>
      </c>
      <c r="D1292" s="7771" t="s">
        <v>5083</v>
      </c>
      <c r="E1292" s="7771" t="s">
        <v>5084</v>
      </c>
      <c r="F1292" s="7771" t="s">
        <v>2377</v>
      </c>
      <c r="G1292" s="7771" t="s">
        <v>28</v>
      </c>
      <c r="H1292" s="7771" t="s">
        <v>28</v>
      </c>
      <c r="I1292" s="7771" t="s">
        <v>868</v>
      </c>
    </row>
    <row customHeight="1" ht="11.25">
      <c r="A1293" s="7771" t="s">
        <v>2266</v>
      </c>
      <c r="B1293" s="7771" t="s">
        <v>16</v>
      </c>
      <c r="C1293" s="7771" t="s">
        <v>3146</v>
      </c>
      <c r="D1293" s="7771" t="s">
        <v>3147</v>
      </c>
      <c r="E1293" s="7771" t="s">
        <v>3148</v>
      </c>
      <c r="F1293" s="7771" t="s">
        <v>2629</v>
      </c>
      <c r="G1293" s="7771" t="s">
        <v>3149</v>
      </c>
      <c r="H1293" s="7771" t="s">
        <v>28</v>
      </c>
      <c r="I1293" s="7771" t="s">
        <v>868</v>
      </c>
    </row>
    <row customHeight="1" ht="11.25">
      <c r="A1294" s="7771" t="s">
        <v>2266</v>
      </c>
      <c r="B1294" s="7771" t="s">
        <v>16</v>
      </c>
      <c r="C1294" s="7771" t="s">
        <v>3150</v>
      </c>
      <c r="D1294" s="7771" t="s">
        <v>3151</v>
      </c>
      <c r="E1294" s="7771" t="s">
        <v>3152</v>
      </c>
      <c r="F1294" s="7771" t="s">
        <v>2412</v>
      </c>
      <c r="G1294" s="7771" t="s">
        <v>3153</v>
      </c>
      <c r="H1294" s="7771" t="s">
        <v>28</v>
      </c>
      <c r="I1294" s="7771" t="s">
        <v>868</v>
      </c>
    </row>
    <row customHeight="1" ht="11.25">
      <c r="A1295" s="7771" t="s">
        <v>2266</v>
      </c>
      <c r="B1295" s="7771" t="s">
        <v>16</v>
      </c>
      <c r="C1295" s="7771" t="s">
        <v>5085</v>
      </c>
      <c r="D1295" s="7771" t="s">
        <v>5086</v>
      </c>
      <c r="E1295" s="7771" t="s">
        <v>5087</v>
      </c>
      <c r="F1295" s="7771" t="s">
        <v>2325</v>
      </c>
      <c r="G1295" s="7771" t="s">
        <v>5088</v>
      </c>
      <c r="H1295" s="7771" t="s">
        <v>28</v>
      </c>
      <c r="I1295" s="7771" t="s">
        <v>868</v>
      </c>
    </row>
    <row customHeight="1" ht="11.25">
      <c r="A1296" s="7771" t="s">
        <v>2266</v>
      </c>
      <c r="B1296" s="7771" t="s">
        <v>16</v>
      </c>
      <c r="C1296" s="7771" t="s">
        <v>3154</v>
      </c>
      <c r="D1296" s="7771" t="s">
        <v>3155</v>
      </c>
      <c r="E1296" s="7771" t="s">
        <v>3156</v>
      </c>
      <c r="F1296" s="7771" t="s">
        <v>3157</v>
      </c>
      <c r="G1296" s="7771" t="s">
        <v>3158</v>
      </c>
      <c r="H1296" s="7771" t="s">
        <v>28</v>
      </c>
      <c r="I1296" s="7771" t="s">
        <v>868</v>
      </c>
    </row>
    <row customHeight="1" ht="11.25">
      <c r="A1297" s="7771" t="s">
        <v>2266</v>
      </c>
      <c r="B1297" s="7771" t="s">
        <v>16</v>
      </c>
      <c r="C1297" s="7771" t="s">
        <v>3159</v>
      </c>
      <c r="D1297" s="7771" t="s">
        <v>3160</v>
      </c>
      <c r="E1297" s="7771" t="s">
        <v>3161</v>
      </c>
      <c r="F1297" s="7771" t="s">
        <v>2655</v>
      </c>
      <c r="G1297" s="7771" t="s">
        <v>3162</v>
      </c>
      <c r="H1297" s="7771" t="s">
        <v>28</v>
      </c>
      <c r="I1297" s="7771" t="s">
        <v>868</v>
      </c>
    </row>
    <row customHeight="1" ht="11.25">
      <c r="A1298" s="7771" t="s">
        <v>2266</v>
      </c>
      <c r="B1298" s="7771" t="s">
        <v>16</v>
      </c>
      <c r="C1298" s="7771" t="s">
        <v>3167</v>
      </c>
      <c r="D1298" s="7771" t="s">
        <v>3168</v>
      </c>
      <c r="E1298" s="7771" t="s">
        <v>3169</v>
      </c>
      <c r="F1298" s="7771" t="s">
        <v>3170</v>
      </c>
      <c r="G1298" s="7771" t="s">
        <v>3171</v>
      </c>
      <c r="H1298" s="7771" t="s">
        <v>28</v>
      </c>
      <c r="I1298" s="7771" t="s">
        <v>868</v>
      </c>
    </row>
    <row customHeight="1" ht="11.25">
      <c r="A1299" s="7771" t="s">
        <v>2266</v>
      </c>
      <c r="B1299" s="7771" t="s">
        <v>16</v>
      </c>
      <c r="C1299" s="7771" t="s">
        <v>3172</v>
      </c>
      <c r="D1299" s="7771" t="s">
        <v>3173</v>
      </c>
      <c r="E1299" s="7771" t="s">
        <v>3174</v>
      </c>
      <c r="F1299" s="7771" t="s">
        <v>2486</v>
      </c>
      <c r="G1299" s="7771" t="s">
        <v>3175</v>
      </c>
      <c r="H1299" s="7771" t="s">
        <v>28</v>
      </c>
      <c r="I1299" s="7771" t="s">
        <v>868</v>
      </c>
    </row>
    <row customHeight="1" ht="11.25">
      <c r="A1300" s="7771" t="s">
        <v>2266</v>
      </c>
      <c r="B1300" s="7771" t="s">
        <v>16</v>
      </c>
      <c r="C1300" s="7771" t="s">
        <v>3176</v>
      </c>
      <c r="D1300" s="7771" t="s">
        <v>3177</v>
      </c>
      <c r="E1300" s="7771" t="s">
        <v>3178</v>
      </c>
      <c r="F1300" s="7771" t="s">
        <v>3179</v>
      </c>
      <c r="G1300" s="7771" t="s">
        <v>28</v>
      </c>
      <c r="H1300" s="7771" t="s">
        <v>28</v>
      </c>
      <c r="I1300" s="7771" t="s">
        <v>868</v>
      </c>
    </row>
    <row customHeight="1" ht="11.25">
      <c r="A1301" s="7771" t="s">
        <v>2266</v>
      </c>
      <c r="B1301" s="7771" t="s">
        <v>16</v>
      </c>
      <c r="C1301" s="7771" t="s">
        <v>3187</v>
      </c>
      <c r="D1301" s="7771" t="s">
        <v>3188</v>
      </c>
      <c r="E1301" s="7771" t="s">
        <v>3189</v>
      </c>
      <c r="F1301" s="7771" t="s">
        <v>3190</v>
      </c>
      <c r="G1301" s="7771" t="s">
        <v>28</v>
      </c>
      <c r="H1301" s="7771" t="s">
        <v>28</v>
      </c>
      <c r="I1301" s="7771" t="s">
        <v>868</v>
      </c>
    </row>
    <row customHeight="1" ht="11.25">
      <c r="A1302" s="7771" t="s">
        <v>2266</v>
      </c>
      <c r="B1302" s="7771" t="s">
        <v>16</v>
      </c>
      <c r="C1302" s="7771" t="s">
        <v>3191</v>
      </c>
      <c r="D1302" s="7771" t="s">
        <v>3192</v>
      </c>
      <c r="E1302" s="7771" t="s">
        <v>3193</v>
      </c>
      <c r="F1302" s="7771" t="s">
        <v>2295</v>
      </c>
      <c r="G1302" s="7771" t="s">
        <v>28</v>
      </c>
      <c r="H1302" s="7771" t="s">
        <v>28</v>
      </c>
      <c r="I1302" s="7771" t="s">
        <v>868</v>
      </c>
    </row>
    <row customHeight="1" ht="11.25">
      <c r="A1303" s="7771" t="s">
        <v>2266</v>
      </c>
      <c r="B1303" s="7771" t="s">
        <v>16</v>
      </c>
      <c r="C1303" s="7771" t="s">
        <v>3194</v>
      </c>
      <c r="D1303" s="7771" t="s">
        <v>3195</v>
      </c>
      <c r="E1303" s="7771" t="s">
        <v>3196</v>
      </c>
      <c r="F1303" s="7771" t="s">
        <v>2320</v>
      </c>
      <c r="G1303" s="7771" t="s">
        <v>3197</v>
      </c>
      <c r="H1303" s="7771" t="s">
        <v>28</v>
      </c>
      <c r="I1303" s="7771" t="s">
        <v>868</v>
      </c>
    </row>
    <row customHeight="1" ht="11.25">
      <c r="A1304" s="7771" t="s">
        <v>2266</v>
      </c>
      <c r="B1304" s="7771" t="s">
        <v>16</v>
      </c>
      <c r="C1304" s="7771" t="s">
        <v>5089</v>
      </c>
      <c r="D1304" s="7771" t="s">
        <v>5090</v>
      </c>
      <c r="E1304" s="7771" t="s">
        <v>5091</v>
      </c>
      <c r="F1304" s="7771" t="s">
        <v>3211</v>
      </c>
      <c r="G1304" s="7771" t="s">
        <v>5092</v>
      </c>
      <c r="H1304" s="7771" t="s">
        <v>28</v>
      </c>
      <c r="I1304" s="7771" t="s">
        <v>868</v>
      </c>
    </row>
    <row customHeight="1" ht="11.25">
      <c r="A1305" s="7771" t="s">
        <v>2266</v>
      </c>
      <c r="B1305" s="7771" t="s">
        <v>16</v>
      </c>
      <c r="C1305" s="7771" t="s">
        <v>5093</v>
      </c>
      <c r="D1305" s="7771" t="s">
        <v>5094</v>
      </c>
      <c r="E1305" s="7771" t="s">
        <v>5095</v>
      </c>
      <c r="F1305" s="7771" t="s">
        <v>5096</v>
      </c>
      <c r="G1305" s="7771" t="s">
        <v>5097</v>
      </c>
      <c r="H1305" s="7771" t="s">
        <v>28</v>
      </c>
      <c r="I1305" s="7771" t="s">
        <v>868</v>
      </c>
    </row>
    <row customHeight="1" ht="11.25">
      <c r="A1306" s="7771" t="s">
        <v>2266</v>
      </c>
      <c r="B1306" s="7771" t="s">
        <v>16</v>
      </c>
      <c r="C1306" s="7771" t="s">
        <v>3198</v>
      </c>
      <c r="D1306" s="7771" t="s">
        <v>3199</v>
      </c>
      <c r="E1306" s="7771" t="s">
        <v>3200</v>
      </c>
      <c r="F1306" s="7771" t="s">
        <v>2451</v>
      </c>
      <c r="G1306" s="7771" t="s">
        <v>28</v>
      </c>
      <c r="H1306" s="7771" t="s">
        <v>28</v>
      </c>
      <c r="I1306" s="7771" t="s">
        <v>868</v>
      </c>
    </row>
    <row customHeight="1" ht="11.25">
      <c r="A1307" s="7771" t="s">
        <v>2266</v>
      </c>
      <c r="B1307" s="7771" t="s">
        <v>16</v>
      </c>
      <c r="C1307" s="7771" t="s">
        <v>3201</v>
      </c>
      <c r="D1307" s="7771" t="s">
        <v>3202</v>
      </c>
      <c r="E1307" s="7771" t="s">
        <v>3203</v>
      </c>
      <c r="F1307" s="7771" t="s">
        <v>2800</v>
      </c>
      <c r="G1307" s="7771" t="s">
        <v>28</v>
      </c>
      <c r="H1307" s="7771" t="s">
        <v>28</v>
      </c>
      <c r="I1307" s="7771" t="s">
        <v>868</v>
      </c>
    </row>
    <row customHeight="1" ht="11.25">
      <c r="A1308" s="7771" t="s">
        <v>2266</v>
      </c>
      <c r="B1308" s="7771" t="s">
        <v>16</v>
      </c>
      <c r="C1308" s="7771" t="s">
        <v>3204</v>
      </c>
      <c r="D1308" s="7771" t="s">
        <v>3205</v>
      </c>
      <c r="E1308" s="7771" t="s">
        <v>3206</v>
      </c>
      <c r="F1308" s="7771" t="s">
        <v>3207</v>
      </c>
      <c r="G1308" s="7771" t="s">
        <v>28</v>
      </c>
      <c r="H1308" s="7771" t="s">
        <v>28</v>
      </c>
      <c r="I1308" s="7771" t="s">
        <v>868</v>
      </c>
    </row>
    <row customHeight="1" ht="11.25">
      <c r="A1309" s="7771" t="s">
        <v>2266</v>
      </c>
      <c r="B1309" s="7771" t="s">
        <v>16</v>
      </c>
      <c r="C1309" s="7771" t="s">
        <v>3212</v>
      </c>
      <c r="D1309" s="7771" t="s">
        <v>3213</v>
      </c>
      <c r="E1309" s="7771" t="s">
        <v>3214</v>
      </c>
      <c r="F1309" s="7771" t="s">
        <v>2360</v>
      </c>
      <c r="G1309" s="7771" t="s">
        <v>28</v>
      </c>
      <c r="H1309" s="7771" t="s">
        <v>28</v>
      </c>
      <c r="I1309" s="7771" t="s">
        <v>868</v>
      </c>
    </row>
    <row customHeight="1" ht="11.25">
      <c r="A1310" s="7771" t="s">
        <v>2266</v>
      </c>
      <c r="B1310" s="7771" t="s">
        <v>16</v>
      </c>
      <c r="C1310" s="7771" t="s">
        <v>3219</v>
      </c>
      <c r="D1310" s="7771" t="s">
        <v>3220</v>
      </c>
      <c r="E1310" s="7771" t="s">
        <v>3221</v>
      </c>
      <c r="F1310" s="7771" t="s">
        <v>3222</v>
      </c>
      <c r="G1310" s="7771" t="s">
        <v>28</v>
      </c>
      <c r="H1310" s="7771" t="s">
        <v>28</v>
      </c>
      <c r="I1310" s="7771" t="s">
        <v>868</v>
      </c>
    </row>
    <row customHeight="1" ht="11.25">
      <c r="A1311" s="7771" t="s">
        <v>2266</v>
      </c>
      <c r="B1311" s="7771" t="s">
        <v>16</v>
      </c>
      <c r="C1311" s="7771" t="s">
        <v>3223</v>
      </c>
      <c r="D1311" s="7771" t="s">
        <v>3224</v>
      </c>
      <c r="E1311" s="7771" t="s">
        <v>3225</v>
      </c>
      <c r="F1311" s="7771" t="s">
        <v>3226</v>
      </c>
      <c r="G1311" s="7771" t="s">
        <v>28</v>
      </c>
      <c r="H1311" s="7771" t="s">
        <v>28</v>
      </c>
      <c r="I1311" s="7771" t="s">
        <v>868</v>
      </c>
    </row>
    <row customHeight="1" ht="11.25">
      <c r="A1312" s="7771" t="s">
        <v>2266</v>
      </c>
      <c r="B1312" s="7771" t="s">
        <v>16</v>
      </c>
      <c r="C1312" s="7771" t="s">
        <v>3227</v>
      </c>
      <c r="D1312" s="7771" t="s">
        <v>3228</v>
      </c>
      <c r="E1312" s="7771" t="s">
        <v>2913</v>
      </c>
      <c r="F1312" s="7771" t="s">
        <v>3229</v>
      </c>
      <c r="G1312" s="7771" t="s">
        <v>28</v>
      </c>
      <c r="H1312" s="7771" t="s">
        <v>28</v>
      </c>
      <c r="I1312" s="7771" t="s">
        <v>868</v>
      </c>
    </row>
    <row customHeight="1" ht="11.25">
      <c r="A1313" s="7771" t="s">
        <v>2266</v>
      </c>
      <c r="B1313" s="7771" t="s">
        <v>16</v>
      </c>
      <c r="C1313" s="7771" t="s">
        <v>3230</v>
      </c>
      <c r="D1313" s="7771" t="s">
        <v>3231</v>
      </c>
      <c r="E1313" s="7771" t="s">
        <v>2913</v>
      </c>
      <c r="F1313" s="7771" t="s">
        <v>3232</v>
      </c>
      <c r="G1313" s="7771" t="s">
        <v>3233</v>
      </c>
      <c r="H1313" s="7771" t="s">
        <v>28</v>
      </c>
      <c r="I1313" s="7771" t="s">
        <v>868</v>
      </c>
    </row>
    <row customHeight="1" ht="11.25">
      <c r="A1314" s="7771" t="s">
        <v>2266</v>
      </c>
      <c r="B1314" s="7771" t="s">
        <v>16</v>
      </c>
      <c r="C1314" s="7771" t="s">
        <v>5098</v>
      </c>
      <c r="D1314" s="7771" t="s">
        <v>5099</v>
      </c>
      <c r="E1314" s="7771" t="s">
        <v>5100</v>
      </c>
      <c r="F1314" s="7771" t="s">
        <v>5101</v>
      </c>
      <c r="G1314" s="7771" t="s">
        <v>5102</v>
      </c>
      <c r="H1314" s="7771" t="s">
        <v>28</v>
      </c>
      <c r="I1314" s="7771" t="s">
        <v>868</v>
      </c>
    </row>
    <row customHeight="1" ht="11.25">
      <c r="A1315" s="7771" t="s">
        <v>2266</v>
      </c>
      <c r="B1315" s="7771" t="s">
        <v>16</v>
      </c>
      <c r="C1315" s="7771" t="s">
        <v>5103</v>
      </c>
      <c r="D1315" s="7771" t="s">
        <v>5104</v>
      </c>
      <c r="E1315" s="7771" t="s">
        <v>2913</v>
      </c>
      <c r="F1315" s="7771" t="s">
        <v>5105</v>
      </c>
      <c r="G1315" s="7771" t="s">
        <v>28</v>
      </c>
      <c r="H1315" s="7771" t="s">
        <v>28</v>
      </c>
      <c r="I1315" s="7771" t="s">
        <v>868</v>
      </c>
    </row>
    <row customHeight="1" ht="11.25">
      <c r="A1316" s="7771" t="s">
        <v>2266</v>
      </c>
      <c r="B1316" s="7771" t="s">
        <v>16</v>
      </c>
      <c r="C1316" s="7771" t="s">
        <v>5106</v>
      </c>
      <c r="D1316" s="7771" t="s">
        <v>5107</v>
      </c>
      <c r="E1316" s="7771" t="s">
        <v>2913</v>
      </c>
      <c r="F1316" s="7771" t="s">
        <v>5108</v>
      </c>
      <c r="G1316" s="7771" t="s">
        <v>28</v>
      </c>
      <c r="H1316" s="7771" t="s">
        <v>28</v>
      </c>
      <c r="I1316" s="7771" t="s">
        <v>868</v>
      </c>
    </row>
    <row customHeight="1" ht="11.25">
      <c r="A1317" s="7771" t="s">
        <v>2266</v>
      </c>
      <c r="B1317" s="7771" t="s">
        <v>16</v>
      </c>
      <c r="C1317" s="7771" t="s">
        <v>3238</v>
      </c>
      <c r="D1317" s="7771" t="s">
        <v>3239</v>
      </c>
      <c r="E1317" s="7771" t="s">
        <v>3240</v>
      </c>
      <c r="F1317" s="7771" t="s">
        <v>2578</v>
      </c>
      <c r="G1317" s="7771" t="s">
        <v>3241</v>
      </c>
      <c r="H1317" s="7771" t="s">
        <v>28</v>
      </c>
      <c r="I1317" s="7771" t="s">
        <v>868</v>
      </c>
    </row>
    <row customHeight="1" ht="11.25">
      <c r="A1318" s="7771" t="s">
        <v>2266</v>
      </c>
      <c r="B1318" s="7771" t="s">
        <v>16</v>
      </c>
      <c r="C1318" s="7771" t="s">
        <v>5109</v>
      </c>
      <c r="D1318" s="7771" t="s">
        <v>5110</v>
      </c>
      <c r="E1318" s="7771" t="s">
        <v>5111</v>
      </c>
      <c r="F1318" s="7771" t="s">
        <v>2430</v>
      </c>
      <c r="G1318" s="7771" t="s">
        <v>28</v>
      </c>
      <c r="H1318" s="7771" t="s">
        <v>28</v>
      </c>
      <c r="I1318" s="7771" t="s">
        <v>868</v>
      </c>
    </row>
    <row customHeight="1" ht="11.25">
      <c r="A1319" s="7771" t="s">
        <v>2266</v>
      </c>
      <c r="B1319" s="7771" t="s">
        <v>16</v>
      </c>
      <c r="C1319" s="7771" t="s">
        <v>5112</v>
      </c>
      <c r="D1319" s="7771" t="s">
        <v>5113</v>
      </c>
      <c r="E1319" s="7771" t="s">
        <v>5114</v>
      </c>
      <c r="F1319" s="7771" t="s">
        <v>2372</v>
      </c>
      <c r="G1319" s="7771" t="s">
        <v>28</v>
      </c>
      <c r="H1319" s="7771" t="s">
        <v>28</v>
      </c>
      <c r="I1319" s="7771" t="s">
        <v>868</v>
      </c>
    </row>
    <row customHeight="1" ht="11.25">
      <c r="A1320" s="7771" t="s">
        <v>2266</v>
      </c>
      <c r="B1320" s="7771" t="s">
        <v>16</v>
      </c>
      <c r="C1320" s="7771" t="s">
        <v>5115</v>
      </c>
      <c r="D1320" s="7771" t="s">
        <v>5116</v>
      </c>
      <c r="E1320" s="7771" t="s">
        <v>5117</v>
      </c>
      <c r="F1320" s="7771" t="s">
        <v>2441</v>
      </c>
      <c r="G1320" s="7771" t="s">
        <v>28</v>
      </c>
      <c r="H1320" s="7771" t="s">
        <v>28</v>
      </c>
      <c r="I1320" s="7771" t="s">
        <v>868</v>
      </c>
    </row>
    <row customHeight="1" ht="11.25">
      <c r="A1321" s="7771" t="s">
        <v>2266</v>
      </c>
      <c r="B1321" s="7771" t="s">
        <v>16</v>
      </c>
      <c r="C1321" s="7771" t="s">
        <v>5118</v>
      </c>
      <c r="D1321" s="7771" t="s">
        <v>5119</v>
      </c>
      <c r="E1321" s="7771" t="s">
        <v>5120</v>
      </c>
      <c r="F1321" s="7771" t="s">
        <v>2813</v>
      </c>
      <c r="G1321" s="7771" t="s">
        <v>28</v>
      </c>
      <c r="H1321" s="7771" t="s">
        <v>28</v>
      </c>
      <c r="I1321" s="7771" t="s">
        <v>868</v>
      </c>
    </row>
    <row customHeight="1" ht="11.25">
      <c r="A1322" s="7771" t="s">
        <v>2266</v>
      </c>
      <c r="B1322" s="7771" t="s">
        <v>16</v>
      </c>
      <c r="C1322" s="7771" t="s">
        <v>5121</v>
      </c>
      <c r="D1322" s="7771" t="s">
        <v>5122</v>
      </c>
      <c r="E1322" s="7771" t="s">
        <v>5123</v>
      </c>
      <c r="F1322" s="7771" t="s">
        <v>5101</v>
      </c>
      <c r="G1322" s="7771" t="s">
        <v>28</v>
      </c>
      <c r="H1322" s="7771" t="s">
        <v>28</v>
      </c>
      <c r="I1322" s="7771" t="s">
        <v>868</v>
      </c>
    </row>
    <row customHeight="1" ht="11.25">
      <c r="A1323" s="7771" t="s">
        <v>2266</v>
      </c>
      <c r="B1323" s="7771" t="s">
        <v>16</v>
      </c>
      <c r="C1323" s="7771" t="s">
        <v>5124</v>
      </c>
      <c r="D1323" s="7771" t="s">
        <v>5125</v>
      </c>
      <c r="E1323" s="7771" t="s">
        <v>5126</v>
      </c>
      <c r="F1323" s="7771" t="s">
        <v>2347</v>
      </c>
      <c r="G1323" s="7771" t="s">
        <v>28</v>
      </c>
      <c r="H1323" s="7771" t="s">
        <v>28</v>
      </c>
      <c r="I1323" s="7771" t="s">
        <v>868</v>
      </c>
    </row>
    <row customHeight="1" ht="11.25">
      <c r="A1324" s="7771" t="s">
        <v>2266</v>
      </c>
      <c r="B1324" s="7771" t="s">
        <v>16</v>
      </c>
      <c r="C1324" s="7771" t="s">
        <v>5127</v>
      </c>
      <c r="D1324" s="7771" t="s">
        <v>5128</v>
      </c>
      <c r="E1324" s="7771" t="s">
        <v>5129</v>
      </c>
      <c r="F1324" s="7771" t="s">
        <v>2390</v>
      </c>
      <c r="G1324" s="7771" t="s">
        <v>28</v>
      </c>
      <c r="H1324" s="7771" t="s">
        <v>28</v>
      </c>
      <c r="I1324" s="7771" t="s">
        <v>868</v>
      </c>
    </row>
    <row customHeight="1" ht="11.25">
      <c r="A1325" s="7771" t="s">
        <v>2266</v>
      </c>
      <c r="B1325" s="7771" t="s">
        <v>16</v>
      </c>
      <c r="C1325" s="7771" t="s">
        <v>3258</v>
      </c>
      <c r="D1325" s="7771" t="s">
        <v>3259</v>
      </c>
      <c r="E1325" s="7771" t="s">
        <v>3260</v>
      </c>
      <c r="F1325" s="7771" t="s">
        <v>2518</v>
      </c>
      <c r="G1325" s="7771" t="s">
        <v>28</v>
      </c>
      <c r="H1325" s="7771" t="s">
        <v>28</v>
      </c>
      <c r="I1325" s="7771" t="s">
        <v>868</v>
      </c>
    </row>
    <row customHeight="1" ht="11.25">
      <c r="A1326" s="7771" t="s">
        <v>2266</v>
      </c>
      <c r="B1326" s="7771" t="s">
        <v>16</v>
      </c>
      <c r="C1326" s="7771" t="s">
        <v>5130</v>
      </c>
      <c r="D1326" s="7771" t="s">
        <v>5131</v>
      </c>
      <c r="E1326" s="7771" t="s">
        <v>5132</v>
      </c>
      <c r="F1326" s="7771" t="s">
        <v>5133</v>
      </c>
      <c r="G1326" s="7771" t="s">
        <v>28</v>
      </c>
      <c r="H1326" s="7771" t="s">
        <v>28</v>
      </c>
      <c r="I1326" s="7771" t="s">
        <v>868</v>
      </c>
    </row>
    <row customHeight="1" ht="11.25">
      <c r="A1327" s="7771" t="s">
        <v>2266</v>
      </c>
      <c r="B1327" s="7771" t="s">
        <v>16</v>
      </c>
      <c r="C1327" s="7771" t="s">
        <v>3264</v>
      </c>
      <c r="D1327" s="7771" t="s">
        <v>3265</v>
      </c>
      <c r="E1327" s="7771" t="s">
        <v>3266</v>
      </c>
      <c r="F1327" s="7771" t="s">
        <v>2280</v>
      </c>
      <c r="G1327" s="7771" t="s">
        <v>3267</v>
      </c>
      <c r="H1327" s="7771" t="s">
        <v>28</v>
      </c>
      <c r="I1327" s="7771" t="s">
        <v>868</v>
      </c>
    </row>
    <row customHeight="1" ht="11.25">
      <c r="A1328" s="7771" t="s">
        <v>2266</v>
      </c>
      <c r="B1328" s="7771" t="s">
        <v>16</v>
      </c>
      <c r="C1328" s="7771" t="s">
        <v>5134</v>
      </c>
      <c r="D1328" s="7771" t="s">
        <v>5135</v>
      </c>
      <c r="E1328" s="7771" t="s">
        <v>5136</v>
      </c>
      <c r="F1328" s="7771" t="s">
        <v>2280</v>
      </c>
      <c r="G1328" s="7771" t="s">
        <v>28</v>
      </c>
      <c r="H1328" s="7771" t="s">
        <v>28</v>
      </c>
      <c r="I1328" s="7771" t="s">
        <v>868</v>
      </c>
    </row>
    <row customHeight="1" ht="11.25">
      <c r="A1329" s="7771" t="s">
        <v>2266</v>
      </c>
      <c r="B1329" s="7771" t="s">
        <v>16</v>
      </c>
      <c r="C1329" s="7771" t="s">
        <v>5137</v>
      </c>
      <c r="D1329" s="7771" t="s">
        <v>5138</v>
      </c>
      <c r="E1329" s="7771" t="s">
        <v>5139</v>
      </c>
      <c r="F1329" s="7771" t="s">
        <v>2280</v>
      </c>
      <c r="G1329" s="7771" t="s">
        <v>28</v>
      </c>
      <c r="H1329" s="7771" t="s">
        <v>28</v>
      </c>
      <c r="I1329" s="7771" t="s">
        <v>868</v>
      </c>
    </row>
    <row customHeight="1" ht="11.25">
      <c r="A1330" s="7771" t="s">
        <v>2266</v>
      </c>
      <c r="B1330" s="7771" t="s">
        <v>16</v>
      </c>
      <c r="C1330" s="7771" t="s">
        <v>3271</v>
      </c>
      <c r="D1330" s="7771" t="s">
        <v>3272</v>
      </c>
      <c r="E1330" s="7771" t="s">
        <v>3273</v>
      </c>
      <c r="F1330" s="7771" t="s">
        <v>3274</v>
      </c>
      <c r="G1330" s="7771" t="s">
        <v>28</v>
      </c>
      <c r="H1330" s="7771" t="s">
        <v>28</v>
      </c>
      <c r="I1330" s="7771" t="s">
        <v>868</v>
      </c>
    </row>
    <row customHeight="1" ht="11.25">
      <c r="A1331" s="7771" t="s">
        <v>2266</v>
      </c>
      <c r="B1331" s="7771" t="s">
        <v>16</v>
      </c>
      <c r="C1331" s="7771" t="s">
        <v>3275</v>
      </c>
      <c r="D1331" s="7771" t="s">
        <v>3276</v>
      </c>
      <c r="E1331" s="7771" t="s">
        <v>3277</v>
      </c>
      <c r="F1331" s="7771" t="s">
        <v>2723</v>
      </c>
      <c r="G1331" s="7771" t="s">
        <v>28</v>
      </c>
      <c r="H1331" s="7771" t="s">
        <v>28</v>
      </c>
      <c r="I1331" s="7771" t="s">
        <v>868</v>
      </c>
    </row>
    <row customHeight="1" ht="11.25">
      <c r="A1332" s="7771" t="s">
        <v>2266</v>
      </c>
      <c r="B1332" s="7771" t="s">
        <v>16</v>
      </c>
      <c r="C1332" s="7771" t="s">
        <v>5140</v>
      </c>
      <c r="D1332" s="7771" t="s">
        <v>5141</v>
      </c>
      <c r="E1332" s="7771" t="s">
        <v>5142</v>
      </c>
      <c r="F1332" s="7771" t="s">
        <v>2430</v>
      </c>
      <c r="G1332" s="7771" t="s">
        <v>28</v>
      </c>
      <c r="H1332" s="7771" t="s">
        <v>28</v>
      </c>
      <c r="I1332" s="7771" t="s">
        <v>868</v>
      </c>
    </row>
    <row customHeight="1" ht="11.25">
      <c r="A1333" s="7771" t="s">
        <v>2266</v>
      </c>
      <c r="B1333" s="7771" t="s">
        <v>16</v>
      </c>
      <c r="C1333" s="7771" t="s">
        <v>3281</v>
      </c>
      <c r="D1333" s="7771" t="s">
        <v>3282</v>
      </c>
      <c r="E1333" s="7771" t="s">
        <v>3283</v>
      </c>
      <c r="F1333" s="7771" t="s">
        <v>2894</v>
      </c>
      <c r="G1333" s="7771" t="s">
        <v>3284</v>
      </c>
      <c r="H1333" s="7771" t="s">
        <v>28</v>
      </c>
      <c r="I1333" s="7771" t="s">
        <v>868</v>
      </c>
    </row>
    <row customHeight="1" ht="11.25">
      <c r="A1334" s="7771" t="s">
        <v>2266</v>
      </c>
      <c r="B1334" s="7771" t="s">
        <v>16</v>
      </c>
      <c r="C1334" s="7771" t="s">
        <v>3289</v>
      </c>
      <c r="D1334" s="7771" t="s">
        <v>3290</v>
      </c>
      <c r="E1334" s="7771" t="s">
        <v>3291</v>
      </c>
      <c r="F1334" s="7771" t="s">
        <v>2451</v>
      </c>
      <c r="G1334" s="7771" t="s">
        <v>3292</v>
      </c>
      <c r="H1334" s="7771" t="s">
        <v>28</v>
      </c>
      <c r="I1334" s="7771" t="s">
        <v>868</v>
      </c>
    </row>
    <row customHeight="1" ht="11.25">
      <c r="A1335" s="7771" t="s">
        <v>2266</v>
      </c>
      <c r="B1335" s="7771" t="s">
        <v>16</v>
      </c>
      <c r="C1335" s="7771" t="s">
        <v>3293</v>
      </c>
      <c r="D1335" s="7771" t="s">
        <v>3294</v>
      </c>
      <c r="E1335" s="7771" t="s">
        <v>3295</v>
      </c>
      <c r="F1335" s="7771" t="s">
        <v>3296</v>
      </c>
      <c r="G1335" s="7771" t="s">
        <v>28</v>
      </c>
      <c r="H1335" s="7771" t="s">
        <v>28</v>
      </c>
      <c r="I1335" s="7771" t="s">
        <v>868</v>
      </c>
    </row>
    <row customHeight="1" ht="11.25">
      <c r="A1336" s="7771" t="s">
        <v>2266</v>
      </c>
      <c r="B1336" s="7771" t="s">
        <v>16</v>
      </c>
      <c r="C1336" s="7771" t="s">
        <v>5143</v>
      </c>
      <c r="D1336" s="7771" t="s">
        <v>5144</v>
      </c>
      <c r="E1336" s="7771" t="s">
        <v>5145</v>
      </c>
      <c r="F1336" s="7771" t="s">
        <v>2451</v>
      </c>
      <c r="G1336" s="7771" t="s">
        <v>28</v>
      </c>
      <c r="H1336" s="7771" t="s">
        <v>28</v>
      </c>
      <c r="I1336" s="7771" t="s">
        <v>868</v>
      </c>
    </row>
    <row customHeight="1" ht="11.25">
      <c r="A1337" s="7771" t="s">
        <v>2266</v>
      </c>
      <c r="B1337" s="7771" t="s">
        <v>16</v>
      </c>
      <c r="C1337" s="7771" t="s">
        <v>3297</v>
      </c>
      <c r="D1337" s="7771" t="s">
        <v>3298</v>
      </c>
      <c r="E1337" s="7771" t="s">
        <v>3299</v>
      </c>
      <c r="F1337" s="7771" t="s">
        <v>3300</v>
      </c>
      <c r="G1337" s="7771" t="s">
        <v>28</v>
      </c>
      <c r="H1337" s="7771" t="s">
        <v>28</v>
      </c>
      <c r="I1337" s="7771" t="s">
        <v>868</v>
      </c>
    </row>
    <row customHeight="1" ht="11.25">
      <c r="A1338" s="7771" t="s">
        <v>2266</v>
      </c>
      <c r="B1338" s="7771" t="s">
        <v>16</v>
      </c>
      <c r="C1338" s="7771" t="s">
        <v>3301</v>
      </c>
      <c r="D1338" s="7771" t="s">
        <v>3302</v>
      </c>
      <c r="E1338" s="7771" t="s">
        <v>3303</v>
      </c>
      <c r="F1338" s="7771" t="s">
        <v>2629</v>
      </c>
      <c r="G1338" s="7771" t="s">
        <v>3304</v>
      </c>
      <c r="H1338" s="7771" t="s">
        <v>28</v>
      </c>
      <c r="I1338" s="7771" t="s">
        <v>868</v>
      </c>
    </row>
    <row customHeight="1" ht="11.25">
      <c r="A1339" s="7771" t="s">
        <v>2266</v>
      </c>
      <c r="B1339" s="7771" t="s">
        <v>16</v>
      </c>
      <c r="C1339" s="7771" t="s">
        <v>5146</v>
      </c>
      <c r="D1339" s="7771" t="s">
        <v>5147</v>
      </c>
      <c r="E1339" s="7771" t="s">
        <v>5148</v>
      </c>
      <c r="F1339" s="7771" t="s">
        <v>2451</v>
      </c>
      <c r="G1339" s="7771" t="s">
        <v>28</v>
      </c>
      <c r="H1339" s="7771" t="s">
        <v>28</v>
      </c>
      <c r="I1339" s="7771" t="s">
        <v>868</v>
      </c>
    </row>
    <row customHeight="1" ht="11.25">
      <c r="A1340" s="7771" t="s">
        <v>2266</v>
      </c>
      <c r="B1340" s="7771" t="s">
        <v>16</v>
      </c>
      <c r="C1340" s="7771" t="s">
        <v>3311</v>
      </c>
      <c r="D1340" s="7771" t="s">
        <v>3312</v>
      </c>
      <c r="E1340" s="7771" t="s">
        <v>3313</v>
      </c>
      <c r="F1340" s="7771" t="s">
        <v>2468</v>
      </c>
      <c r="G1340" s="7771" t="s">
        <v>28</v>
      </c>
      <c r="H1340" s="7771" t="s">
        <v>28</v>
      </c>
      <c r="I1340" s="7771" t="s">
        <v>868</v>
      </c>
    </row>
    <row customHeight="1" ht="11.25">
      <c r="A1341" s="7771" t="s">
        <v>2266</v>
      </c>
      <c r="B1341" s="7771" t="s">
        <v>16</v>
      </c>
      <c r="C1341" s="7771" t="s">
        <v>3314</v>
      </c>
      <c r="D1341" s="7771" t="s">
        <v>3315</v>
      </c>
      <c r="E1341" s="7771" t="s">
        <v>3316</v>
      </c>
      <c r="F1341" s="7771" t="s">
        <v>2295</v>
      </c>
      <c r="G1341" s="7771" t="s">
        <v>28</v>
      </c>
      <c r="H1341" s="7771" t="s">
        <v>28</v>
      </c>
      <c r="I1341" s="7771" t="s">
        <v>868</v>
      </c>
    </row>
    <row customHeight="1" ht="11.25">
      <c r="A1342" s="7771" t="s">
        <v>2266</v>
      </c>
      <c r="B1342" s="7771" t="s">
        <v>16</v>
      </c>
      <c r="C1342" s="7771" t="s">
        <v>3317</v>
      </c>
      <c r="D1342" s="7771" t="s">
        <v>3318</v>
      </c>
      <c r="E1342" s="7771" t="s">
        <v>3319</v>
      </c>
      <c r="F1342" s="7771" t="s">
        <v>2372</v>
      </c>
      <c r="G1342" s="7771" t="s">
        <v>3320</v>
      </c>
      <c r="H1342" s="7771" t="s">
        <v>28</v>
      </c>
      <c r="I1342" s="7771" t="s">
        <v>868</v>
      </c>
    </row>
    <row customHeight="1" ht="11.25">
      <c r="A1343" s="7771" t="s">
        <v>2266</v>
      </c>
      <c r="B1343" s="7771" t="s">
        <v>16</v>
      </c>
      <c r="C1343" s="7771" t="s">
        <v>5149</v>
      </c>
      <c r="D1343" s="7771" t="s">
        <v>5150</v>
      </c>
      <c r="E1343" s="7771" t="s">
        <v>5151</v>
      </c>
      <c r="F1343" s="7771" t="s">
        <v>2280</v>
      </c>
      <c r="G1343" s="7771" t="s">
        <v>2732</v>
      </c>
      <c r="H1343" s="7771" t="s">
        <v>28</v>
      </c>
      <c r="I1343" s="7771" t="s">
        <v>868</v>
      </c>
    </row>
    <row customHeight="1" ht="11.25">
      <c r="A1344" s="7771" t="s">
        <v>2266</v>
      </c>
      <c r="B1344" s="7771" t="s">
        <v>16</v>
      </c>
      <c r="C1344" s="7771" t="s">
        <v>5152</v>
      </c>
      <c r="D1344" s="7771" t="s">
        <v>5153</v>
      </c>
      <c r="E1344" s="7771" t="s">
        <v>5154</v>
      </c>
      <c r="F1344" s="7771" t="s">
        <v>2518</v>
      </c>
      <c r="G1344" s="7771" t="s">
        <v>28</v>
      </c>
      <c r="H1344" s="7771" t="s">
        <v>28</v>
      </c>
      <c r="I1344" s="7771" t="s">
        <v>868</v>
      </c>
    </row>
    <row customHeight="1" ht="11.25">
      <c r="A1345" s="7771" t="s">
        <v>2266</v>
      </c>
      <c r="B1345" s="7771" t="s">
        <v>16</v>
      </c>
      <c r="C1345" s="7771" t="s">
        <v>3324</v>
      </c>
      <c r="D1345" s="7771" t="s">
        <v>3325</v>
      </c>
      <c r="E1345" s="7771" t="s">
        <v>3326</v>
      </c>
      <c r="F1345" s="7771" t="s">
        <v>3120</v>
      </c>
      <c r="G1345" s="7771" t="s">
        <v>28</v>
      </c>
      <c r="H1345" s="7771" t="s">
        <v>28</v>
      </c>
      <c r="I1345" s="7771" t="s">
        <v>868</v>
      </c>
    </row>
    <row customHeight="1" ht="11.25">
      <c r="A1346" s="7771" t="s">
        <v>2266</v>
      </c>
      <c r="B1346" s="7771" t="s">
        <v>16</v>
      </c>
      <c r="C1346" s="7771" t="s">
        <v>3327</v>
      </c>
      <c r="D1346" s="7771" t="s">
        <v>3328</v>
      </c>
      <c r="E1346" s="7771" t="s">
        <v>3329</v>
      </c>
      <c r="F1346" s="7771" t="s">
        <v>2280</v>
      </c>
      <c r="G1346" s="7771" t="s">
        <v>28</v>
      </c>
      <c r="H1346" s="7771" t="s">
        <v>28</v>
      </c>
      <c r="I1346" s="7771" t="s">
        <v>868</v>
      </c>
    </row>
    <row customHeight="1" ht="11.25">
      <c r="A1347" s="7771" t="s">
        <v>2266</v>
      </c>
      <c r="B1347" s="7771" t="s">
        <v>16</v>
      </c>
      <c r="C1347" s="7771" t="s">
        <v>3330</v>
      </c>
      <c r="D1347" s="7771" t="s">
        <v>3331</v>
      </c>
      <c r="E1347" s="7771" t="s">
        <v>3332</v>
      </c>
      <c r="F1347" s="7771" t="s">
        <v>3333</v>
      </c>
      <c r="G1347" s="7771" t="s">
        <v>28</v>
      </c>
      <c r="H1347" s="7771" t="s">
        <v>28</v>
      </c>
      <c r="I1347" s="7771" t="s">
        <v>868</v>
      </c>
    </row>
    <row customHeight="1" ht="11.25">
      <c r="A1348" s="7771" t="s">
        <v>2266</v>
      </c>
      <c r="B1348" s="7771" t="s">
        <v>16</v>
      </c>
      <c r="C1348" s="7771" t="s">
        <v>3339</v>
      </c>
      <c r="D1348" s="7771" t="s">
        <v>3340</v>
      </c>
      <c r="E1348" s="7771" t="s">
        <v>3341</v>
      </c>
      <c r="F1348" s="7771" t="s">
        <v>3342</v>
      </c>
      <c r="G1348" s="7771" t="s">
        <v>28</v>
      </c>
      <c r="H1348" s="7771" t="s">
        <v>28</v>
      </c>
      <c r="I1348" s="7771" t="s">
        <v>868</v>
      </c>
    </row>
    <row customHeight="1" ht="11.25">
      <c r="A1349" s="7771" t="s">
        <v>2266</v>
      </c>
      <c r="B1349" s="7771" t="s">
        <v>16</v>
      </c>
      <c r="C1349" s="7771" t="s">
        <v>3347</v>
      </c>
      <c r="D1349" s="7771" t="s">
        <v>3348</v>
      </c>
      <c r="E1349" s="7771" t="s">
        <v>3349</v>
      </c>
      <c r="F1349" s="7771" t="s">
        <v>2377</v>
      </c>
      <c r="G1349" s="7771" t="s">
        <v>28</v>
      </c>
      <c r="H1349" s="7771" t="s">
        <v>28</v>
      </c>
      <c r="I1349" s="7771" t="s">
        <v>868</v>
      </c>
    </row>
    <row customHeight="1" ht="11.25">
      <c r="A1350" s="7771" t="s">
        <v>2266</v>
      </c>
      <c r="B1350" s="7771" t="s">
        <v>16</v>
      </c>
      <c r="C1350" s="7771" t="s">
        <v>5155</v>
      </c>
      <c r="D1350" s="7771" t="s">
        <v>5156</v>
      </c>
      <c r="E1350" s="7771" t="s">
        <v>2913</v>
      </c>
      <c r="F1350" s="7771" t="s">
        <v>5157</v>
      </c>
      <c r="G1350" s="7771" t="s">
        <v>5158</v>
      </c>
      <c r="H1350" s="7771" t="s">
        <v>28</v>
      </c>
      <c r="I1350" s="7771" t="s">
        <v>868</v>
      </c>
    </row>
    <row customHeight="1" ht="11.25">
      <c r="A1351" s="7771" t="s">
        <v>2266</v>
      </c>
      <c r="B1351" s="7771" t="s">
        <v>16</v>
      </c>
      <c r="C1351" s="7771" t="s">
        <v>5159</v>
      </c>
      <c r="D1351" s="7771" t="s">
        <v>5160</v>
      </c>
      <c r="E1351" s="7771" t="s">
        <v>5161</v>
      </c>
      <c r="F1351" s="7771" t="s">
        <v>2592</v>
      </c>
      <c r="G1351" s="7771" t="s">
        <v>28</v>
      </c>
      <c r="H1351" s="7771" t="s">
        <v>28</v>
      </c>
      <c r="I1351" s="7771" t="s">
        <v>868</v>
      </c>
    </row>
    <row customHeight="1" ht="11.25">
      <c r="A1352" s="7771" t="s">
        <v>2266</v>
      </c>
      <c r="B1352" s="7771" t="s">
        <v>16</v>
      </c>
      <c r="C1352" s="7771" t="s">
        <v>5162</v>
      </c>
      <c r="D1352" s="7771" t="s">
        <v>5163</v>
      </c>
      <c r="E1352" s="7771" t="s">
        <v>5164</v>
      </c>
      <c r="F1352" s="7771" t="s">
        <v>2592</v>
      </c>
      <c r="G1352" s="7771" t="s">
        <v>28</v>
      </c>
      <c r="H1352" s="7771" t="s">
        <v>28</v>
      </c>
      <c r="I1352" s="7771" t="s">
        <v>868</v>
      </c>
    </row>
    <row customHeight="1" ht="11.25">
      <c r="A1353" s="7771" t="s">
        <v>2266</v>
      </c>
      <c r="B1353" s="7771" t="s">
        <v>16</v>
      </c>
      <c r="C1353" s="7771" t="s">
        <v>3353</v>
      </c>
      <c r="D1353" s="7771" t="s">
        <v>3354</v>
      </c>
      <c r="E1353" s="7771" t="s">
        <v>3355</v>
      </c>
      <c r="F1353" s="7771" t="s">
        <v>2342</v>
      </c>
      <c r="G1353" s="7771" t="s">
        <v>3356</v>
      </c>
      <c r="H1353" s="7771" t="s">
        <v>28</v>
      </c>
      <c r="I1353" s="7771" t="s">
        <v>868</v>
      </c>
    </row>
    <row customHeight="1" ht="11.25">
      <c r="A1354" s="7771" t="s">
        <v>2266</v>
      </c>
      <c r="B1354" s="7771" t="s">
        <v>16</v>
      </c>
      <c r="C1354" s="7771" t="s">
        <v>3357</v>
      </c>
      <c r="D1354" s="7771" t="s">
        <v>3358</v>
      </c>
      <c r="E1354" s="7771" t="s">
        <v>3359</v>
      </c>
      <c r="F1354" s="7771" t="s">
        <v>2468</v>
      </c>
      <c r="G1354" s="7771" t="s">
        <v>3360</v>
      </c>
      <c r="H1354" s="7771" t="s">
        <v>28</v>
      </c>
      <c r="I1354" s="7771" t="s">
        <v>868</v>
      </c>
    </row>
    <row customHeight="1" ht="11.25">
      <c r="A1355" s="7771" t="s">
        <v>2266</v>
      </c>
      <c r="B1355" s="7771" t="s">
        <v>16</v>
      </c>
      <c r="C1355" s="7771" t="s">
        <v>5165</v>
      </c>
      <c r="D1355" s="7771" t="s">
        <v>5166</v>
      </c>
      <c r="E1355" s="7771" t="s">
        <v>5167</v>
      </c>
      <c r="F1355" s="7771" t="s">
        <v>2280</v>
      </c>
      <c r="G1355" s="7771" t="s">
        <v>28</v>
      </c>
      <c r="H1355" s="7771" t="s">
        <v>28</v>
      </c>
      <c r="I1355" s="7771" t="s">
        <v>868</v>
      </c>
    </row>
    <row customHeight="1" ht="11.25">
      <c r="A1356" s="7771" t="s">
        <v>2266</v>
      </c>
      <c r="B1356" s="7771" t="s">
        <v>16</v>
      </c>
      <c r="C1356" s="7771" t="s">
        <v>5168</v>
      </c>
      <c r="D1356" s="7771" t="s">
        <v>5169</v>
      </c>
      <c r="E1356" s="7771" t="s">
        <v>5170</v>
      </c>
      <c r="F1356" s="7771" t="s">
        <v>2463</v>
      </c>
      <c r="G1356" s="7771" t="s">
        <v>28</v>
      </c>
      <c r="H1356" s="7771" t="s">
        <v>28</v>
      </c>
      <c r="I1356" s="7771" t="s">
        <v>868</v>
      </c>
    </row>
    <row customHeight="1" ht="11.25">
      <c r="A1357" s="7771" t="s">
        <v>2266</v>
      </c>
      <c r="B1357" s="7771" t="s">
        <v>16</v>
      </c>
      <c r="C1357" s="7771" t="s">
        <v>5171</v>
      </c>
      <c r="D1357" s="7771" t="s">
        <v>5172</v>
      </c>
      <c r="E1357" s="7771" t="s">
        <v>5173</v>
      </c>
      <c r="F1357" s="7771" t="s">
        <v>2295</v>
      </c>
      <c r="G1357" s="7771" t="s">
        <v>28</v>
      </c>
      <c r="H1357" s="7771" t="s">
        <v>28</v>
      </c>
      <c r="I1357" s="7771" t="s">
        <v>868</v>
      </c>
    </row>
    <row customHeight="1" ht="11.25">
      <c r="A1358" s="7771" t="s">
        <v>2266</v>
      </c>
      <c r="B1358" s="7771" t="s">
        <v>16</v>
      </c>
      <c r="C1358" s="7771" t="s">
        <v>5174</v>
      </c>
      <c r="D1358" s="7771" t="s">
        <v>5175</v>
      </c>
      <c r="E1358" s="7771" t="s">
        <v>5176</v>
      </c>
      <c r="F1358" s="7771" t="s">
        <v>2446</v>
      </c>
      <c r="G1358" s="7771" t="s">
        <v>28</v>
      </c>
      <c r="H1358" s="7771" t="s">
        <v>28</v>
      </c>
      <c r="I1358" s="7771" t="s">
        <v>868</v>
      </c>
    </row>
    <row customHeight="1" ht="11.25">
      <c r="A1359" s="7771" t="s">
        <v>2266</v>
      </c>
      <c r="B1359" s="7771" t="s">
        <v>16</v>
      </c>
      <c r="C1359" s="7771" t="s">
        <v>5177</v>
      </c>
      <c r="D1359" s="7771" t="s">
        <v>5178</v>
      </c>
      <c r="E1359" s="7771" t="s">
        <v>5179</v>
      </c>
      <c r="F1359" s="7771" t="s">
        <v>2629</v>
      </c>
      <c r="G1359" s="7771" t="s">
        <v>28</v>
      </c>
      <c r="H1359" s="7771" t="s">
        <v>28</v>
      </c>
      <c r="I1359" s="7771" t="s">
        <v>868</v>
      </c>
    </row>
    <row customHeight="1" ht="11.25">
      <c r="A1360" s="7771" t="s">
        <v>2266</v>
      </c>
      <c r="B1360" s="7771" t="s">
        <v>16</v>
      </c>
      <c r="C1360" s="7771" t="s">
        <v>5180</v>
      </c>
      <c r="D1360" s="7771" t="s">
        <v>5181</v>
      </c>
      <c r="E1360" s="7771" t="s">
        <v>5182</v>
      </c>
      <c r="F1360" s="7771" t="s">
        <v>3726</v>
      </c>
      <c r="G1360" s="7771" t="s">
        <v>28</v>
      </c>
      <c r="H1360" s="7771" t="s">
        <v>28</v>
      </c>
      <c r="I1360" s="7771" t="s">
        <v>868</v>
      </c>
    </row>
    <row customHeight="1" ht="11.25">
      <c r="A1361" s="7771" t="s">
        <v>2266</v>
      </c>
      <c r="B1361" s="7771" t="s">
        <v>16</v>
      </c>
      <c r="C1361" s="7771" t="s">
        <v>5183</v>
      </c>
      <c r="D1361" s="7771" t="s">
        <v>5184</v>
      </c>
      <c r="E1361" s="7771" t="s">
        <v>5185</v>
      </c>
      <c r="F1361" s="7771" t="s">
        <v>2592</v>
      </c>
      <c r="G1361" s="7771" t="s">
        <v>28</v>
      </c>
      <c r="H1361" s="7771" t="s">
        <v>28</v>
      </c>
      <c r="I1361" s="7771" t="s">
        <v>868</v>
      </c>
    </row>
    <row customHeight="1" ht="11.25">
      <c r="A1362" s="7771" t="s">
        <v>2266</v>
      </c>
      <c r="B1362" s="7771" t="s">
        <v>16</v>
      </c>
      <c r="C1362" s="7771" t="s">
        <v>5186</v>
      </c>
      <c r="D1362" s="7771" t="s">
        <v>5187</v>
      </c>
      <c r="E1362" s="7771" t="s">
        <v>5188</v>
      </c>
      <c r="F1362" s="7771" t="s">
        <v>2446</v>
      </c>
      <c r="G1362" s="7771" t="s">
        <v>28</v>
      </c>
      <c r="H1362" s="7771" t="s">
        <v>28</v>
      </c>
      <c r="I1362" s="7771" t="s">
        <v>868</v>
      </c>
    </row>
    <row customHeight="1" ht="11.25">
      <c r="A1363" s="7771" t="s">
        <v>2266</v>
      </c>
      <c r="B1363" s="7771" t="s">
        <v>16</v>
      </c>
      <c r="C1363" s="7771" t="s">
        <v>3387</v>
      </c>
      <c r="D1363" s="7771" t="s">
        <v>3388</v>
      </c>
      <c r="E1363" s="7771" t="s">
        <v>3295</v>
      </c>
      <c r="F1363" s="7771" t="s">
        <v>2463</v>
      </c>
      <c r="G1363" s="7771" t="s">
        <v>28</v>
      </c>
      <c r="H1363" s="7771" t="s">
        <v>28</v>
      </c>
      <c r="I1363" s="7771" t="s">
        <v>868</v>
      </c>
    </row>
    <row customHeight="1" ht="11.25">
      <c r="A1364" s="7771" t="s">
        <v>2266</v>
      </c>
      <c r="B1364" s="7771" t="s">
        <v>16</v>
      </c>
      <c r="C1364" s="7771" t="s">
        <v>5189</v>
      </c>
      <c r="D1364" s="7771" t="s">
        <v>5190</v>
      </c>
      <c r="E1364" s="7771" t="s">
        <v>5191</v>
      </c>
      <c r="F1364" s="7771" t="s">
        <v>2800</v>
      </c>
      <c r="G1364" s="7771" t="s">
        <v>28</v>
      </c>
      <c r="H1364" s="7771" t="s">
        <v>28</v>
      </c>
      <c r="I1364" s="7771" t="s">
        <v>868</v>
      </c>
    </row>
    <row customHeight="1" ht="11.25">
      <c r="A1365" s="7771" t="s">
        <v>2266</v>
      </c>
      <c r="B1365" s="7771" t="s">
        <v>16</v>
      </c>
      <c r="C1365" s="7771" t="s">
        <v>3399</v>
      </c>
      <c r="D1365" s="7771" t="s">
        <v>3400</v>
      </c>
      <c r="E1365" s="7771" t="s">
        <v>3401</v>
      </c>
      <c r="F1365" s="7771" t="s">
        <v>2280</v>
      </c>
      <c r="G1365" s="7771" t="s">
        <v>3402</v>
      </c>
      <c r="H1365" s="7771" t="s">
        <v>28</v>
      </c>
      <c r="I1365" s="7771" t="s">
        <v>868</v>
      </c>
    </row>
    <row customHeight="1" ht="11.25">
      <c r="A1366" s="7771" t="s">
        <v>2266</v>
      </c>
      <c r="B1366" s="7771" t="s">
        <v>16</v>
      </c>
      <c r="C1366" s="7771" t="s">
        <v>3406</v>
      </c>
      <c r="D1366" s="7771" t="s">
        <v>3407</v>
      </c>
      <c r="E1366" s="7771" t="s">
        <v>3408</v>
      </c>
      <c r="F1366" s="7771" t="s">
        <v>2518</v>
      </c>
      <c r="G1366" s="7771" t="s">
        <v>2584</v>
      </c>
      <c r="H1366" s="7771" t="s">
        <v>28</v>
      </c>
      <c r="I1366" s="7771" t="s">
        <v>868</v>
      </c>
    </row>
    <row customHeight="1" ht="11.25">
      <c r="A1367" s="7771" t="s">
        <v>2266</v>
      </c>
      <c r="B1367" s="7771" t="s">
        <v>16</v>
      </c>
      <c r="C1367" s="7771" t="s">
        <v>3409</v>
      </c>
      <c r="D1367" s="7771" t="s">
        <v>3410</v>
      </c>
      <c r="E1367" s="7771" t="s">
        <v>3411</v>
      </c>
      <c r="F1367" s="7771" t="s">
        <v>2770</v>
      </c>
      <c r="G1367" s="7771" t="s">
        <v>3412</v>
      </c>
      <c r="H1367" s="7771" t="s">
        <v>28</v>
      </c>
      <c r="I1367" s="7771" t="s">
        <v>868</v>
      </c>
    </row>
    <row customHeight="1" ht="11.25">
      <c r="A1368" s="7771" t="s">
        <v>2266</v>
      </c>
      <c r="B1368" s="7771" t="s">
        <v>16</v>
      </c>
      <c r="C1368" s="7771" t="s">
        <v>3413</v>
      </c>
      <c r="D1368" s="7771" t="s">
        <v>3414</v>
      </c>
      <c r="E1368" s="7771" t="s">
        <v>3415</v>
      </c>
      <c r="F1368" s="7771" t="s">
        <v>2347</v>
      </c>
      <c r="G1368" s="7771" t="s">
        <v>3416</v>
      </c>
      <c r="H1368" s="7771" t="s">
        <v>28</v>
      </c>
      <c r="I1368" s="7771" t="s">
        <v>868</v>
      </c>
    </row>
    <row customHeight="1" ht="11.25">
      <c r="A1369" s="7771" t="s">
        <v>2266</v>
      </c>
      <c r="B1369" s="7771" t="s">
        <v>16</v>
      </c>
      <c r="C1369" s="7771" t="s">
        <v>4790</v>
      </c>
      <c r="D1369" s="7771" t="s">
        <v>4791</v>
      </c>
      <c r="E1369" s="7771" t="s">
        <v>4792</v>
      </c>
      <c r="F1369" s="7771" t="s">
        <v>3679</v>
      </c>
      <c r="G1369" s="7771" t="s">
        <v>4793</v>
      </c>
      <c r="H1369" s="7771" t="s">
        <v>28</v>
      </c>
      <c r="I1369" s="7771" t="s">
        <v>868</v>
      </c>
    </row>
    <row customHeight="1" ht="11.25">
      <c r="A1370" s="7771" t="s">
        <v>2266</v>
      </c>
      <c r="B1370" s="7771" t="s">
        <v>16</v>
      </c>
      <c r="C1370" s="7771" t="s">
        <v>5192</v>
      </c>
      <c r="D1370" s="7771" t="s">
        <v>5193</v>
      </c>
      <c r="E1370" s="7771" t="s">
        <v>5194</v>
      </c>
      <c r="F1370" s="7771" t="s">
        <v>2372</v>
      </c>
      <c r="G1370" s="7771" t="s">
        <v>28</v>
      </c>
      <c r="H1370" s="7771" t="s">
        <v>28</v>
      </c>
      <c r="I1370" s="7771" t="s">
        <v>868</v>
      </c>
    </row>
    <row customHeight="1" ht="11.25">
      <c r="A1371" s="7771" t="s">
        <v>2266</v>
      </c>
      <c r="B1371" s="7771" t="s">
        <v>16</v>
      </c>
      <c r="C1371" s="7771" t="s">
        <v>5195</v>
      </c>
      <c r="D1371" s="7771" t="s">
        <v>5196</v>
      </c>
      <c r="E1371" s="7771" t="s">
        <v>5197</v>
      </c>
      <c r="F1371" s="7771" t="s">
        <v>2377</v>
      </c>
      <c r="G1371" s="7771" t="s">
        <v>28</v>
      </c>
      <c r="H1371" s="7771" t="s">
        <v>28</v>
      </c>
      <c r="I1371" s="7771" t="s">
        <v>868</v>
      </c>
    </row>
    <row customHeight="1" ht="11.25">
      <c r="A1372" s="7771" t="s">
        <v>2266</v>
      </c>
      <c r="B1372" s="7771" t="s">
        <v>16</v>
      </c>
      <c r="C1372" s="7771" t="s">
        <v>5198</v>
      </c>
      <c r="D1372" s="7771" t="s">
        <v>5199</v>
      </c>
      <c r="E1372" s="7771" t="s">
        <v>5200</v>
      </c>
      <c r="F1372" s="7771" t="s">
        <v>2739</v>
      </c>
      <c r="G1372" s="7771" t="s">
        <v>5201</v>
      </c>
      <c r="H1372" s="7771" t="s">
        <v>28</v>
      </c>
      <c r="I1372" s="7771" t="s">
        <v>868</v>
      </c>
    </row>
    <row customHeight="1" ht="11.25">
      <c r="A1373" s="7771" t="s">
        <v>2266</v>
      </c>
      <c r="B1373" s="7771" t="s">
        <v>16</v>
      </c>
      <c r="C1373" s="7771" t="s">
        <v>3429</v>
      </c>
      <c r="D1373" s="7771" t="s">
        <v>3430</v>
      </c>
      <c r="E1373" s="7771" t="s">
        <v>3431</v>
      </c>
      <c r="F1373" s="7771" t="s">
        <v>2518</v>
      </c>
      <c r="G1373" s="7771" t="s">
        <v>3432</v>
      </c>
      <c r="H1373" s="7771" t="s">
        <v>28</v>
      </c>
      <c r="I1373" s="7771" t="s">
        <v>868</v>
      </c>
    </row>
    <row customHeight="1" ht="11.25">
      <c r="A1374" s="7771" t="s">
        <v>2266</v>
      </c>
      <c r="B1374" s="7771" t="s">
        <v>16</v>
      </c>
      <c r="C1374" s="7771" t="s">
        <v>5202</v>
      </c>
      <c r="D1374" s="7771" t="s">
        <v>5203</v>
      </c>
      <c r="E1374" s="7771" t="s">
        <v>5204</v>
      </c>
      <c r="F1374" s="7771" t="s">
        <v>4359</v>
      </c>
      <c r="G1374" s="7771" t="s">
        <v>28</v>
      </c>
      <c r="H1374" s="7771" t="s">
        <v>28</v>
      </c>
      <c r="I1374" s="7771" t="s">
        <v>868</v>
      </c>
    </row>
    <row customHeight="1" ht="11.25">
      <c r="A1375" s="7771" t="s">
        <v>2266</v>
      </c>
      <c r="B1375" s="7771" t="s">
        <v>16</v>
      </c>
      <c r="C1375" s="7771" t="s">
        <v>5205</v>
      </c>
      <c r="D1375" s="7771" t="s">
        <v>5206</v>
      </c>
      <c r="E1375" s="7771" t="s">
        <v>5207</v>
      </c>
      <c r="F1375" s="7771" t="s">
        <v>2372</v>
      </c>
      <c r="G1375" s="7771" t="s">
        <v>5208</v>
      </c>
      <c r="H1375" s="7771" t="s">
        <v>28</v>
      </c>
      <c r="I1375" s="7771" t="s">
        <v>868</v>
      </c>
    </row>
    <row customHeight="1" ht="11.25">
      <c r="A1376" s="7771" t="s">
        <v>2266</v>
      </c>
      <c r="B1376" s="7771" t="s">
        <v>16</v>
      </c>
      <c r="C1376" s="7771" t="s">
        <v>5209</v>
      </c>
      <c r="D1376" s="7771" t="s">
        <v>5210</v>
      </c>
      <c r="E1376" s="7771" t="s">
        <v>5211</v>
      </c>
      <c r="F1376" s="7771" t="s">
        <v>2280</v>
      </c>
      <c r="G1376" s="7771" t="s">
        <v>5212</v>
      </c>
      <c r="H1376" s="7771" t="s">
        <v>28</v>
      </c>
      <c r="I1376" s="7771" t="s">
        <v>868</v>
      </c>
    </row>
    <row customHeight="1" ht="11.25">
      <c r="A1377" s="7771" t="s">
        <v>2266</v>
      </c>
      <c r="B1377" s="7771" t="s">
        <v>16</v>
      </c>
      <c r="C1377" s="7771" t="s">
        <v>5213</v>
      </c>
      <c r="D1377" s="7771" t="s">
        <v>5214</v>
      </c>
      <c r="E1377" s="7771" t="s">
        <v>5215</v>
      </c>
      <c r="F1377" s="7771" t="s">
        <v>2360</v>
      </c>
      <c r="G1377" s="7771" t="s">
        <v>5216</v>
      </c>
      <c r="H1377" s="7771" t="s">
        <v>28</v>
      </c>
      <c r="I1377" s="7771" t="s">
        <v>868</v>
      </c>
    </row>
    <row customHeight="1" ht="11.25">
      <c r="A1378" s="7771" t="s">
        <v>2266</v>
      </c>
      <c r="B1378" s="7771" t="s">
        <v>16</v>
      </c>
      <c r="C1378" s="7771" t="s">
        <v>3436</v>
      </c>
      <c r="D1378" s="7771" t="s">
        <v>3437</v>
      </c>
      <c r="E1378" s="7771" t="s">
        <v>3438</v>
      </c>
      <c r="F1378" s="7771" t="s">
        <v>2285</v>
      </c>
      <c r="G1378" s="7771" t="s">
        <v>3439</v>
      </c>
      <c r="H1378" s="7771" t="s">
        <v>28</v>
      </c>
      <c r="I1378" s="7771" t="s">
        <v>868</v>
      </c>
    </row>
    <row customHeight="1" ht="11.25">
      <c r="A1379" s="7771" t="s">
        <v>2266</v>
      </c>
      <c r="B1379" s="7771" t="s">
        <v>16</v>
      </c>
      <c r="C1379" s="7771" t="s">
        <v>3447</v>
      </c>
      <c r="D1379" s="7771" t="s">
        <v>3448</v>
      </c>
      <c r="E1379" s="7771" t="s">
        <v>3449</v>
      </c>
      <c r="F1379" s="7771" t="s">
        <v>2347</v>
      </c>
      <c r="G1379" s="7771" t="s">
        <v>28</v>
      </c>
      <c r="H1379" s="7771" t="s">
        <v>28</v>
      </c>
      <c r="I1379" s="7771" t="s">
        <v>868</v>
      </c>
    </row>
    <row customHeight="1" ht="11.25">
      <c r="A1380" s="7771" t="s">
        <v>2266</v>
      </c>
      <c r="B1380" s="7771" t="s">
        <v>16</v>
      </c>
      <c r="C1380" s="7771" t="s">
        <v>5217</v>
      </c>
      <c r="D1380" s="7771" t="s">
        <v>5218</v>
      </c>
      <c r="E1380" s="7771" t="s">
        <v>5219</v>
      </c>
      <c r="F1380" s="7771" t="s">
        <v>2352</v>
      </c>
      <c r="G1380" s="7771" t="s">
        <v>5220</v>
      </c>
      <c r="H1380" s="7771" t="s">
        <v>28</v>
      </c>
      <c r="I1380" s="7771" t="s">
        <v>868</v>
      </c>
    </row>
    <row customHeight="1" ht="11.25">
      <c r="A1381" s="7771" t="s">
        <v>2266</v>
      </c>
      <c r="B1381" s="7771" t="s">
        <v>16</v>
      </c>
      <c r="C1381" s="7771" t="s">
        <v>5221</v>
      </c>
      <c r="D1381" s="7771" t="s">
        <v>5222</v>
      </c>
      <c r="E1381" s="7771" t="s">
        <v>5223</v>
      </c>
      <c r="F1381" s="7771" t="s">
        <v>2285</v>
      </c>
      <c r="G1381" s="7771" t="s">
        <v>5224</v>
      </c>
      <c r="H1381" s="7771" t="s">
        <v>28</v>
      </c>
      <c r="I1381" s="7771" t="s">
        <v>868</v>
      </c>
    </row>
    <row customHeight="1" ht="11.25">
      <c r="A1382" s="7771" t="s">
        <v>2266</v>
      </c>
      <c r="B1382" s="7771" t="s">
        <v>16</v>
      </c>
      <c r="C1382" s="7771" t="s">
        <v>3456</v>
      </c>
      <c r="D1382" s="7771" t="s">
        <v>3454</v>
      </c>
      <c r="E1382" s="7771" t="s">
        <v>3455</v>
      </c>
      <c r="F1382" s="7771" t="s">
        <v>3457</v>
      </c>
      <c r="G1382" s="7771" t="s">
        <v>3458</v>
      </c>
      <c r="H1382" s="7771" t="s">
        <v>28</v>
      </c>
      <c r="I1382" s="7771" t="s">
        <v>868</v>
      </c>
    </row>
    <row customHeight="1" ht="11.25">
      <c r="A1383" s="7771" t="s">
        <v>2266</v>
      </c>
      <c r="B1383" s="7771" t="s">
        <v>16</v>
      </c>
      <c r="C1383" s="7771" t="s">
        <v>3467</v>
      </c>
      <c r="D1383" s="7771" t="s">
        <v>3468</v>
      </c>
      <c r="E1383" s="7771" t="s">
        <v>3469</v>
      </c>
      <c r="F1383" s="7771" t="s">
        <v>2933</v>
      </c>
      <c r="G1383" s="7771" t="s">
        <v>3470</v>
      </c>
      <c r="H1383" s="7771" t="s">
        <v>28</v>
      </c>
      <c r="I1383" s="7771" t="s">
        <v>868</v>
      </c>
    </row>
    <row customHeight="1" ht="11.25">
      <c r="A1384" s="7771" t="s">
        <v>2266</v>
      </c>
      <c r="B1384" s="7771" t="s">
        <v>16</v>
      </c>
      <c r="C1384" s="7771" t="s">
        <v>3471</v>
      </c>
      <c r="D1384" s="7771" t="s">
        <v>3472</v>
      </c>
      <c r="E1384" s="7771" t="s">
        <v>3473</v>
      </c>
      <c r="F1384" s="7771" t="s">
        <v>2280</v>
      </c>
      <c r="G1384" s="7771" t="s">
        <v>28</v>
      </c>
      <c r="H1384" s="7771" t="s">
        <v>28</v>
      </c>
      <c r="I1384" s="7771" t="s">
        <v>868</v>
      </c>
    </row>
    <row customHeight="1" ht="11.25">
      <c r="A1385" s="7771" t="s">
        <v>2266</v>
      </c>
      <c r="B1385" s="7771" t="s">
        <v>16</v>
      </c>
      <c r="C1385" s="7771" t="s">
        <v>5225</v>
      </c>
      <c r="D1385" s="7771" t="s">
        <v>5226</v>
      </c>
      <c r="E1385" s="7771" t="s">
        <v>5227</v>
      </c>
      <c r="F1385" s="7771" t="s">
        <v>5228</v>
      </c>
      <c r="G1385" s="7771" t="s">
        <v>28</v>
      </c>
      <c r="H1385" s="7771" t="s">
        <v>28</v>
      </c>
      <c r="I1385" s="7771" t="s">
        <v>868</v>
      </c>
    </row>
    <row customHeight="1" ht="11.25">
      <c r="A1386" s="7771" t="s">
        <v>2266</v>
      </c>
      <c r="B1386" s="7771" t="s">
        <v>16</v>
      </c>
      <c r="C1386" s="7771" t="s">
        <v>5229</v>
      </c>
      <c r="D1386" s="7771" t="s">
        <v>5230</v>
      </c>
      <c r="E1386" s="7771" t="s">
        <v>5231</v>
      </c>
      <c r="F1386" s="7771" t="s">
        <v>2592</v>
      </c>
      <c r="G1386" s="7771" t="s">
        <v>2404</v>
      </c>
      <c r="H1386" s="7771" t="s">
        <v>28</v>
      </c>
      <c r="I1386" s="7771" t="s">
        <v>868</v>
      </c>
    </row>
    <row customHeight="1" ht="11.25">
      <c r="A1387" s="7771" t="s">
        <v>2266</v>
      </c>
      <c r="B1387" s="7771" t="s">
        <v>16</v>
      </c>
      <c r="C1387" s="7771" t="s">
        <v>5232</v>
      </c>
      <c r="D1387" s="7771" t="s">
        <v>5233</v>
      </c>
      <c r="E1387" s="7771" t="s">
        <v>5234</v>
      </c>
      <c r="F1387" s="7771" t="s">
        <v>2290</v>
      </c>
      <c r="G1387" s="7771" t="s">
        <v>5235</v>
      </c>
      <c r="H1387" s="7771" t="s">
        <v>28</v>
      </c>
      <c r="I1387" s="7771" t="s">
        <v>868</v>
      </c>
    </row>
    <row customHeight="1" ht="11.25">
      <c r="A1388" s="7771" t="s">
        <v>2266</v>
      </c>
      <c r="B1388" s="7771" t="s">
        <v>16</v>
      </c>
      <c r="C1388" s="7771" t="s">
        <v>5236</v>
      </c>
      <c r="D1388" s="7771" t="s">
        <v>5237</v>
      </c>
      <c r="E1388" s="7771" t="s">
        <v>5238</v>
      </c>
      <c r="F1388" s="7771" t="s">
        <v>2446</v>
      </c>
      <c r="G1388" s="7771" t="s">
        <v>5239</v>
      </c>
      <c r="H1388" s="7771" t="s">
        <v>28</v>
      </c>
      <c r="I1388" s="7771" t="s">
        <v>868</v>
      </c>
    </row>
    <row customHeight="1" ht="11.25">
      <c r="A1389" s="7771" t="s">
        <v>2266</v>
      </c>
      <c r="B1389" s="7771" t="s">
        <v>16</v>
      </c>
      <c r="C1389" s="7771" t="s">
        <v>3485</v>
      </c>
      <c r="D1389" s="7771" t="s">
        <v>3486</v>
      </c>
      <c r="E1389" s="7771" t="s">
        <v>3487</v>
      </c>
      <c r="F1389" s="7771" t="s">
        <v>2933</v>
      </c>
      <c r="G1389" s="7771" t="s">
        <v>28</v>
      </c>
      <c r="H1389" s="7771" t="s">
        <v>28</v>
      </c>
      <c r="I1389" s="7771" t="s">
        <v>868</v>
      </c>
    </row>
    <row customHeight="1" ht="11.25">
      <c r="A1390" s="7771" t="s">
        <v>2266</v>
      </c>
      <c r="B1390" s="7771" t="s">
        <v>16</v>
      </c>
      <c r="C1390" s="7771" t="s">
        <v>5240</v>
      </c>
      <c r="D1390" s="7771" t="s">
        <v>5241</v>
      </c>
      <c r="E1390" s="7771" t="s">
        <v>5242</v>
      </c>
      <c r="F1390" s="7771" t="s">
        <v>2377</v>
      </c>
      <c r="G1390" s="7771" t="s">
        <v>28</v>
      </c>
      <c r="H1390" s="7771" t="s">
        <v>28</v>
      </c>
      <c r="I1390" s="7771" t="s">
        <v>868</v>
      </c>
    </row>
    <row customHeight="1" ht="11.25">
      <c r="A1391" s="7771" t="s">
        <v>2266</v>
      </c>
      <c r="B1391" s="7771" t="s">
        <v>16</v>
      </c>
      <c r="C1391" s="7771" t="s">
        <v>5243</v>
      </c>
      <c r="D1391" s="7771" t="s">
        <v>5244</v>
      </c>
      <c r="E1391" s="7771" t="s">
        <v>5245</v>
      </c>
      <c r="F1391" s="7771" t="s">
        <v>2745</v>
      </c>
      <c r="G1391" s="7771" t="s">
        <v>5246</v>
      </c>
      <c r="H1391" s="7771" t="s">
        <v>28</v>
      </c>
      <c r="I1391" s="7771" t="s">
        <v>868</v>
      </c>
    </row>
    <row customHeight="1" ht="11.25">
      <c r="A1392" s="7771" t="s">
        <v>2266</v>
      </c>
      <c r="B1392" s="7771" t="s">
        <v>16</v>
      </c>
      <c r="C1392" s="7771" t="s">
        <v>5247</v>
      </c>
      <c r="D1392" s="7771" t="s">
        <v>5248</v>
      </c>
      <c r="E1392" s="7771" t="s">
        <v>5249</v>
      </c>
      <c r="F1392" s="7771" t="s">
        <v>5250</v>
      </c>
      <c r="G1392" s="7771" t="s">
        <v>5251</v>
      </c>
      <c r="H1392" s="7771" t="s">
        <v>28</v>
      </c>
      <c r="I1392" s="7771" t="s">
        <v>868</v>
      </c>
    </row>
    <row customHeight="1" ht="11.25">
      <c r="A1393" s="7771" t="s">
        <v>2266</v>
      </c>
      <c r="B1393" s="7771" t="s">
        <v>16</v>
      </c>
      <c r="C1393" s="7771" t="s">
        <v>5252</v>
      </c>
      <c r="D1393" s="7771" t="s">
        <v>5253</v>
      </c>
      <c r="E1393" s="7771" t="s">
        <v>5254</v>
      </c>
      <c r="F1393" s="7771" t="s">
        <v>2441</v>
      </c>
      <c r="G1393" s="7771" t="s">
        <v>5255</v>
      </c>
      <c r="H1393" s="7771" t="s">
        <v>28</v>
      </c>
      <c r="I1393" s="7771" t="s">
        <v>868</v>
      </c>
    </row>
    <row customHeight="1" ht="11.25">
      <c r="A1394" s="7771" t="s">
        <v>2266</v>
      </c>
      <c r="B1394" s="7771" t="s">
        <v>16</v>
      </c>
      <c r="C1394" s="7771" t="s">
        <v>5256</v>
      </c>
      <c r="D1394" s="7771" t="s">
        <v>5257</v>
      </c>
      <c r="E1394" s="7771" t="s">
        <v>5258</v>
      </c>
      <c r="F1394" s="7771" t="s">
        <v>2430</v>
      </c>
      <c r="G1394" s="7771" t="s">
        <v>5259</v>
      </c>
      <c r="H1394" s="7771" t="s">
        <v>28</v>
      </c>
      <c r="I1394" s="7771" t="s">
        <v>868</v>
      </c>
    </row>
    <row customHeight="1" ht="11.25">
      <c r="A1395" s="7771" t="s">
        <v>2266</v>
      </c>
      <c r="B1395" s="7771" t="s">
        <v>16</v>
      </c>
      <c r="C1395" s="7771" t="s">
        <v>5260</v>
      </c>
      <c r="D1395" s="7771" t="s">
        <v>5261</v>
      </c>
      <c r="E1395" s="7771" t="s">
        <v>5262</v>
      </c>
      <c r="F1395" s="7771" t="s">
        <v>2933</v>
      </c>
      <c r="G1395" s="7771" t="s">
        <v>28</v>
      </c>
      <c r="H1395" s="7771" t="s">
        <v>28</v>
      </c>
      <c r="I1395" s="7771" t="s">
        <v>868</v>
      </c>
    </row>
    <row customHeight="1" ht="11.25">
      <c r="A1396" s="7771" t="s">
        <v>2266</v>
      </c>
      <c r="B1396" s="7771" t="s">
        <v>16</v>
      </c>
      <c r="C1396" s="7771" t="s">
        <v>3517</v>
      </c>
      <c r="D1396" s="7771" t="s">
        <v>3518</v>
      </c>
      <c r="E1396" s="7771" t="s">
        <v>3519</v>
      </c>
      <c r="F1396" s="7771" t="s">
        <v>2300</v>
      </c>
      <c r="G1396" s="7771" t="s">
        <v>3520</v>
      </c>
      <c r="H1396" s="7771" t="s">
        <v>28</v>
      </c>
      <c r="I1396" s="7771" t="s">
        <v>868</v>
      </c>
    </row>
    <row customHeight="1" ht="11.25">
      <c r="A1397" s="7771" t="s">
        <v>2266</v>
      </c>
      <c r="B1397" s="7771" t="s">
        <v>16</v>
      </c>
      <c r="C1397" s="7771" t="s">
        <v>5263</v>
      </c>
      <c r="D1397" s="7771" t="s">
        <v>5264</v>
      </c>
      <c r="E1397" s="7771" t="s">
        <v>5265</v>
      </c>
      <c r="F1397" s="7771" t="s">
        <v>3528</v>
      </c>
      <c r="G1397" s="7771" t="s">
        <v>5266</v>
      </c>
      <c r="H1397" s="7771" t="s">
        <v>28</v>
      </c>
      <c r="I1397" s="7771" t="s">
        <v>868</v>
      </c>
    </row>
    <row customHeight="1" ht="11.25">
      <c r="A1398" s="7771" t="s">
        <v>2266</v>
      </c>
      <c r="B1398" s="7771" t="s">
        <v>16</v>
      </c>
      <c r="C1398" s="7771" t="s">
        <v>5267</v>
      </c>
      <c r="D1398" s="7771" t="s">
        <v>5268</v>
      </c>
      <c r="E1398" s="7771" t="s">
        <v>5269</v>
      </c>
      <c r="F1398" s="7771" t="s">
        <v>3626</v>
      </c>
      <c r="G1398" s="7771" t="s">
        <v>5270</v>
      </c>
      <c r="H1398" s="7771" t="s">
        <v>28</v>
      </c>
      <c r="I1398" s="7771" t="s">
        <v>868</v>
      </c>
    </row>
    <row customHeight="1" ht="11.25">
      <c r="A1399" s="7771" t="s">
        <v>2266</v>
      </c>
      <c r="B1399" s="7771" t="s">
        <v>16</v>
      </c>
      <c r="C1399" s="7771" t="s">
        <v>3529</v>
      </c>
      <c r="D1399" s="7771" t="s">
        <v>3530</v>
      </c>
      <c r="E1399" s="7771" t="s">
        <v>3531</v>
      </c>
      <c r="F1399" s="7771" t="s">
        <v>2347</v>
      </c>
      <c r="G1399" s="7771" t="s">
        <v>28</v>
      </c>
      <c r="H1399" s="7771" t="s">
        <v>28</v>
      </c>
      <c r="I1399" s="7771" t="s">
        <v>868</v>
      </c>
    </row>
    <row customHeight="1" ht="11.25">
      <c r="A1400" s="7771" t="s">
        <v>2266</v>
      </c>
      <c r="B1400" s="7771" t="s">
        <v>16</v>
      </c>
      <c r="C1400" s="7771" t="s">
        <v>3532</v>
      </c>
      <c r="D1400" s="7771" t="s">
        <v>3533</v>
      </c>
      <c r="E1400" s="7771" t="s">
        <v>3534</v>
      </c>
      <c r="F1400" s="7771" t="s">
        <v>2385</v>
      </c>
      <c r="G1400" s="7771" t="s">
        <v>3535</v>
      </c>
      <c r="H1400" s="7771" t="s">
        <v>28</v>
      </c>
      <c r="I1400" s="7771" t="s">
        <v>868</v>
      </c>
    </row>
    <row customHeight="1" ht="11.25">
      <c r="A1401" s="7771" t="s">
        <v>2266</v>
      </c>
      <c r="B1401" s="7771" t="s">
        <v>16</v>
      </c>
      <c r="C1401" s="7771" t="s">
        <v>5271</v>
      </c>
      <c r="D1401" s="7771" t="s">
        <v>5272</v>
      </c>
      <c r="E1401" s="7771" t="s">
        <v>5273</v>
      </c>
      <c r="F1401" s="7771" t="s">
        <v>2399</v>
      </c>
      <c r="G1401" s="7771" t="s">
        <v>5274</v>
      </c>
      <c r="H1401" s="7771" t="s">
        <v>28</v>
      </c>
      <c r="I1401" s="7771" t="s">
        <v>868</v>
      </c>
    </row>
    <row customHeight="1" ht="11.25">
      <c r="A1402" s="7771" t="s">
        <v>2266</v>
      </c>
      <c r="B1402" s="7771" t="s">
        <v>16</v>
      </c>
      <c r="C1402" s="7771" t="s">
        <v>5275</v>
      </c>
      <c r="D1402" s="7771" t="s">
        <v>5276</v>
      </c>
      <c r="E1402" s="7771" t="s">
        <v>5277</v>
      </c>
      <c r="F1402" s="7771" t="s">
        <v>2503</v>
      </c>
      <c r="G1402" s="7771" t="s">
        <v>28</v>
      </c>
      <c r="H1402" s="7771" t="s">
        <v>28</v>
      </c>
      <c r="I1402" s="7771" t="s">
        <v>868</v>
      </c>
    </row>
    <row customHeight="1" ht="11.25">
      <c r="A1403" s="7771" t="s">
        <v>2266</v>
      </c>
      <c r="B1403" s="7771" t="s">
        <v>16</v>
      </c>
      <c r="C1403" s="7771" t="s">
        <v>5278</v>
      </c>
      <c r="D1403" s="7771" t="s">
        <v>5279</v>
      </c>
      <c r="E1403" s="7771" t="s">
        <v>5280</v>
      </c>
      <c r="F1403" s="7771" t="s">
        <v>2347</v>
      </c>
      <c r="G1403" s="7771" t="s">
        <v>28</v>
      </c>
      <c r="H1403" s="7771" t="s">
        <v>28</v>
      </c>
      <c r="I1403" s="7771" t="s">
        <v>868</v>
      </c>
    </row>
    <row customHeight="1" ht="11.25">
      <c r="A1404" s="7771" t="s">
        <v>2266</v>
      </c>
      <c r="B1404" s="7771" t="s">
        <v>16</v>
      </c>
      <c r="C1404" s="7771" t="s">
        <v>5281</v>
      </c>
      <c r="D1404" s="7771" t="s">
        <v>3547</v>
      </c>
      <c r="E1404" s="7771" t="s">
        <v>3548</v>
      </c>
      <c r="F1404" s="7771" t="s">
        <v>5282</v>
      </c>
      <c r="G1404" s="7771" t="s">
        <v>28</v>
      </c>
      <c r="H1404" s="7771" t="s">
        <v>28</v>
      </c>
      <c r="I1404" s="7771" t="s">
        <v>868</v>
      </c>
    </row>
    <row customHeight="1" ht="11.25">
      <c r="A1405" s="7771" t="s">
        <v>2266</v>
      </c>
      <c r="B1405" s="7771" t="s">
        <v>16</v>
      </c>
      <c r="C1405" s="7771" t="s">
        <v>5283</v>
      </c>
      <c r="D1405" s="7771" t="s">
        <v>5284</v>
      </c>
      <c r="E1405" s="7771" t="s">
        <v>5285</v>
      </c>
      <c r="F1405" s="7771" t="s">
        <v>2425</v>
      </c>
      <c r="G1405" s="7771" t="s">
        <v>5286</v>
      </c>
      <c r="H1405" s="7771" t="s">
        <v>28</v>
      </c>
      <c r="I1405" s="7771" t="s">
        <v>868</v>
      </c>
    </row>
    <row customHeight="1" ht="11.25">
      <c r="A1406" s="7771" t="s">
        <v>2266</v>
      </c>
      <c r="B1406" s="7771" t="s">
        <v>16</v>
      </c>
      <c r="C1406" s="7771" t="s">
        <v>5287</v>
      </c>
      <c r="D1406" s="7771" t="s">
        <v>5288</v>
      </c>
      <c r="E1406" s="7771" t="s">
        <v>5289</v>
      </c>
      <c r="F1406" s="7771" t="s">
        <v>2360</v>
      </c>
      <c r="G1406" s="7771" t="s">
        <v>5290</v>
      </c>
      <c r="H1406" s="7771" t="s">
        <v>28</v>
      </c>
      <c r="I1406" s="7771" t="s">
        <v>868</v>
      </c>
    </row>
    <row customHeight="1" ht="11.25">
      <c r="A1407" s="7771" t="s">
        <v>2266</v>
      </c>
      <c r="B1407" s="7771" t="s">
        <v>16</v>
      </c>
      <c r="C1407" s="7771" t="s">
        <v>3563</v>
      </c>
      <c r="D1407" s="7771" t="s">
        <v>3564</v>
      </c>
      <c r="E1407" s="7771" t="s">
        <v>3565</v>
      </c>
      <c r="F1407" s="7771" t="s">
        <v>2800</v>
      </c>
      <c r="G1407" s="7771" t="s">
        <v>28</v>
      </c>
      <c r="H1407" s="7771" t="s">
        <v>28</v>
      </c>
      <c r="I1407" s="7771" t="s">
        <v>868</v>
      </c>
    </row>
    <row customHeight="1" ht="11.25">
      <c r="A1408" s="7771" t="s">
        <v>2266</v>
      </c>
      <c r="B1408" s="7771" t="s">
        <v>16</v>
      </c>
      <c r="C1408" s="7771" t="s">
        <v>3566</v>
      </c>
      <c r="D1408" s="7771" t="s">
        <v>3567</v>
      </c>
      <c r="E1408" s="7771" t="s">
        <v>3568</v>
      </c>
      <c r="F1408" s="7771" t="s">
        <v>2280</v>
      </c>
      <c r="G1408" s="7771" t="s">
        <v>3569</v>
      </c>
      <c r="H1408" s="7771" t="s">
        <v>28</v>
      </c>
      <c r="I1408" s="7771" t="s">
        <v>868</v>
      </c>
    </row>
    <row customHeight="1" ht="11.25">
      <c r="A1409" s="7771" t="s">
        <v>2266</v>
      </c>
      <c r="B1409" s="7771" t="s">
        <v>16</v>
      </c>
      <c r="C1409" s="7771" t="s">
        <v>3570</v>
      </c>
      <c r="D1409" s="7771" t="s">
        <v>3571</v>
      </c>
      <c r="E1409" s="7771" t="s">
        <v>3572</v>
      </c>
      <c r="F1409" s="7771" t="s">
        <v>3573</v>
      </c>
      <c r="G1409" s="7771" t="s">
        <v>3481</v>
      </c>
      <c r="H1409" s="7771" t="s">
        <v>28</v>
      </c>
      <c r="I1409" s="7771" t="s">
        <v>868</v>
      </c>
    </row>
    <row customHeight="1" ht="11.25">
      <c r="A1410" s="7771" t="s">
        <v>2266</v>
      </c>
      <c r="B1410" s="7771" t="s">
        <v>16</v>
      </c>
      <c r="C1410" s="7771" t="s">
        <v>5291</v>
      </c>
      <c r="D1410" s="7771" t="s">
        <v>5292</v>
      </c>
      <c r="E1410" s="7771" t="s">
        <v>5293</v>
      </c>
      <c r="F1410" s="7771" t="s">
        <v>2518</v>
      </c>
      <c r="G1410" s="7771" t="s">
        <v>5294</v>
      </c>
      <c r="H1410" s="7771" t="s">
        <v>28</v>
      </c>
      <c r="I1410" s="7771" t="s">
        <v>868</v>
      </c>
    </row>
    <row customHeight="1" ht="11.25">
      <c r="A1411" s="7771" t="s">
        <v>2266</v>
      </c>
      <c r="B1411" s="7771" t="s">
        <v>16</v>
      </c>
      <c r="C1411" s="7771" t="s">
        <v>5295</v>
      </c>
      <c r="D1411" s="7771" t="s">
        <v>5296</v>
      </c>
      <c r="E1411" s="7771" t="s">
        <v>5297</v>
      </c>
      <c r="F1411" s="7771" t="s">
        <v>2753</v>
      </c>
      <c r="G1411" s="7771" t="s">
        <v>5298</v>
      </c>
      <c r="H1411" s="7771" t="s">
        <v>28</v>
      </c>
      <c r="I1411" s="7771" t="s">
        <v>868</v>
      </c>
    </row>
    <row customHeight="1" ht="11.25">
      <c r="A1412" s="7771" t="s">
        <v>2266</v>
      </c>
      <c r="B1412" s="7771" t="s">
        <v>16</v>
      </c>
      <c r="C1412" s="7771" t="s">
        <v>5299</v>
      </c>
      <c r="D1412" s="7771" t="s">
        <v>5300</v>
      </c>
      <c r="E1412" s="7771" t="s">
        <v>5297</v>
      </c>
      <c r="F1412" s="7771" t="s">
        <v>5301</v>
      </c>
      <c r="G1412" s="7771" t="s">
        <v>28</v>
      </c>
      <c r="H1412" s="7771" t="s">
        <v>28</v>
      </c>
      <c r="I1412" s="7771" t="s">
        <v>868</v>
      </c>
    </row>
    <row customHeight="1" ht="11.25">
      <c r="A1413" s="7771" t="s">
        <v>2266</v>
      </c>
      <c r="B1413" s="7771" t="s">
        <v>16</v>
      </c>
      <c r="C1413" s="7771" t="s">
        <v>3574</v>
      </c>
      <c r="D1413" s="7771" t="s">
        <v>3575</v>
      </c>
      <c r="E1413" s="7771" t="s">
        <v>3576</v>
      </c>
      <c r="F1413" s="7771" t="s">
        <v>2655</v>
      </c>
      <c r="G1413" s="7771" t="s">
        <v>28</v>
      </c>
      <c r="H1413" s="7771" t="s">
        <v>28</v>
      </c>
      <c r="I1413" s="7771" t="s">
        <v>868</v>
      </c>
    </row>
    <row customHeight="1" ht="11.25">
      <c r="A1414" s="7771" t="s">
        <v>2266</v>
      </c>
      <c r="B1414" s="7771" t="s">
        <v>16</v>
      </c>
      <c r="C1414" s="7771" t="s">
        <v>3577</v>
      </c>
      <c r="D1414" s="7771" t="s">
        <v>3578</v>
      </c>
      <c r="E1414" s="7771" t="s">
        <v>3579</v>
      </c>
      <c r="F1414" s="7771" t="s">
        <v>2655</v>
      </c>
      <c r="G1414" s="7771" t="s">
        <v>3580</v>
      </c>
      <c r="H1414" s="7771" t="s">
        <v>28</v>
      </c>
      <c r="I1414" s="7771" t="s">
        <v>868</v>
      </c>
    </row>
    <row customHeight="1" ht="11.25">
      <c r="A1415" s="7771" t="s">
        <v>2266</v>
      </c>
      <c r="B1415" s="7771" t="s">
        <v>16</v>
      </c>
      <c r="C1415" s="7771" t="s">
        <v>5302</v>
      </c>
      <c r="D1415" s="7771" t="s">
        <v>3578</v>
      </c>
      <c r="E1415" s="7771" t="s">
        <v>5303</v>
      </c>
      <c r="F1415" s="7771" t="s">
        <v>2933</v>
      </c>
      <c r="G1415" s="7771" t="s">
        <v>28</v>
      </c>
      <c r="H1415" s="7771" t="s">
        <v>28</v>
      </c>
      <c r="I1415" s="7771" t="s">
        <v>868</v>
      </c>
    </row>
    <row customHeight="1" ht="11.25">
      <c r="A1416" s="7771" t="s">
        <v>2266</v>
      </c>
      <c r="B1416" s="7771" t="s">
        <v>16</v>
      </c>
      <c r="C1416" s="7771" t="s">
        <v>3581</v>
      </c>
      <c r="D1416" s="7771" t="s">
        <v>3582</v>
      </c>
      <c r="E1416" s="7771" t="s">
        <v>3583</v>
      </c>
      <c r="F1416" s="7771" t="s">
        <v>2503</v>
      </c>
      <c r="G1416" s="7771" t="s">
        <v>28</v>
      </c>
      <c r="H1416" s="7771" t="s">
        <v>28</v>
      </c>
      <c r="I1416" s="7771" t="s">
        <v>868</v>
      </c>
    </row>
    <row customHeight="1" ht="11.25">
      <c r="A1417" s="7771" t="s">
        <v>2266</v>
      </c>
      <c r="B1417" s="7771" t="s">
        <v>16</v>
      </c>
      <c r="C1417" s="7771" t="s">
        <v>3588</v>
      </c>
      <c r="D1417" s="7771" t="s">
        <v>3589</v>
      </c>
      <c r="E1417" s="7771" t="s">
        <v>3590</v>
      </c>
      <c r="F1417" s="7771" t="s">
        <v>2412</v>
      </c>
      <c r="G1417" s="7771" t="s">
        <v>28</v>
      </c>
      <c r="H1417" s="7771" t="s">
        <v>28</v>
      </c>
      <c r="I1417" s="7771" t="s">
        <v>868</v>
      </c>
    </row>
    <row customHeight="1" ht="11.25">
      <c r="A1418" s="7771" t="s">
        <v>2266</v>
      </c>
      <c r="B1418" s="7771" t="s">
        <v>16</v>
      </c>
      <c r="C1418" s="7771" t="s">
        <v>3591</v>
      </c>
      <c r="D1418" s="7771" t="s">
        <v>3592</v>
      </c>
      <c r="E1418" s="7771" t="s">
        <v>3593</v>
      </c>
      <c r="F1418" s="7771" t="s">
        <v>2800</v>
      </c>
      <c r="G1418" s="7771" t="s">
        <v>28</v>
      </c>
      <c r="H1418" s="7771" t="s">
        <v>28</v>
      </c>
      <c r="I1418" s="7771" t="s">
        <v>868</v>
      </c>
    </row>
    <row customHeight="1" ht="11.25">
      <c r="A1419" s="7771" t="s">
        <v>2266</v>
      </c>
      <c r="B1419" s="7771" t="s">
        <v>16</v>
      </c>
      <c r="C1419" s="7771" t="s">
        <v>5304</v>
      </c>
      <c r="D1419" s="7771" t="s">
        <v>5305</v>
      </c>
      <c r="E1419" s="7771" t="s">
        <v>5306</v>
      </c>
      <c r="F1419" s="7771" t="s">
        <v>2503</v>
      </c>
      <c r="G1419" s="7771" t="s">
        <v>5307</v>
      </c>
      <c r="H1419" s="7771" t="s">
        <v>28</v>
      </c>
      <c r="I1419" s="7771" t="s">
        <v>868</v>
      </c>
    </row>
    <row customHeight="1" ht="11.25">
      <c r="A1420" s="7771" t="s">
        <v>2266</v>
      </c>
      <c r="B1420" s="7771" t="s">
        <v>16</v>
      </c>
      <c r="C1420" s="7771" t="s">
        <v>3601</v>
      </c>
      <c r="D1420" s="7771" t="s">
        <v>3602</v>
      </c>
      <c r="E1420" s="7771" t="s">
        <v>3603</v>
      </c>
      <c r="F1420" s="7771" t="s">
        <v>2372</v>
      </c>
      <c r="G1420" s="7771" t="s">
        <v>28</v>
      </c>
      <c r="H1420" s="7771" t="s">
        <v>28</v>
      </c>
      <c r="I1420" s="7771" t="s">
        <v>868</v>
      </c>
    </row>
    <row customHeight="1" ht="11.25">
      <c r="A1421" s="7771" t="s">
        <v>2266</v>
      </c>
      <c r="B1421" s="7771" t="s">
        <v>16</v>
      </c>
      <c r="C1421" s="7771" t="s">
        <v>5308</v>
      </c>
      <c r="D1421" s="7771" t="s">
        <v>5309</v>
      </c>
      <c r="E1421" s="7771" t="s">
        <v>5310</v>
      </c>
      <c r="F1421" s="7771" t="s">
        <v>2347</v>
      </c>
      <c r="G1421" s="7771" t="s">
        <v>5311</v>
      </c>
      <c r="H1421" s="7771" t="s">
        <v>28</v>
      </c>
      <c r="I1421" s="7771" t="s">
        <v>868</v>
      </c>
    </row>
    <row customHeight="1" ht="11.25">
      <c r="A1422" s="7771" t="s">
        <v>2266</v>
      </c>
      <c r="B1422" s="7771" t="s">
        <v>16</v>
      </c>
      <c r="C1422" s="7771" t="s">
        <v>3612</v>
      </c>
      <c r="D1422" s="7771" t="s">
        <v>3613</v>
      </c>
      <c r="E1422" s="7771" t="s">
        <v>3614</v>
      </c>
      <c r="F1422" s="7771" t="s">
        <v>2377</v>
      </c>
      <c r="G1422" s="7771" t="s">
        <v>3615</v>
      </c>
      <c r="H1422" s="7771" t="s">
        <v>28</v>
      </c>
      <c r="I1422" s="7771" t="s">
        <v>868</v>
      </c>
    </row>
    <row customHeight="1" ht="11.25">
      <c r="A1423" s="7771" t="s">
        <v>2266</v>
      </c>
      <c r="B1423" s="7771" t="s">
        <v>16</v>
      </c>
      <c r="C1423" s="7771" t="s">
        <v>3627</v>
      </c>
      <c r="D1423" s="7771" t="s">
        <v>3628</v>
      </c>
      <c r="E1423" s="7771" t="s">
        <v>3629</v>
      </c>
      <c r="F1423" s="7771" t="s">
        <v>2441</v>
      </c>
      <c r="G1423" s="7771" t="s">
        <v>28</v>
      </c>
      <c r="H1423" s="7771" t="s">
        <v>28</v>
      </c>
      <c r="I1423" s="7771" t="s">
        <v>868</v>
      </c>
    </row>
    <row customHeight="1" ht="11.25">
      <c r="A1424" s="7771" t="s">
        <v>2266</v>
      </c>
      <c r="B1424" s="7771" t="s">
        <v>16</v>
      </c>
      <c r="C1424" s="7771" t="s">
        <v>5312</v>
      </c>
      <c r="D1424" s="7771" t="s">
        <v>5313</v>
      </c>
      <c r="E1424" s="7771" t="s">
        <v>5314</v>
      </c>
      <c r="F1424" s="7771" t="s">
        <v>3016</v>
      </c>
      <c r="G1424" s="7771" t="s">
        <v>5315</v>
      </c>
      <c r="H1424" s="7771" t="s">
        <v>28</v>
      </c>
      <c r="I1424" s="7771" t="s">
        <v>868</v>
      </c>
    </row>
    <row customHeight="1" ht="11.25">
      <c r="A1425" s="7771" t="s">
        <v>2266</v>
      </c>
      <c r="B1425" s="7771" t="s">
        <v>16</v>
      </c>
      <c r="C1425" s="7771" t="s">
        <v>5316</v>
      </c>
      <c r="D1425" s="7771" t="s">
        <v>5317</v>
      </c>
      <c r="E1425" s="7771" t="s">
        <v>5318</v>
      </c>
      <c r="F1425" s="7771" t="s">
        <v>2988</v>
      </c>
      <c r="G1425" s="7771" t="s">
        <v>5319</v>
      </c>
      <c r="H1425" s="7771" t="s">
        <v>28</v>
      </c>
      <c r="I1425" s="7771" t="s">
        <v>868</v>
      </c>
    </row>
    <row customHeight="1" ht="11.25">
      <c r="A1426" s="7771" t="s">
        <v>2266</v>
      </c>
      <c r="B1426" s="7771" t="s">
        <v>16</v>
      </c>
      <c r="C1426" s="7771" t="s">
        <v>5320</v>
      </c>
      <c r="D1426" s="7771" t="s">
        <v>5321</v>
      </c>
      <c r="E1426" s="7771" t="s">
        <v>5322</v>
      </c>
      <c r="F1426" s="7771" t="s">
        <v>2372</v>
      </c>
      <c r="G1426" s="7771" t="s">
        <v>28</v>
      </c>
      <c r="H1426" s="7771" t="s">
        <v>28</v>
      </c>
      <c r="I1426" s="7771" t="s">
        <v>868</v>
      </c>
    </row>
    <row customHeight="1" ht="11.25">
      <c r="A1427" s="7771" t="s">
        <v>2266</v>
      </c>
      <c r="B1427" s="7771" t="s">
        <v>16</v>
      </c>
      <c r="C1427" s="7771" t="s">
        <v>5323</v>
      </c>
      <c r="D1427" s="7771" t="s">
        <v>5324</v>
      </c>
      <c r="E1427" s="7771" t="s">
        <v>5325</v>
      </c>
      <c r="F1427" s="7771" t="s">
        <v>5326</v>
      </c>
      <c r="G1427" s="7771" t="s">
        <v>5327</v>
      </c>
      <c r="H1427" s="7771" t="s">
        <v>28</v>
      </c>
      <c r="I1427" s="7771" t="s">
        <v>868</v>
      </c>
    </row>
    <row customHeight="1" ht="11.25">
      <c r="A1428" s="7771" t="s">
        <v>2266</v>
      </c>
      <c r="B1428" s="7771" t="s">
        <v>16</v>
      </c>
      <c r="C1428" s="7771" t="s">
        <v>3646</v>
      </c>
      <c r="D1428" s="7771" t="s">
        <v>3647</v>
      </c>
      <c r="E1428" s="7771" t="s">
        <v>3648</v>
      </c>
      <c r="F1428" s="7771" t="s">
        <v>2629</v>
      </c>
      <c r="G1428" s="7771" t="s">
        <v>3649</v>
      </c>
      <c r="H1428" s="7771" t="s">
        <v>28</v>
      </c>
      <c r="I1428" s="7771" t="s">
        <v>868</v>
      </c>
    </row>
    <row customHeight="1" ht="11.25">
      <c r="A1429" s="7771" t="s">
        <v>2266</v>
      </c>
      <c r="B1429" s="7771" t="s">
        <v>16</v>
      </c>
      <c r="C1429" s="7771" t="s">
        <v>3653</v>
      </c>
      <c r="D1429" s="7771" t="s">
        <v>3654</v>
      </c>
      <c r="E1429" s="7771" t="s">
        <v>3655</v>
      </c>
      <c r="F1429" s="7771" t="s">
        <v>2280</v>
      </c>
      <c r="G1429" s="7771" t="s">
        <v>3656</v>
      </c>
      <c r="H1429" s="7771" t="s">
        <v>28</v>
      </c>
      <c r="I1429" s="7771" t="s">
        <v>868</v>
      </c>
    </row>
    <row customHeight="1" ht="11.25">
      <c r="A1430" s="7771" t="s">
        <v>2266</v>
      </c>
      <c r="B1430" s="7771" t="s">
        <v>16</v>
      </c>
      <c r="C1430" s="7771" t="s">
        <v>5328</v>
      </c>
      <c r="D1430" s="7771" t="s">
        <v>5329</v>
      </c>
      <c r="E1430" s="7771" t="s">
        <v>5330</v>
      </c>
      <c r="F1430" s="7771" t="s">
        <v>2446</v>
      </c>
      <c r="G1430" s="7771" t="s">
        <v>5331</v>
      </c>
      <c r="H1430" s="7771" t="s">
        <v>28</v>
      </c>
      <c r="I1430" s="7771" t="s">
        <v>868</v>
      </c>
    </row>
    <row customHeight="1" ht="11.25">
      <c r="A1431" s="7771" t="s">
        <v>2266</v>
      </c>
      <c r="B1431" s="7771" t="s">
        <v>16</v>
      </c>
      <c r="C1431" s="7771" t="s">
        <v>3661</v>
      </c>
      <c r="D1431" s="7771" t="s">
        <v>3662</v>
      </c>
      <c r="E1431" s="7771" t="s">
        <v>3663</v>
      </c>
      <c r="F1431" s="7771" t="s">
        <v>2360</v>
      </c>
      <c r="G1431" s="7771" t="s">
        <v>3664</v>
      </c>
      <c r="H1431" s="7771" t="s">
        <v>28</v>
      </c>
      <c r="I1431" s="7771" t="s">
        <v>868</v>
      </c>
    </row>
    <row customHeight="1" ht="11.25">
      <c r="A1432" s="7771" t="s">
        <v>2266</v>
      </c>
      <c r="B1432" s="7771" t="s">
        <v>16</v>
      </c>
      <c r="C1432" s="7771" t="s">
        <v>5332</v>
      </c>
      <c r="D1432" s="7771" t="s">
        <v>5333</v>
      </c>
      <c r="E1432" s="7771" t="s">
        <v>5334</v>
      </c>
      <c r="F1432" s="7771" t="s">
        <v>2592</v>
      </c>
      <c r="G1432" s="7771" t="s">
        <v>28</v>
      </c>
      <c r="H1432" s="7771" t="s">
        <v>28</v>
      </c>
      <c r="I1432" s="7771" t="s">
        <v>868</v>
      </c>
    </row>
    <row customHeight="1" ht="11.25">
      <c r="A1433" s="7771" t="s">
        <v>2266</v>
      </c>
      <c r="B1433" s="7771" t="s">
        <v>16</v>
      </c>
      <c r="C1433" s="7771" t="s">
        <v>3665</v>
      </c>
      <c r="D1433" s="7771" t="s">
        <v>3666</v>
      </c>
      <c r="E1433" s="7771" t="s">
        <v>3667</v>
      </c>
      <c r="F1433" s="7771" t="s">
        <v>2347</v>
      </c>
      <c r="G1433" s="7771" t="s">
        <v>3668</v>
      </c>
      <c r="H1433" s="7771" t="s">
        <v>28</v>
      </c>
      <c r="I1433" s="7771" t="s">
        <v>868</v>
      </c>
    </row>
    <row customHeight="1" ht="11.25">
      <c r="A1434" s="7771" t="s">
        <v>2266</v>
      </c>
      <c r="B1434" s="7771" t="s">
        <v>16</v>
      </c>
      <c r="C1434" s="7771" t="s">
        <v>5335</v>
      </c>
      <c r="D1434" s="7771" t="s">
        <v>5336</v>
      </c>
      <c r="E1434" s="7771" t="s">
        <v>5337</v>
      </c>
      <c r="F1434" s="7771" t="s">
        <v>5338</v>
      </c>
      <c r="G1434" s="7771" t="s">
        <v>5339</v>
      </c>
      <c r="H1434" s="7771" t="s">
        <v>28</v>
      </c>
      <c r="I1434" s="7771" t="s">
        <v>868</v>
      </c>
    </row>
    <row customHeight="1" ht="11.25">
      <c r="A1435" s="7771" t="s">
        <v>2266</v>
      </c>
      <c r="B1435" s="7771" t="s">
        <v>16</v>
      </c>
      <c r="C1435" s="7771" t="s">
        <v>5340</v>
      </c>
      <c r="D1435" s="7771" t="s">
        <v>5341</v>
      </c>
      <c r="E1435" s="7771" t="s">
        <v>5342</v>
      </c>
      <c r="F1435" s="7771" t="s">
        <v>2280</v>
      </c>
      <c r="G1435" s="7771" t="s">
        <v>5343</v>
      </c>
      <c r="H1435" s="7771" t="s">
        <v>28</v>
      </c>
      <c r="I1435" s="7771" t="s">
        <v>868</v>
      </c>
    </row>
    <row customHeight="1" ht="11.25">
      <c r="A1436" s="7771" t="s">
        <v>2266</v>
      </c>
      <c r="B1436" s="7771" t="s">
        <v>16</v>
      </c>
      <c r="C1436" s="7771" t="s">
        <v>5344</v>
      </c>
      <c r="D1436" s="7771" t="s">
        <v>5345</v>
      </c>
      <c r="E1436" s="7771" t="s">
        <v>5346</v>
      </c>
      <c r="F1436" s="7771" t="s">
        <v>2655</v>
      </c>
      <c r="G1436" s="7771" t="s">
        <v>5347</v>
      </c>
      <c r="H1436" s="7771" t="s">
        <v>28</v>
      </c>
      <c r="I1436" s="7771" t="s">
        <v>868</v>
      </c>
    </row>
    <row customHeight="1" ht="11.25">
      <c r="A1437" s="7771" t="s">
        <v>2266</v>
      </c>
      <c r="B1437" s="7771" t="s">
        <v>16</v>
      </c>
      <c r="C1437" s="7771" t="s">
        <v>3676</v>
      </c>
      <c r="D1437" s="7771" t="s">
        <v>3677</v>
      </c>
      <c r="E1437" s="7771" t="s">
        <v>3678</v>
      </c>
      <c r="F1437" s="7771" t="s">
        <v>3679</v>
      </c>
      <c r="G1437" s="7771" t="s">
        <v>3680</v>
      </c>
      <c r="H1437" s="7771" t="s">
        <v>28</v>
      </c>
      <c r="I1437" s="7771" t="s">
        <v>868</v>
      </c>
    </row>
    <row customHeight="1" ht="11.25">
      <c r="A1438" s="7771" t="s">
        <v>2266</v>
      </c>
      <c r="B1438" s="7771" t="s">
        <v>16</v>
      </c>
      <c r="C1438" s="7771" t="s">
        <v>5348</v>
      </c>
      <c r="D1438" s="7771" t="s">
        <v>5349</v>
      </c>
      <c r="E1438" s="7771" t="s">
        <v>5350</v>
      </c>
      <c r="F1438" s="7771" t="s">
        <v>2280</v>
      </c>
      <c r="G1438" s="7771" t="s">
        <v>28</v>
      </c>
      <c r="H1438" s="7771" t="s">
        <v>28</v>
      </c>
      <c r="I1438" s="7771" t="s">
        <v>868</v>
      </c>
    </row>
    <row customHeight="1" ht="11.25">
      <c r="A1439" s="7771" t="s">
        <v>2266</v>
      </c>
      <c r="B1439" s="7771" t="s">
        <v>16</v>
      </c>
      <c r="C1439" s="7771" t="s">
        <v>3684</v>
      </c>
      <c r="D1439" s="7771" t="s">
        <v>3685</v>
      </c>
      <c r="E1439" s="7771" t="s">
        <v>3686</v>
      </c>
      <c r="F1439" s="7771" t="s">
        <v>2629</v>
      </c>
      <c r="G1439" s="7771" t="s">
        <v>3687</v>
      </c>
      <c r="H1439" s="7771" t="s">
        <v>28</v>
      </c>
      <c r="I1439" s="7771" t="s">
        <v>868</v>
      </c>
    </row>
    <row customHeight="1" ht="11.25">
      <c r="A1440" s="7771" t="s">
        <v>2266</v>
      </c>
      <c r="B1440" s="7771" t="s">
        <v>16</v>
      </c>
      <c r="C1440" s="7771" t="s">
        <v>5351</v>
      </c>
      <c r="D1440" s="7771" t="s">
        <v>5352</v>
      </c>
      <c r="E1440" s="7771" t="s">
        <v>5353</v>
      </c>
      <c r="F1440" s="7771" t="s">
        <v>2592</v>
      </c>
      <c r="G1440" s="7771" t="s">
        <v>5354</v>
      </c>
      <c r="H1440" s="7771" t="s">
        <v>28</v>
      </c>
      <c r="I1440" s="7771" t="s">
        <v>868</v>
      </c>
    </row>
    <row customHeight="1" ht="11.25">
      <c r="A1441" s="7771" t="s">
        <v>2266</v>
      </c>
      <c r="B1441" s="7771" t="s">
        <v>16</v>
      </c>
      <c r="C1441" s="7771" t="s">
        <v>5355</v>
      </c>
      <c r="D1441" s="7771" t="s">
        <v>5356</v>
      </c>
      <c r="E1441" s="7771" t="s">
        <v>5357</v>
      </c>
      <c r="F1441" s="7771" t="s">
        <v>4548</v>
      </c>
      <c r="G1441" s="7771" t="s">
        <v>5358</v>
      </c>
      <c r="H1441" s="7771" t="s">
        <v>28</v>
      </c>
      <c r="I1441" s="7771" t="s">
        <v>868</v>
      </c>
    </row>
    <row customHeight="1" ht="11.25">
      <c r="A1442" s="7771" t="s">
        <v>2266</v>
      </c>
      <c r="B1442" s="7771" t="s">
        <v>16</v>
      </c>
      <c r="C1442" s="7771" t="s">
        <v>5359</v>
      </c>
      <c r="D1442" s="7771" t="s">
        <v>5360</v>
      </c>
      <c r="E1442" s="7771" t="s">
        <v>5361</v>
      </c>
      <c r="F1442" s="7771" t="s">
        <v>2503</v>
      </c>
      <c r="G1442" s="7771" t="s">
        <v>28</v>
      </c>
      <c r="H1442" s="7771" t="s">
        <v>28</v>
      </c>
      <c r="I1442" s="7771" t="s">
        <v>868</v>
      </c>
    </row>
    <row customHeight="1" ht="11.25">
      <c r="A1443" s="7771" t="s">
        <v>2266</v>
      </c>
      <c r="B1443" s="7771" t="s">
        <v>16</v>
      </c>
      <c r="C1443" s="7771" t="s">
        <v>3692</v>
      </c>
      <c r="D1443" s="7771" t="s">
        <v>3693</v>
      </c>
      <c r="E1443" s="7771" t="s">
        <v>3694</v>
      </c>
      <c r="F1443" s="7771" t="s">
        <v>2592</v>
      </c>
      <c r="G1443" s="7771" t="s">
        <v>3695</v>
      </c>
      <c r="H1443" s="7771" t="s">
        <v>28</v>
      </c>
      <c r="I1443" s="7771" t="s">
        <v>868</v>
      </c>
    </row>
    <row customHeight="1" ht="11.25">
      <c r="A1444" s="7771" t="s">
        <v>2266</v>
      </c>
      <c r="B1444" s="7771" t="s">
        <v>16</v>
      </c>
      <c r="C1444" s="7771" t="s">
        <v>5362</v>
      </c>
      <c r="D1444" s="7771" t="s">
        <v>5363</v>
      </c>
      <c r="E1444" s="7771" t="s">
        <v>5364</v>
      </c>
      <c r="F1444" s="7771" t="s">
        <v>2933</v>
      </c>
      <c r="G1444" s="7771" t="s">
        <v>5365</v>
      </c>
      <c r="H1444" s="7771" t="s">
        <v>28</v>
      </c>
      <c r="I1444" s="7771" t="s">
        <v>868</v>
      </c>
    </row>
    <row customHeight="1" ht="11.25">
      <c r="A1445" s="7771" t="s">
        <v>2266</v>
      </c>
      <c r="B1445" s="7771" t="s">
        <v>16</v>
      </c>
      <c r="C1445" s="7771" t="s">
        <v>5366</v>
      </c>
      <c r="D1445" s="7771" t="s">
        <v>5367</v>
      </c>
      <c r="E1445" s="7771" t="s">
        <v>5368</v>
      </c>
      <c r="F1445" s="7771" t="s">
        <v>2468</v>
      </c>
      <c r="G1445" s="7771" t="s">
        <v>5369</v>
      </c>
      <c r="H1445" s="7771" t="s">
        <v>28</v>
      </c>
      <c r="I1445" s="7771" t="s">
        <v>868</v>
      </c>
    </row>
    <row customHeight="1" ht="11.25">
      <c r="A1446" s="7771" t="s">
        <v>2266</v>
      </c>
      <c r="B1446" s="7771" t="s">
        <v>16</v>
      </c>
      <c r="C1446" s="7771" t="s">
        <v>5370</v>
      </c>
      <c r="D1446" s="7771" t="s">
        <v>5371</v>
      </c>
      <c r="E1446" s="7771" t="s">
        <v>5372</v>
      </c>
      <c r="F1446" s="7771" t="s">
        <v>2285</v>
      </c>
      <c r="G1446" s="7771" t="s">
        <v>28</v>
      </c>
      <c r="H1446" s="7771" t="s">
        <v>28</v>
      </c>
      <c r="I1446" s="7771" t="s">
        <v>868</v>
      </c>
    </row>
    <row customHeight="1" ht="11.25">
      <c r="A1447" s="7771" t="s">
        <v>2266</v>
      </c>
      <c r="B1447" s="7771" t="s">
        <v>16</v>
      </c>
      <c r="C1447" s="7771" t="s">
        <v>5373</v>
      </c>
      <c r="D1447" s="7771" t="s">
        <v>5374</v>
      </c>
      <c r="E1447" s="7771" t="s">
        <v>5375</v>
      </c>
      <c r="F1447" s="7771" t="s">
        <v>2280</v>
      </c>
      <c r="G1447" s="7771" t="s">
        <v>28</v>
      </c>
      <c r="H1447" s="7771" t="s">
        <v>28</v>
      </c>
      <c r="I1447" s="7771" t="s">
        <v>868</v>
      </c>
    </row>
    <row customHeight="1" ht="11.25">
      <c r="A1448" s="7771" t="s">
        <v>2266</v>
      </c>
      <c r="B1448" s="7771" t="s">
        <v>16</v>
      </c>
      <c r="C1448" s="7771" t="s">
        <v>3699</v>
      </c>
      <c r="D1448" s="7771" t="s">
        <v>3700</v>
      </c>
      <c r="E1448" s="7771" t="s">
        <v>3701</v>
      </c>
      <c r="F1448" s="7771" t="s">
        <v>2390</v>
      </c>
      <c r="G1448" s="7771" t="s">
        <v>28</v>
      </c>
      <c r="H1448" s="7771" t="s">
        <v>28</v>
      </c>
      <c r="I1448" s="7771" t="s">
        <v>868</v>
      </c>
    </row>
    <row customHeight="1" ht="11.25">
      <c r="A1449" s="7771" t="s">
        <v>2266</v>
      </c>
      <c r="B1449" s="7771" t="s">
        <v>16</v>
      </c>
      <c r="C1449" s="7771" t="s">
        <v>3702</v>
      </c>
      <c r="D1449" s="7771" t="s">
        <v>3703</v>
      </c>
      <c r="E1449" s="7771" t="s">
        <v>3704</v>
      </c>
      <c r="F1449" s="7771" t="s">
        <v>3705</v>
      </c>
      <c r="G1449" s="7771" t="s">
        <v>28</v>
      </c>
      <c r="H1449" s="7771" t="s">
        <v>28</v>
      </c>
      <c r="I1449" s="7771" t="s">
        <v>868</v>
      </c>
    </row>
    <row customHeight="1" ht="11.25">
      <c r="A1450" s="7771" t="s">
        <v>2266</v>
      </c>
      <c r="B1450" s="7771" t="s">
        <v>16</v>
      </c>
      <c r="C1450" s="7771" t="s">
        <v>3706</v>
      </c>
      <c r="D1450" s="7771" t="s">
        <v>3707</v>
      </c>
      <c r="E1450" s="7771" t="s">
        <v>3708</v>
      </c>
      <c r="F1450" s="7771" t="s">
        <v>2518</v>
      </c>
      <c r="G1450" s="7771" t="s">
        <v>28</v>
      </c>
      <c r="H1450" s="7771" t="s">
        <v>28</v>
      </c>
      <c r="I1450" s="7771" t="s">
        <v>868</v>
      </c>
    </row>
    <row customHeight="1" ht="11.25">
      <c r="A1451" s="7771" t="s">
        <v>2266</v>
      </c>
      <c r="B1451" s="7771" t="s">
        <v>16</v>
      </c>
      <c r="C1451" s="7771" t="s">
        <v>3709</v>
      </c>
      <c r="D1451" s="7771" t="s">
        <v>3710</v>
      </c>
      <c r="E1451" s="7771" t="s">
        <v>3711</v>
      </c>
      <c r="F1451" s="7771" t="s">
        <v>2829</v>
      </c>
      <c r="G1451" s="7771" t="s">
        <v>28</v>
      </c>
      <c r="H1451" s="7771" t="s">
        <v>28</v>
      </c>
      <c r="I1451" s="7771" t="s">
        <v>868</v>
      </c>
    </row>
    <row customHeight="1" ht="11.25">
      <c r="A1452" s="7771" t="s">
        <v>2266</v>
      </c>
      <c r="B1452" s="7771" t="s">
        <v>16</v>
      </c>
      <c r="C1452" s="7771" t="s">
        <v>3715</v>
      </c>
      <c r="D1452" s="7771" t="s">
        <v>3716</v>
      </c>
      <c r="E1452" s="7771" t="s">
        <v>3717</v>
      </c>
      <c r="F1452" s="7771" t="s">
        <v>2441</v>
      </c>
      <c r="G1452" s="7771" t="s">
        <v>3718</v>
      </c>
      <c r="H1452" s="7771" t="s">
        <v>28</v>
      </c>
      <c r="I1452" s="7771" t="s">
        <v>868</v>
      </c>
    </row>
    <row customHeight="1" ht="11.25">
      <c r="A1453" s="7771" t="s">
        <v>2266</v>
      </c>
      <c r="B1453" s="7771" t="s">
        <v>16</v>
      </c>
      <c r="C1453" s="7771" t="s">
        <v>3719</v>
      </c>
      <c r="D1453" s="7771" t="s">
        <v>3720</v>
      </c>
      <c r="E1453" s="7771" t="s">
        <v>3721</v>
      </c>
      <c r="F1453" s="7771" t="s">
        <v>2451</v>
      </c>
      <c r="G1453" s="7771" t="s">
        <v>3722</v>
      </c>
      <c r="H1453" s="7771" t="s">
        <v>28</v>
      </c>
      <c r="I1453" s="7771" t="s">
        <v>868</v>
      </c>
    </row>
    <row customHeight="1" ht="11.25">
      <c r="A1454" s="7771" t="s">
        <v>2266</v>
      </c>
      <c r="B1454" s="7771" t="s">
        <v>16</v>
      </c>
      <c r="C1454" s="7771" t="s">
        <v>5376</v>
      </c>
      <c r="D1454" s="7771" t="s">
        <v>5377</v>
      </c>
      <c r="E1454" s="7771" t="s">
        <v>5378</v>
      </c>
      <c r="F1454" s="7771" t="s">
        <v>2280</v>
      </c>
      <c r="G1454" s="7771" t="s">
        <v>5379</v>
      </c>
      <c r="H1454" s="7771" t="s">
        <v>28</v>
      </c>
      <c r="I1454" s="7771" t="s">
        <v>868</v>
      </c>
    </row>
    <row customHeight="1" ht="11.25">
      <c r="A1455" s="7771" t="s">
        <v>2266</v>
      </c>
      <c r="B1455" s="7771" t="s">
        <v>16</v>
      </c>
      <c r="C1455" s="7771" t="s">
        <v>5380</v>
      </c>
      <c r="D1455" s="7771" t="s">
        <v>5381</v>
      </c>
      <c r="E1455" s="7771" t="s">
        <v>5382</v>
      </c>
      <c r="F1455" s="7771" t="s">
        <v>2347</v>
      </c>
      <c r="G1455" s="7771" t="s">
        <v>5383</v>
      </c>
      <c r="H1455" s="7771" t="s">
        <v>28</v>
      </c>
      <c r="I1455" s="7771" t="s">
        <v>868</v>
      </c>
    </row>
    <row customHeight="1" ht="11.25">
      <c r="A1456" s="7771" t="s">
        <v>2266</v>
      </c>
      <c r="B1456" s="7771" t="s">
        <v>16</v>
      </c>
      <c r="C1456" s="7771" t="s">
        <v>5384</v>
      </c>
      <c r="D1456" s="7771" t="s">
        <v>5385</v>
      </c>
      <c r="E1456" s="7771" t="s">
        <v>5386</v>
      </c>
      <c r="F1456" s="7771" t="s">
        <v>2377</v>
      </c>
      <c r="G1456" s="7771" t="s">
        <v>5387</v>
      </c>
      <c r="H1456" s="7771" t="s">
        <v>28</v>
      </c>
      <c r="I1456" s="7771" t="s">
        <v>868</v>
      </c>
    </row>
    <row customHeight="1" ht="11.25">
      <c r="A1457" s="7771" t="s">
        <v>2266</v>
      </c>
      <c r="B1457" s="7771" t="s">
        <v>16</v>
      </c>
      <c r="C1457" s="7771" t="s">
        <v>5388</v>
      </c>
      <c r="D1457" s="7771" t="s">
        <v>5389</v>
      </c>
      <c r="E1457" s="7771" t="s">
        <v>5390</v>
      </c>
      <c r="F1457" s="7771" t="s">
        <v>2280</v>
      </c>
      <c r="G1457" s="7771" t="s">
        <v>5391</v>
      </c>
      <c r="H1457" s="7771" t="s">
        <v>28</v>
      </c>
      <c r="I1457" s="7771" t="s">
        <v>868</v>
      </c>
    </row>
    <row customHeight="1" ht="11.25">
      <c r="A1458" s="7771" t="s">
        <v>2266</v>
      </c>
      <c r="B1458" s="7771" t="s">
        <v>16</v>
      </c>
      <c r="C1458" s="7771" t="s">
        <v>5392</v>
      </c>
      <c r="D1458" s="7771" t="s">
        <v>5393</v>
      </c>
      <c r="E1458" s="7771" t="s">
        <v>5394</v>
      </c>
      <c r="F1458" s="7771" t="s">
        <v>2285</v>
      </c>
      <c r="G1458" s="7771" t="s">
        <v>5395</v>
      </c>
      <c r="H1458" s="7771" t="s">
        <v>28</v>
      </c>
      <c r="I1458" s="7771" t="s">
        <v>868</v>
      </c>
    </row>
    <row customHeight="1" ht="11.25">
      <c r="A1459" s="7771" t="s">
        <v>2266</v>
      </c>
      <c r="B1459" s="7771" t="s">
        <v>16</v>
      </c>
      <c r="C1459" s="7771" t="s">
        <v>5396</v>
      </c>
      <c r="D1459" s="7771" t="s">
        <v>5397</v>
      </c>
      <c r="E1459" s="7771" t="s">
        <v>5398</v>
      </c>
      <c r="F1459" s="7771" t="s">
        <v>2285</v>
      </c>
      <c r="G1459" s="7771" t="s">
        <v>5399</v>
      </c>
      <c r="H1459" s="7771" t="s">
        <v>28</v>
      </c>
      <c r="I1459" s="7771" t="s">
        <v>868</v>
      </c>
    </row>
    <row customHeight="1" ht="11.25">
      <c r="A1460" s="7771" t="s">
        <v>2266</v>
      </c>
      <c r="B1460" s="7771" t="s">
        <v>16</v>
      </c>
      <c r="C1460" s="7771" t="s">
        <v>5400</v>
      </c>
      <c r="D1460" s="7771" t="s">
        <v>5401</v>
      </c>
      <c r="E1460" s="7771" t="s">
        <v>5402</v>
      </c>
      <c r="F1460" s="7771" t="s">
        <v>2347</v>
      </c>
      <c r="G1460" s="7771" t="s">
        <v>28</v>
      </c>
      <c r="H1460" s="7771" t="s">
        <v>28</v>
      </c>
      <c r="I1460" s="7771" t="s">
        <v>868</v>
      </c>
    </row>
    <row customHeight="1" ht="11.25">
      <c r="A1461" s="7771" t="s">
        <v>2266</v>
      </c>
      <c r="B1461" s="7771" t="s">
        <v>16</v>
      </c>
      <c r="C1461" s="7771" t="s">
        <v>4798</v>
      </c>
      <c r="D1461" s="7771" t="s">
        <v>4799</v>
      </c>
      <c r="E1461" s="7771" t="s">
        <v>4800</v>
      </c>
      <c r="F1461" s="7771" t="s">
        <v>2446</v>
      </c>
      <c r="G1461" s="7771" t="s">
        <v>4801</v>
      </c>
      <c r="H1461" s="7771" t="s">
        <v>28</v>
      </c>
      <c r="I1461" s="7771" t="s">
        <v>868</v>
      </c>
    </row>
    <row customHeight="1" ht="11.25">
      <c r="A1462" s="7771" t="s">
        <v>2266</v>
      </c>
      <c r="B1462" s="7771" t="s">
        <v>16</v>
      </c>
      <c r="C1462" s="7771" t="s">
        <v>3746</v>
      </c>
      <c r="D1462" s="7771" t="s">
        <v>3747</v>
      </c>
      <c r="E1462" s="7771" t="s">
        <v>3748</v>
      </c>
      <c r="F1462" s="7771" t="s">
        <v>3749</v>
      </c>
      <c r="G1462" s="7771" t="s">
        <v>3750</v>
      </c>
      <c r="H1462" s="7771" t="s">
        <v>28</v>
      </c>
      <c r="I1462" s="7771" t="s">
        <v>868</v>
      </c>
    </row>
    <row customHeight="1" ht="11.25">
      <c r="A1463" s="7771" t="s">
        <v>2266</v>
      </c>
      <c r="B1463" s="7771" t="s">
        <v>16</v>
      </c>
      <c r="C1463" s="7771" t="s">
        <v>3763</v>
      </c>
      <c r="D1463" s="7771" t="s">
        <v>3764</v>
      </c>
      <c r="E1463" s="7771" t="s">
        <v>3765</v>
      </c>
      <c r="F1463" s="7771" t="s">
        <v>2503</v>
      </c>
      <c r="G1463" s="7771" t="s">
        <v>3766</v>
      </c>
      <c r="H1463" s="7771" t="s">
        <v>28</v>
      </c>
      <c r="I1463" s="7771" t="s">
        <v>868</v>
      </c>
    </row>
    <row customHeight="1" ht="11.25">
      <c r="A1464" s="7771" t="s">
        <v>2266</v>
      </c>
      <c r="B1464" s="7771" t="s">
        <v>16</v>
      </c>
      <c r="C1464" s="7771" t="s">
        <v>5403</v>
      </c>
      <c r="D1464" s="7771" t="s">
        <v>5404</v>
      </c>
      <c r="E1464" s="7771" t="s">
        <v>5405</v>
      </c>
      <c r="F1464" s="7771" t="s">
        <v>2468</v>
      </c>
      <c r="G1464" s="7771" t="s">
        <v>28</v>
      </c>
      <c r="H1464" s="7771" t="s">
        <v>28</v>
      </c>
      <c r="I1464" s="7771" t="s">
        <v>868</v>
      </c>
    </row>
    <row customHeight="1" ht="11.25">
      <c r="A1465" s="7771" t="s">
        <v>2266</v>
      </c>
      <c r="B1465" s="7771" t="s">
        <v>16</v>
      </c>
      <c r="C1465" s="7771" t="s">
        <v>5406</v>
      </c>
      <c r="D1465" s="7771" t="s">
        <v>5407</v>
      </c>
      <c r="E1465" s="7771" t="s">
        <v>5408</v>
      </c>
      <c r="F1465" s="7771" t="s">
        <v>3528</v>
      </c>
      <c r="G1465" s="7771" t="s">
        <v>28</v>
      </c>
      <c r="H1465" s="7771" t="s">
        <v>28</v>
      </c>
      <c r="I1465" s="7771" t="s">
        <v>868</v>
      </c>
    </row>
    <row customHeight="1" ht="11.25">
      <c r="A1466" s="7771" t="s">
        <v>2266</v>
      </c>
      <c r="B1466" s="7771" t="s">
        <v>16</v>
      </c>
      <c r="C1466" s="7771" t="s">
        <v>5409</v>
      </c>
      <c r="D1466" s="7771" t="s">
        <v>5410</v>
      </c>
      <c r="E1466" s="7771" t="s">
        <v>5411</v>
      </c>
      <c r="F1466" s="7771" t="s">
        <v>3726</v>
      </c>
      <c r="G1466" s="7771" t="s">
        <v>5412</v>
      </c>
      <c r="H1466" s="7771" t="s">
        <v>28</v>
      </c>
      <c r="I1466" s="7771" t="s">
        <v>868</v>
      </c>
    </row>
    <row customHeight="1" ht="11.25">
      <c r="A1467" s="7771" t="s">
        <v>2266</v>
      </c>
      <c r="B1467" s="7771" t="s">
        <v>16</v>
      </c>
      <c r="C1467" s="7771" t="s">
        <v>3777</v>
      </c>
      <c r="D1467" s="7771" t="s">
        <v>3778</v>
      </c>
      <c r="E1467" s="7771" t="s">
        <v>3779</v>
      </c>
      <c r="F1467" s="7771" t="s">
        <v>2377</v>
      </c>
      <c r="G1467" s="7771" t="s">
        <v>3780</v>
      </c>
      <c r="H1467" s="7771" t="s">
        <v>28</v>
      </c>
      <c r="I1467" s="7771" t="s">
        <v>868</v>
      </c>
    </row>
    <row customHeight="1" ht="11.25">
      <c r="A1468" s="7771" t="s">
        <v>2266</v>
      </c>
      <c r="B1468" s="7771" t="s">
        <v>16</v>
      </c>
      <c r="C1468" s="7771" t="s">
        <v>5413</v>
      </c>
      <c r="D1468" s="7771" t="s">
        <v>5414</v>
      </c>
      <c r="E1468" s="7771" t="s">
        <v>5415</v>
      </c>
      <c r="F1468" s="7771" t="s">
        <v>2285</v>
      </c>
      <c r="G1468" s="7771" t="s">
        <v>28</v>
      </c>
      <c r="H1468" s="7771" t="s">
        <v>28</v>
      </c>
      <c r="I1468" s="7771" t="s">
        <v>868</v>
      </c>
    </row>
    <row customHeight="1" ht="11.25">
      <c r="A1469" s="7771" t="s">
        <v>2266</v>
      </c>
      <c r="B1469" s="7771" t="s">
        <v>16</v>
      </c>
      <c r="C1469" s="7771" t="s">
        <v>4802</v>
      </c>
      <c r="D1469" s="7771" t="s">
        <v>4803</v>
      </c>
      <c r="E1469" s="7771" t="s">
        <v>4804</v>
      </c>
      <c r="F1469" s="7771" t="s">
        <v>2280</v>
      </c>
      <c r="G1469" s="7771" t="s">
        <v>4805</v>
      </c>
      <c r="H1469" s="7771" t="s">
        <v>28</v>
      </c>
      <c r="I1469" s="7771" t="s">
        <v>868</v>
      </c>
    </row>
    <row customHeight="1" ht="11.25">
      <c r="A1470" s="7771" t="s">
        <v>2266</v>
      </c>
      <c r="B1470" s="7771" t="s">
        <v>16</v>
      </c>
      <c r="C1470" s="7771" t="s">
        <v>3785</v>
      </c>
      <c r="D1470" s="7771" t="s">
        <v>3786</v>
      </c>
      <c r="E1470" s="7771" t="s">
        <v>3787</v>
      </c>
      <c r="F1470" s="7771" t="s">
        <v>2446</v>
      </c>
      <c r="G1470" s="7771" t="s">
        <v>3788</v>
      </c>
      <c r="H1470" s="7771" t="s">
        <v>28</v>
      </c>
      <c r="I1470" s="7771" t="s">
        <v>868</v>
      </c>
    </row>
    <row customHeight="1" ht="11.25">
      <c r="A1471" s="7771" t="s">
        <v>2266</v>
      </c>
      <c r="B1471" s="7771" t="s">
        <v>16</v>
      </c>
      <c r="C1471" s="7771" t="s">
        <v>5416</v>
      </c>
      <c r="D1471" s="7771" t="s">
        <v>5417</v>
      </c>
      <c r="E1471" s="7771" t="s">
        <v>5418</v>
      </c>
      <c r="F1471" s="7771" t="s">
        <v>2372</v>
      </c>
      <c r="G1471" s="7771" t="s">
        <v>5419</v>
      </c>
      <c r="H1471" s="7771" t="s">
        <v>28</v>
      </c>
      <c r="I1471" s="7771" t="s">
        <v>868</v>
      </c>
    </row>
    <row customHeight="1" ht="11.25">
      <c r="A1472" s="7771" t="s">
        <v>2266</v>
      </c>
      <c r="B1472" s="7771" t="s">
        <v>16</v>
      </c>
      <c r="C1472" s="7771" t="s">
        <v>5420</v>
      </c>
      <c r="D1472" s="7771" t="s">
        <v>5421</v>
      </c>
      <c r="E1472" s="7771" t="s">
        <v>5422</v>
      </c>
      <c r="F1472" s="7771" t="s">
        <v>2280</v>
      </c>
      <c r="G1472" s="7771" t="s">
        <v>28</v>
      </c>
      <c r="H1472" s="7771" t="s">
        <v>28</v>
      </c>
      <c r="I1472" s="7771" t="s">
        <v>868</v>
      </c>
    </row>
    <row customHeight="1" ht="11.25">
      <c r="A1473" s="7771" t="s">
        <v>2266</v>
      </c>
      <c r="B1473" s="7771" t="s">
        <v>16</v>
      </c>
      <c r="C1473" s="7771" t="s">
        <v>5423</v>
      </c>
      <c r="D1473" s="7771" t="s">
        <v>5424</v>
      </c>
      <c r="E1473" s="7771" t="s">
        <v>5425</v>
      </c>
      <c r="F1473" s="7771" t="s">
        <v>2933</v>
      </c>
      <c r="G1473" s="7771" t="s">
        <v>28</v>
      </c>
      <c r="H1473" s="7771" t="s">
        <v>28</v>
      </c>
      <c r="I1473" s="7771" t="s">
        <v>868</v>
      </c>
    </row>
    <row customHeight="1" ht="11.25">
      <c r="A1474" s="7771" t="s">
        <v>2266</v>
      </c>
      <c r="B1474" s="7771" t="s">
        <v>16</v>
      </c>
      <c r="C1474" s="7771" t="s">
        <v>5426</v>
      </c>
      <c r="D1474" s="7771" t="s">
        <v>5427</v>
      </c>
      <c r="E1474" s="7771" t="s">
        <v>5428</v>
      </c>
      <c r="F1474" s="7771" t="s">
        <v>2360</v>
      </c>
      <c r="G1474" s="7771" t="s">
        <v>5429</v>
      </c>
      <c r="H1474" s="7771" t="s">
        <v>28</v>
      </c>
      <c r="I1474" s="7771" t="s">
        <v>868</v>
      </c>
    </row>
    <row customHeight="1" ht="11.25">
      <c r="A1475" s="7771" t="s">
        <v>2266</v>
      </c>
      <c r="B1475" s="7771" t="s">
        <v>16</v>
      </c>
      <c r="C1475" s="7771" t="s">
        <v>5430</v>
      </c>
      <c r="D1475" s="7771" t="s">
        <v>5431</v>
      </c>
      <c r="E1475" s="7771" t="s">
        <v>5432</v>
      </c>
      <c r="F1475" s="7771" t="s">
        <v>2425</v>
      </c>
      <c r="G1475" s="7771" t="s">
        <v>28</v>
      </c>
      <c r="H1475" s="7771" t="s">
        <v>28</v>
      </c>
      <c r="I1475" s="7771" t="s">
        <v>868</v>
      </c>
    </row>
    <row customHeight="1" ht="11.25">
      <c r="A1476" s="7771" t="s">
        <v>2266</v>
      </c>
      <c r="B1476" s="7771" t="s">
        <v>16</v>
      </c>
      <c r="C1476" s="7771" t="s">
        <v>3792</v>
      </c>
      <c r="D1476" s="7771" t="s">
        <v>3793</v>
      </c>
      <c r="E1476" s="7771" t="s">
        <v>3794</v>
      </c>
      <c r="F1476" s="7771" t="s">
        <v>2342</v>
      </c>
      <c r="G1476" s="7771" t="s">
        <v>2404</v>
      </c>
      <c r="H1476" s="7771" t="s">
        <v>28</v>
      </c>
      <c r="I1476" s="7771" t="s">
        <v>868</v>
      </c>
    </row>
    <row customHeight="1" ht="11.25">
      <c r="A1477" s="7771" t="s">
        <v>2266</v>
      </c>
      <c r="B1477" s="7771" t="s">
        <v>16</v>
      </c>
      <c r="C1477" s="7771" t="s">
        <v>5433</v>
      </c>
      <c r="D1477" s="7771" t="s">
        <v>5434</v>
      </c>
      <c r="E1477" s="7771" t="s">
        <v>5435</v>
      </c>
      <c r="F1477" s="7771" t="s">
        <v>2280</v>
      </c>
      <c r="G1477" s="7771" t="s">
        <v>5436</v>
      </c>
      <c r="H1477" s="7771" t="s">
        <v>28</v>
      </c>
      <c r="I1477" s="7771" t="s">
        <v>868</v>
      </c>
    </row>
    <row customHeight="1" ht="11.25">
      <c r="A1478" s="7771" t="s">
        <v>2266</v>
      </c>
      <c r="B1478" s="7771" t="s">
        <v>16</v>
      </c>
      <c r="C1478" s="7771" t="s">
        <v>5437</v>
      </c>
      <c r="D1478" s="7771" t="s">
        <v>5438</v>
      </c>
      <c r="E1478" s="7771" t="s">
        <v>5439</v>
      </c>
      <c r="F1478" s="7771" t="s">
        <v>4535</v>
      </c>
      <c r="G1478" s="7771" t="s">
        <v>5440</v>
      </c>
      <c r="H1478" s="7771" t="s">
        <v>28</v>
      </c>
      <c r="I1478" s="7771" t="s">
        <v>868</v>
      </c>
    </row>
    <row customHeight="1" ht="11.25">
      <c r="A1479" s="7771" t="s">
        <v>2266</v>
      </c>
      <c r="B1479" s="7771" t="s">
        <v>16</v>
      </c>
      <c r="C1479" s="7771" t="s">
        <v>3806</v>
      </c>
      <c r="D1479" s="7771" t="s">
        <v>3807</v>
      </c>
      <c r="E1479" s="7771" t="s">
        <v>3808</v>
      </c>
      <c r="F1479" s="7771" t="s">
        <v>3222</v>
      </c>
      <c r="G1479" s="7771" t="s">
        <v>3809</v>
      </c>
      <c r="H1479" s="7771" t="s">
        <v>28</v>
      </c>
      <c r="I1479" s="7771" t="s">
        <v>868</v>
      </c>
    </row>
    <row customHeight="1" ht="11.25">
      <c r="A1480" s="7771" t="s">
        <v>2266</v>
      </c>
      <c r="B1480" s="7771" t="s">
        <v>16</v>
      </c>
      <c r="C1480" s="7771" t="s">
        <v>5441</v>
      </c>
      <c r="D1480" s="7771" t="s">
        <v>5442</v>
      </c>
      <c r="E1480" s="7771" t="s">
        <v>5443</v>
      </c>
      <c r="F1480" s="7771" t="s">
        <v>2451</v>
      </c>
      <c r="G1480" s="7771" t="s">
        <v>5444</v>
      </c>
      <c r="H1480" s="7771" t="s">
        <v>28</v>
      </c>
      <c r="I1480" s="7771" t="s">
        <v>868</v>
      </c>
    </row>
    <row customHeight="1" ht="11.25">
      <c r="A1481" s="7771" t="s">
        <v>2266</v>
      </c>
      <c r="B1481" s="7771" t="s">
        <v>16</v>
      </c>
      <c r="C1481" s="7771" t="s">
        <v>5445</v>
      </c>
      <c r="D1481" s="7771" t="s">
        <v>5446</v>
      </c>
      <c r="E1481" s="7771" t="s">
        <v>5447</v>
      </c>
      <c r="F1481" s="7771" t="s">
        <v>2503</v>
      </c>
      <c r="G1481" s="7771" t="s">
        <v>5448</v>
      </c>
      <c r="H1481" s="7771" t="s">
        <v>28</v>
      </c>
      <c r="I1481" s="7771" t="s">
        <v>868</v>
      </c>
    </row>
    <row customHeight="1" ht="11.25">
      <c r="A1482" s="7771" t="s">
        <v>2266</v>
      </c>
      <c r="B1482" s="7771" t="s">
        <v>16</v>
      </c>
      <c r="C1482" s="7771" t="s">
        <v>5449</v>
      </c>
      <c r="D1482" s="7771" t="s">
        <v>5450</v>
      </c>
      <c r="E1482" s="7771" t="s">
        <v>5451</v>
      </c>
      <c r="F1482" s="7771" t="s">
        <v>2385</v>
      </c>
      <c r="G1482" s="7771" t="s">
        <v>5452</v>
      </c>
      <c r="H1482" s="7771" t="s">
        <v>28</v>
      </c>
      <c r="I1482" s="7771" t="s">
        <v>868</v>
      </c>
    </row>
    <row customHeight="1" ht="11.25">
      <c r="A1483" s="7771" t="s">
        <v>2266</v>
      </c>
      <c r="B1483" s="7771" t="s">
        <v>16</v>
      </c>
      <c r="C1483" s="7771" t="s">
        <v>5453</v>
      </c>
      <c r="D1483" s="7771" t="s">
        <v>5454</v>
      </c>
      <c r="E1483" s="7771" t="s">
        <v>5455</v>
      </c>
      <c r="F1483" s="7771" t="s">
        <v>2295</v>
      </c>
      <c r="G1483" s="7771" t="s">
        <v>28</v>
      </c>
      <c r="H1483" s="7771" t="s">
        <v>28</v>
      </c>
      <c r="I1483" s="7771" t="s">
        <v>868</v>
      </c>
    </row>
    <row customHeight="1" ht="11.25">
      <c r="A1484" s="7771" t="s">
        <v>2266</v>
      </c>
      <c r="B1484" s="7771" t="s">
        <v>16</v>
      </c>
      <c r="C1484" s="7771" t="s">
        <v>3821</v>
      </c>
      <c r="D1484" s="7771" t="s">
        <v>3822</v>
      </c>
      <c r="E1484" s="7771" t="s">
        <v>3823</v>
      </c>
      <c r="F1484" s="7771" t="s">
        <v>2342</v>
      </c>
      <c r="G1484" s="7771" t="s">
        <v>28</v>
      </c>
      <c r="H1484" s="7771" t="s">
        <v>28</v>
      </c>
      <c r="I1484" s="7771" t="s">
        <v>868</v>
      </c>
    </row>
    <row customHeight="1" ht="11.25">
      <c r="A1485" s="7771" t="s">
        <v>2266</v>
      </c>
      <c r="B1485" s="7771" t="s">
        <v>16</v>
      </c>
      <c r="C1485" s="7771" t="s">
        <v>3824</v>
      </c>
      <c r="D1485" s="7771" t="s">
        <v>3825</v>
      </c>
      <c r="E1485" s="7771" t="s">
        <v>3826</v>
      </c>
      <c r="F1485" s="7771" t="s">
        <v>2280</v>
      </c>
      <c r="G1485" s="7771" t="s">
        <v>3827</v>
      </c>
      <c r="H1485" s="7771" t="s">
        <v>28</v>
      </c>
      <c r="I1485" s="7771" t="s">
        <v>868</v>
      </c>
    </row>
    <row customHeight="1" ht="11.25">
      <c r="A1486" s="7771" t="s">
        <v>2266</v>
      </c>
      <c r="B1486" s="7771" t="s">
        <v>16</v>
      </c>
      <c r="C1486" s="7771" t="s">
        <v>5456</v>
      </c>
      <c r="D1486" s="7771" t="s">
        <v>5457</v>
      </c>
      <c r="E1486" s="7771" t="s">
        <v>5458</v>
      </c>
      <c r="F1486" s="7771" t="s">
        <v>2655</v>
      </c>
      <c r="G1486" s="7771" t="s">
        <v>28</v>
      </c>
      <c r="H1486" s="7771" t="s">
        <v>28</v>
      </c>
      <c r="I1486" s="7771" t="s">
        <v>868</v>
      </c>
    </row>
    <row customHeight="1" ht="11.25">
      <c r="A1487" s="7771" t="s">
        <v>2266</v>
      </c>
      <c r="B1487" s="7771" t="s">
        <v>16</v>
      </c>
      <c r="C1487" s="7771" t="s">
        <v>3828</v>
      </c>
      <c r="D1487" s="7771" t="s">
        <v>3829</v>
      </c>
      <c r="E1487" s="7771" t="s">
        <v>3830</v>
      </c>
      <c r="F1487" s="7771" t="s">
        <v>2300</v>
      </c>
      <c r="G1487" s="7771" t="s">
        <v>3831</v>
      </c>
      <c r="H1487" s="7771" t="s">
        <v>28</v>
      </c>
      <c r="I1487" s="7771" t="s">
        <v>868</v>
      </c>
    </row>
    <row customHeight="1" ht="11.25">
      <c r="A1488" s="7771" t="s">
        <v>2266</v>
      </c>
      <c r="B1488" s="7771" t="s">
        <v>16</v>
      </c>
      <c r="C1488" s="7771" t="s">
        <v>3835</v>
      </c>
      <c r="D1488" s="7771" t="s">
        <v>3836</v>
      </c>
      <c r="E1488" s="7771" t="s">
        <v>3837</v>
      </c>
      <c r="F1488" s="7771" t="s">
        <v>2399</v>
      </c>
      <c r="G1488" s="7771" t="s">
        <v>28</v>
      </c>
      <c r="H1488" s="7771" t="s">
        <v>28</v>
      </c>
      <c r="I1488" s="7771" t="s">
        <v>868</v>
      </c>
    </row>
    <row customHeight="1" ht="11.25">
      <c r="A1489" s="7771" t="s">
        <v>2266</v>
      </c>
      <c r="B1489" s="7771" t="s">
        <v>16</v>
      </c>
      <c r="C1489" s="7771" t="s">
        <v>5459</v>
      </c>
      <c r="D1489" s="7771" t="s">
        <v>5460</v>
      </c>
      <c r="E1489" s="7771" t="s">
        <v>5461</v>
      </c>
      <c r="F1489" s="7771" t="s">
        <v>2377</v>
      </c>
      <c r="G1489" s="7771" t="s">
        <v>28</v>
      </c>
      <c r="H1489" s="7771" t="s">
        <v>28</v>
      </c>
      <c r="I1489" s="7771" t="s">
        <v>868</v>
      </c>
    </row>
    <row customHeight="1" ht="11.25">
      <c r="A1490" s="7771" t="s">
        <v>2266</v>
      </c>
      <c r="B1490" s="7771" t="s">
        <v>16</v>
      </c>
      <c r="C1490" s="7771" t="s">
        <v>3842</v>
      </c>
      <c r="D1490" s="7771" t="s">
        <v>3843</v>
      </c>
      <c r="E1490" s="7771" t="s">
        <v>3844</v>
      </c>
      <c r="F1490" s="7771" t="s">
        <v>3845</v>
      </c>
      <c r="G1490" s="7771" t="s">
        <v>3846</v>
      </c>
      <c r="H1490" s="7771" t="s">
        <v>28</v>
      </c>
      <c r="I1490" s="7771" t="s">
        <v>868</v>
      </c>
    </row>
    <row customHeight="1" ht="11.25">
      <c r="A1491" s="7771" t="s">
        <v>2266</v>
      </c>
      <c r="B1491" s="7771" t="s">
        <v>16</v>
      </c>
      <c r="C1491" s="7771" t="s">
        <v>4806</v>
      </c>
      <c r="D1491" s="7771" t="s">
        <v>4807</v>
      </c>
      <c r="E1491" s="7771" t="s">
        <v>4808</v>
      </c>
      <c r="F1491" s="7771" t="s">
        <v>2385</v>
      </c>
      <c r="G1491" s="7771" t="s">
        <v>28</v>
      </c>
      <c r="H1491" s="7771" t="s">
        <v>28</v>
      </c>
      <c r="I1491" s="7771" t="s">
        <v>868</v>
      </c>
    </row>
    <row customHeight="1" ht="11.25">
      <c r="A1492" s="7771" t="s">
        <v>2266</v>
      </c>
      <c r="B1492" s="7771" t="s">
        <v>16</v>
      </c>
      <c r="C1492" s="7771" t="s">
        <v>5462</v>
      </c>
      <c r="D1492" s="7771" t="s">
        <v>5463</v>
      </c>
      <c r="E1492" s="7771" t="s">
        <v>5464</v>
      </c>
      <c r="F1492" s="7771" t="s">
        <v>3749</v>
      </c>
      <c r="G1492" s="7771" t="s">
        <v>5465</v>
      </c>
      <c r="H1492" s="7771" t="s">
        <v>28</v>
      </c>
      <c r="I1492" s="7771" t="s">
        <v>868</v>
      </c>
    </row>
    <row customHeight="1" ht="11.25">
      <c r="A1493" s="7771" t="s">
        <v>2266</v>
      </c>
      <c r="B1493" s="7771" t="s">
        <v>16</v>
      </c>
      <c r="C1493" s="7771" t="s">
        <v>5466</v>
      </c>
      <c r="D1493" s="7771" t="s">
        <v>5467</v>
      </c>
      <c r="E1493" s="7771" t="s">
        <v>5468</v>
      </c>
      <c r="F1493" s="7771" t="s">
        <v>2385</v>
      </c>
      <c r="G1493" s="7771" t="s">
        <v>5469</v>
      </c>
      <c r="H1493" s="7771" t="s">
        <v>28</v>
      </c>
      <c r="I1493" s="7771" t="s">
        <v>868</v>
      </c>
    </row>
    <row customHeight="1" ht="11.25">
      <c r="A1494" s="7771" t="s">
        <v>2266</v>
      </c>
      <c r="B1494" s="7771" t="s">
        <v>16</v>
      </c>
      <c r="C1494" s="7771" t="s">
        <v>5470</v>
      </c>
      <c r="D1494" s="7771" t="s">
        <v>5471</v>
      </c>
      <c r="E1494" s="7771" t="s">
        <v>5472</v>
      </c>
      <c r="F1494" s="7771" t="s">
        <v>2356</v>
      </c>
      <c r="G1494" s="7771" t="s">
        <v>28</v>
      </c>
      <c r="H1494" s="7771" t="s">
        <v>28</v>
      </c>
      <c r="I1494" s="7771" t="s">
        <v>868</v>
      </c>
    </row>
    <row customHeight="1" ht="11.25">
      <c r="A1495" s="7771" t="s">
        <v>2266</v>
      </c>
      <c r="B1495" s="7771" t="s">
        <v>16</v>
      </c>
      <c r="C1495" s="7771" t="s">
        <v>5473</v>
      </c>
      <c r="D1495" s="7771" t="s">
        <v>5474</v>
      </c>
      <c r="E1495" s="7771" t="s">
        <v>5475</v>
      </c>
      <c r="F1495" s="7771" t="s">
        <v>2882</v>
      </c>
      <c r="G1495" s="7771" t="s">
        <v>28</v>
      </c>
      <c r="H1495" s="7771" t="s">
        <v>28</v>
      </c>
      <c r="I1495" s="7771" t="s">
        <v>868</v>
      </c>
    </row>
    <row customHeight="1" ht="11.25">
      <c r="A1496" s="7771" t="s">
        <v>2266</v>
      </c>
      <c r="B1496" s="7771" t="s">
        <v>16</v>
      </c>
      <c r="C1496" s="7771" t="s">
        <v>3850</v>
      </c>
      <c r="D1496" s="7771" t="s">
        <v>3851</v>
      </c>
      <c r="E1496" s="7771" t="s">
        <v>3852</v>
      </c>
      <c r="F1496" s="7771" t="s">
        <v>2829</v>
      </c>
      <c r="G1496" s="7771" t="s">
        <v>3853</v>
      </c>
      <c r="H1496" s="7771" t="s">
        <v>28</v>
      </c>
      <c r="I1496" s="7771" t="s">
        <v>868</v>
      </c>
    </row>
    <row customHeight="1" ht="11.25">
      <c r="A1497" s="7771" t="s">
        <v>2266</v>
      </c>
      <c r="B1497" s="7771" t="s">
        <v>16</v>
      </c>
      <c r="C1497" s="7771" t="s">
        <v>3864</v>
      </c>
      <c r="D1497" s="7771" t="s">
        <v>3865</v>
      </c>
      <c r="E1497" s="7771" t="s">
        <v>3866</v>
      </c>
      <c r="F1497" s="7771" t="s">
        <v>2425</v>
      </c>
      <c r="G1497" s="7771" t="s">
        <v>28</v>
      </c>
      <c r="H1497" s="7771" t="s">
        <v>28</v>
      </c>
      <c r="I1497" s="7771" t="s">
        <v>868</v>
      </c>
    </row>
    <row customHeight="1" ht="11.25">
      <c r="A1498" s="7771" t="s">
        <v>2266</v>
      </c>
      <c r="B1498" s="7771" t="s">
        <v>16</v>
      </c>
      <c r="C1498" s="7771" t="s">
        <v>5476</v>
      </c>
      <c r="D1498" s="7771" t="s">
        <v>5477</v>
      </c>
      <c r="E1498" s="7771" t="s">
        <v>5478</v>
      </c>
      <c r="F1498" s="7771" t="s">
        <v>2280</v>
      </c>
      <c r="G1498" s="7771" t="s">
        <v>5479</v>
      </c>
      <c r="H1498" s="7771" t="s">
        <v>28</v>
      </c>
      <c r="I1498" s="7771" t="s">
        <v>868</v>
      </c>
    </row>
    <row customHeight="1" ht="11.25">
      <c r="A1499" s="7771" t="s">
        <v>2266</v>
      </c>
      <c r="B1499" s="7771" t="s">
        <v>16</v>
      </c>
      <c r="C1499" s="7771" t="s">
        <v>5480</v>
      </c>
      <c r="D1499" s="7771" t="s">
        <v>5481</v>
      </c>
      <c r="E1499" s="7771" t="s">
        <v>5482</v>
      </c>
      <c r="F1499" s="7771" t="s">
        <v>2372</v>
      </c>
      <c r="G1499" s="7771" t="s">
        <v>5483</v>
      </c>
      <c r="H1499" s="7771" t="s">
        <v>28</v>
      </c>
      <c r="I1499" s="7771" t="s">
        <v>868</v>
      </c>
    </row>
    <row customHeight="1" ht="11.25">
      <c r="A1500" s="7771" t="s">
        <v>2266</v>
      </c>
      <c r="B1500" s="7771" t="s">
        <v>16</v>
      </c>
      <c r="C1500" s="7771" t="s">
        <v>5484</v>
      </c>
      <c r="D1500" s="7771" t="s">
        <v>5485</v>
      </c>
      <c r="E1500" s="7771" t="s">
        <v>5486</v>
      </c>
      <c r="F1500" s="7771" t="s">
        <v>2592</v>
      </c>
      <c r="G1500" s="7771" t="s">
        <v>5487</v>
      </c>
      <c r="H1500" s="7771" t="s">
        <v>28</v>
      </c>
      <c r="I1500" s="7771" t="s">
        <v>868</v>
      </c>
    </row>
    <row customHeight="1" ht="11.25">
      <c r="A1501" s="7771" t="s">
        <v>2266</v>
      </c>
      <c r="B1501" s="7771" t="s">
        <v>16</v>
      </c>
      <c r="C1501" s="7771" t="s">
        <v>3892</v>
      </c>
      <c r="D1501" s="7771" t="s">
        <v>3893</v>
      </c>
      <c r="E1501" s="7771" t="s">
        <v>3894</v>
      </c>
      <c r="F1501" s="7771" t="s">
        <v>2285</v>
      </c>
      <c r="G1501" s="7771" t="s">
        <v>3895</v>
      </c>
      <c r="H1501" s="7771" t="s">
        <v>28</v>
      </c>
      <c r="I1501" s="7771" t="s">
        <v>868</v>
      </c>
    </row>
    <row customHeight="1" ht="11.25">
      <c r="A1502" s="7771" t="s">
        <v>2266</v>
      </c>
      <c r="B1502" s="7771" t="s">
        <v>16</v>
      </c>
      <c r="C1502" s="7771" t="s">
        <v>3896</v>
      </c>
      <c r="D1502" s="7771" t="s">
        <v>3897</v>
      </c>
      <c r="E1502" s="7771" t="s">
        <v>3898</v>
      </c>
      <c r="F1502" s="7771" t="s">
        <v>2390</v>
      </c>
      <c r="G1502" s="7771" t="s">
        <v>28</v>
      </c>
      <c r="H1502" s="7771" t="s">
        <v>28</v>
      </c>
      <c r="I1502" s="7771" t="s">
        <v>868</v>
      </c>
    </row>
    <row customHeight="1" ht="11.25">
      <c r="A1503" s="7771" t="s">
        <v>2266</v>
      </c>
      <c r="B1503" s="7771" t="s">
        <v>16</v>
      </c>
      <c r="C1503" s="7771" t="s">
        <v>3907</v>
      </c>
      <c r="D1503" s="7771" t="s">
        <v>3908</v>
      </c>
      <c r="E1503" s="7771" t="s">
        <v>3909</v>
      </c>
      <c r="F1503" s="7771" t="s">
        <v>2592</v>
      </c>
      <c r="G1503" s="7771" t="s">
        <v>3910</v>
      </c>
      <c r="H1503" s="7771" t="s">
        <v>28</v>
      </c>
      <c r="I1503" s="7771" t="s">
        <v>868</v>
      </c>
    </row>
    <row customHeight="1" ht="11.25">
      <c r="A1504" s="7771" t="s">
        <v>2266</v>
      </c>
      <c r="B1504" s="7771" t="s">
        <v>16</v>
      </c>
      <c r="C1504" s="7771" t="s">
        <v>5488</v>
      </c>
      <c r="D1504" s="7771" t="s">
        <v>5489</v>
      </c>
      <c r="E1504" s="7771" t="s">
        <v>5490</v>
      </c>
      <c r="F1504" s="7771" t="s">
        <v>2372</v>
      </c>
      <c r="G1504" s="7771" t="s">
        <v>28</v>
      </c>
      <c r="H1504" s="7771" t="s">
        <v>28</v>
      </c>
      <c r="I1504" s="7771" t="s">
        <v>868</v>
      </c>
    </row>
    <row customHeight="1" ht="11.25">
      <c r="A1505" s="7771" t="s">
        <v>2266</v>
      </c>
      <c r="B1505" s="7771" t="s">
        <v>16</v>
      </c>
      <c r="C1505" s="7771" t="s">
        <v>5491</v>
      </c>
      <c r="D1505" s="7771" t="s">
        <v>5492</v>
      </c>
      <c r="E1505" s="7771" t="s">
        <v>5493</v>
      </c>
      <c r="F1505" s="7771" t="s">
        <v>2655</v>
      </c>
      <c r="G1505" s="7771" t="s">
        <v>5494</v>
      </c>
      <c r="H1505" s="7771" t="s">
        <v>28</v>
      </c>
      <c r="I1505" s="7771" t="s">
        <v>868</v>
      </c>
    </row>
    <row customHeight="1" ht="11.25">
      <c r="A1506" s="7771" t="s">
        <v>2266</v>
      </c>
      <c r="B1506" s="7771" t="s">
        <v>16</v>
      </c>
      <c r="C1506" s="7771" t="s">
        <v>5495</v>
      </c>
      <c r="D1506" s="7771" t="s">
        <v>5496</v>
      </c>
      <c r="E1506" s="7771" t="s">
        <v>5497</v>
      </c>
      <c r="F1506" s="7771" t="s">
        <v>2356</v>
      </c>
      <c r="G1506" s="7771" t="s">
        <v>28</v>
      </c>
      <c r="H1506" s="7771" t="s">
        <v>28</v>
      </c>
      <c r="I1506" s="7771" t="s">
        <v>868</v>
      </c>
    </row>
    <row customHeight="1" ht="11.25">
      <c r="A1507" s="7771" t="s">
        <v>2266</v>
      </c>
      <c r="B1507" s="7771" t="s">
        <v>16</v>
      </c>
      <c r="C1507" s="7771" t="s">
        <v>5498</v>
      </c>
      <c r="D1507" s="7771" t="s">
        <v>5499</v>
      </c>
      <c r="E1507" s="7771" t="s">
        <v>5500</v>
      </c>
      <c r="F1507" s="7771" t="s">
        <v>2503</v>
      </c>
      <c r="G1507" s="7771" t="s">
        <v>5501</v>
      </c>
      <c r="H1507" s="7771" t="s">
        <v>28</v>
      </c>
      <c r="I1507" s="7771" t="s">
        <v>868</v>
      </c>
    </row>
    <row customHeight="1" ht="11.25">
      <c r="A1508" s="7771" t="s">
        <v>2266</v>
      </c>
      <c r="B1508" s="7771" t="s">
        <v>16</v>
      </c>
      <c r="C1508" s="7771" t="s">
        <v>3915</v>
      </c>
      <c r="D1508" s="7771" t="s">
        <v>3916</v>
      </c>
      <c r="E1508" s="7771" t="s">
        <v>3917</v>
      </c>
      <c r="F1508" s="7771" t="s">
        <v>2347</v>
      </c>
      <c r="G1508" s="7771" t="s">
        <v>2404</v>
      </c>
      <c r="H1508" s="7771" t="s">
        <v>28</v>
      </c>
      <c r="I1508" s="7771" t="s">
        <v>868</v>
      </c>
    </row>
    <row customHeight="1" ht="11.25">
      <c r="A1509" s="7771" t="s">
        <v>2266</v>
      </c>
      <c r="B1509" s="7771" t="s">
        <v>16</v>
      </c>
      <c r="C1509" s="7771" t="s">
        <v>3926</v>
      </c>
      <c r="D1509" s="7771" t="s">
        <v>3927</v>
      </c>
      <c r="E1509" s="7771" t="s">
        <v>3928</v>
      </c>
      <c r="F1509" s="7771" t="s">
        <v>2360</v>
      </c>
      <c r="G1509" s="7771" t="s">
        <v>3929</v>
      </c>
      <c r="H1509" s="7771" t="s">
        <v>28</v>
      </c>
      <c r="I1509" s="7771" t="s">
        <v>868</v>
      </c>
    </row>
    <row customHeight="1" ht="11.25">
      <c r="A1510" s="7771" t="s">
        <v>2266</v>
      </c>
      <c r="B1510" s="7771" t="s">
        <v>16</v>
      </c>
      <c r="C1510" s="7771" t="s">
        <v>5502</v>
      </c>
      <c r="D1510" s="7771" t="s">
        <v>5503</v>
      </c>
      <c r="E1510" s="7771" t="s">
        <v>5504</v>
      </c>
      <c r="F1510" s="7771" t="s">
        <v>2430</v>
      </c>
      <c r="G1510" s="7771" t="s">
        <v>28</v>
      </c>
      <c r="H1510" s="7771" t="s">
        <v>28</v>
      </c>
      <c r="I1510" s="7771" t="s">
        <v>868</v>
      </c>
    </row>
    <row customHeight="1" ht="11.25">
      <c r="A1511" s="7771" t="s">
        <v>2266</v>
      </c>
      <c r="B1511" s="7771" t="s">
        <v>16</v>
      </c>
      <c r="C1511" s="7771" t="s">
        <v>5505</v>
      </c>
      <c r="D1511" s="7771" t="s">
        <v>5506</v>
      </c>
      <c r="E1511" s="7771" t="s">
        <v>5507</v>
      </c>
      <c r="F1511" s="7771" t="s">
        <v>2503</v>
      </c>
      <c r="G1511" s="7771" t="s">
        <v>28</v>
      </c>
      <c r="H1511" s="7771" t="s">
        <v>28</v>
      </c>
      <c r="I1511" s="7771" t="s">
        <v>868</v>
      </c>
    </row>
    <row customHeight="1" ht="11.25">
      <c r="A1512" s="7771" t="s">
        <v>2266</v>
      </c>
      <c r="B1512" s="7771" t="s">
        <v>16</v>
      </c>
      <c r="C1512" s="7771" t="s">
        <v>3947</v>
      </c>
      <c r="D1512" s="7771" t="s">
        <v>3948</v>
      </c>
      <c r="E1512" s="7771" t="s">
        <v>3949</v>
      </c>
      <c r="F1512" s="7771" t="s">
        <v>2451</v>
      </c>
      <c r="G1512" s="7771" t="s">
        <v>3950</v>
      </c>
      <c r="H1512" s="7771" t="s">
        <v>28</v>
      </c>
      <c r="I1512" s="7771" t="s">
        <v>868</v>
      </c>
    </row>
    <row customHeight="1" ht="11.25">
      <c r="A1513" s="7771" t="s">
        <v>2266</v>
      </c>
      <c r="B1513" s="7771" t="s">
        <v>16</v>
      </c>
      <c r="C1513" s="7771" t="s">
        <v>3957</v>
      </c>
      <c r="D1513" s="7771" t="s">
        <v>3958</v>
      </c>
      <c r="E1513" s="7771" t="s">
        <v>3959</v>
      </c>
      <c r="F1513" s="7771" t="s">
        <v>3749</v>
      </c>
      <c r="G1513" s="7771" t="s">
        <v>28</v>
      </c>
      <c r="H1513" s="7771" t="s">
        <v>28</v>
      </c>
      <c r="I1513" s="7771" t="s">
        <v>868</v>
      </c>
    </row>
    <row customHeight="1" ht="11.25">
      <c r="A1514" s="7771" t="s">
        <v>2266</v>
      </c>
      <c r="B1514" s="7771" t="s">
        <v>16</v>
      </c>
      <c r="C1514" s="7771" t="s">
        <v>5508</v>
      </c>
      <c r="D1514" s="7771" t="s">
        <v>5509</v>
      </c>
      <c r="E1514" s="7771" t="s">
        <v>5510</v>
      </c>
      <c r="F1514" s="7771" t="s">
        <v>2295</v>
      </c>
      <c r="G1514" s="7771" t="s">
        <v>28</v>
      </c>
      <c r="H1514" s="7771" t="s">
        <v>28</v>
      </c>
      <c r="I1514" s="7771" t="s">
        <v>868</v>
      </c>
    </row>
    <row customHeight="1" ht="11.25">
      <c r="A1515" s="7771" t="s">
        <v>2266</v>
      </c>
      <c r="B1515" s="7771" t="s">
        <v>16</v>
      </c>
      <c r="C1515" s="7771" t="s">
        <v>5511</v>
      </c>
      <c r="D1515" s="7771" t="s">
        <v>5512</v>
      </c>
      <c r="E1515" s="7771" t="s">
        <v>5513</v>
      </c>
      <c r="F1515" s="7771" t="s">
        <v>3726</v>
      </c>
      <c r="G1515" s="7771" t="s">
        <v>5514</v>
      </c>
      <c r="H1515" s="7771" t="s">
        <v>28</v>
      </c>
      <c r="I1515" s="7771" t="s">
        <v>868</v>
      </c>
    </row>
    <row customHeight="1" ht="11.25">
      <c r="A1516" s="7771" t="s">
        <v>2266</v>
      </c>
      <c r="B1516" s="7771" t="s">
        <v>16</v>
      </c>
      <c r="C1516" s="7771" t="s">
        <v>4809</v>
      </c>
      <c r="D1516" s="7771" t="s">
        <v>4810</v>
      </c>
      <c r="E1516" s="7771" t="s">
        <v>4811</v>
      </c>
      <c r="F1516" s="7771" t="s">
        <v>2723</v>
      </c>
      <c r="G1516" s="7771" t="s">
        <v>28</v>
      </c>
      <c r="H1516" s="7771" t="s">
        <v>28</v>
      </c>
      <c r="I1516" s="7771" t="s">
        <v>868</v>
      </c>
    </row>
    <row customHeight="1" ht="11.25">
      <c r="A1517" s="7771" t="s">
        <v>2266</v>
      </c>
      <c r="B1517" s="7771" t="s">
        <v>16</v>
      </c>
      <c r="C1517" s="7771" t="s">
        <v>5515</v>
      </c>
      <c r="D1517" s="7771" t="s">
        <v>5516</v>
      </c>
      <c r="E1517" s="7771" t="s">
        <v>5517</v>
      </c>
      <c r="F1517" s="7771" t="s">
        <v>2451</v>
      </c>
      <c r="G1517" s="7771" t="s">
        <v>28</v>
      </c>
      <c r="H1517" s="7771" t="s">
        <v>28</v>
      </c>
      <c r="I1517" s="7771" t="s">
        <v>868</v>
      </c>
    </row>
    <row customHeight="1" ht="11.25">
      <c r="A1518" s="7771" t="s">
        <v>2266</v>
      </c>
      <c r="B1518" s="7771" t="s">
        <v>16</v>
      </c>
      <c r="C1518" s="7771" t="s">
        <v>5518</v>
      </c>
      <c r="D1518" s="7771" t="s">
        <v>3980</v>
      </c>
      <c r="E1518" s="7771" t="s">
        <v>5519</v>
      </c>
      <c r="F1518" s="7771" t="s">
        <v>2295</v>
      </c>
      <c r="G1518" s="7771" t="s">
        <v>5520</v>
      </c>
      <c r="H1518" s="7771" t="s">
        <v>28</v>
      </c>
      <c r="I1518" s="7771" t="s">
        <v>868</v>
      </c>
    </row>
    <row customHeight="1" ht="11.25">
      <c r="A1519" s="7771" t="s">
        <v>2266</v>
      </c>
      <c r="B1519" s="7771" t="s">
        <v>16</v>
      </c>
      <c r="C1519" s="7771" t="s">
        <v>3979</v>
      </c>
      <c r="D1519" s="7771" t="s">
        <v>3980</v>
      </c>
      <c r="E1519" s="7771" t="s">
        <v>3981</v>
      </c>
      <c r="F1519" s="7771" t="s">
        <v>2352</v>
      </c>
      <c r="G1519" s="7771" t="s">
        <v>2469</v>
      </c>
      <c r="H1519" s="7771" t="s">
        <v>28</v>
      </c>
      <c r="I1519" s="7771" t="s">
        <v>868</v>
      </c>
    </row>
    <row customHeight="1" ht="11.25">
      <c r="A1520" s="7771" t="s">
        <v>2266</v>
      </c>
      <c r="B1520" s="7771" t="s">
        <v>16</v>
      </c>
      <c r="C1520" s="7771" t="s">
        <v>5521</v>
      </c>
      <c r="D1520" s="7771" t="s">
        <v>5522</v>
      </c>
      <c r="E1520" s="7771" t="s">
        <v>5523</v>
      </c>
      <c r="F1520" s="7771" t="s">
        <v>2629</v>
      </c>
      <c r="G1520" s="7771" t="s">
        <v>5524</v>
      </c>
      <c r="H1520" s="7771" t="s">
        <v>28</v>
      </c>
      <c r="I1520" s="7771" t="s">
        <v>868</v>
      </c>
    </row>
    <row customHeight="1" ht="11.25">
      <c r="A1521" s="7771" t="s">
        <v>2266</v>
      </c>
      <c r="B1521" s="7771" t="s">
        <v>16</v>
      </c>
      <c r="C1521" s="7771" t="s">
        <v>3997</v>
      </c>
      <c r="D1521" s="7771" t="s">
        <v>3994</v>
      </c>
      <c r="E1521" s="7771" t="s">
        <v>3998</v>
      </c>
      <c r="F1521" s="7771" t="s">
        <v>2360</v>
      </c>
      <c r="G1521" s="7771" t="s">
        <v>3999</v>
      </c>
      <c r="H1521" s="7771" t="s">
        <v>28</v>
      </c>
      <c r="I1521" s="7771" t="s">
        <v>868</v>
      </c>
    </row>
    <row customHeight="1" ht="11.25">
      <c r="A1522" s="7771" t="s">
        <v>2266</v>
      </c>
      <c r="B1522" s="7771" t="s">
        <v>16</v>
      </c>
      <c r="C1522" s="7771" t="s">
        <v>5525</v>
      </c>
      <c r="D1522" s="7771" t="s">
        <v>5526</v>
      </c>
      <c r="E1522" s="7771" t="s">
        <v>5527</v>
      </c>
      <c r="F1522" s="7771" t="s">
        <v>2347</v>
      </c>
      <c r="G1522" s="7771" t="s">
        <v>28</v>
      </c>
      <c r="H1522" s="7771" t="s">
        <v>28</v>
      </c>
      <c r="I1522" s="7771" t="s">
        <v>868</v>
      </c>
    </row>
    <row customHeight="1" ht="11.25">
      <c r="A1523" s="7771" t="s">
        <v>2266</v>
      </c>
      <c r="B1523" s="7771" t="s">
        <v>16</v>
      </c>
      <c r="C1523" s="7771" t="s">
        <v>4007</v>
      </c>
      <c r="D1523" s="7771" t="s">
        <v>4008</v>
      </c>
      <c r="E1523" s="7771" t="s">
        <v>4009</v>
      </c>
      <c r="F1523" s="7771" t="s">
        <v>3626</v>
      </c>
      <c r="G1523" s="7771" t="s">
        <v>4010</v>
      </c>
      <c r="H1523" s="7771" t="s">
        <v>28</v>
      </c>
      <c r="I1523" s="7771" t="s">
        <v>868</v>
      </c>
    </row>
    <row customHeight="1" ht="11.25">
      <c r="A1524" s="7771" t="s">
        <v>2266</v>
      </c>
      <c r="B1524" s="7771" t="s">
        <v>16</v>
      </c>
      <c r="C1524" s="7771" t="s">
        <v>4039</v>
      </c>
      <c r="D1524" s="7771" t="s">
        <v>4040</v>
      </c>
      <c r="E1524" s="7771" t="s">
        <v>4041</v>
      </c>
      <c r="F1524" s="7771" t="s">
        <v>2280</v>
      </c>
      <c r="G1524" s="7771" t="s">
        <v>4042</v>
      </c>
      <c r="H1524" s="7771" t="s">
        <v>28</v>
      </c>
      <c r="I1524" s="7771" t="s">
        <v>868</v>
      </c>
    </row>
    <row customHeight="1" ht="11.25">
      <c r="A1525" s="7771" t="s">
        <v>2266</v>
      </c>
      <c r="B1525" s="7771" t="s">
        <v>16</v>
      </c>
      <c r="C1525" s="7771" t="s">
        <v>4046</v>
      </c>
      <c r="D1525" s="7771" t="s">
        <v>4047</v>
      </c>
      <c r="E1525" s="7771" t="s">
        <v>4048</v>
      </c>
      <c r="F1525" s="7771" t="s">
        <v>2739</v>
      </c>
      <c r="G1525" s="7771" t="s">
        <v>4049</v>
      </c>
      <c r="H1525" s="7771" t="s">
        <v>28</v>
      </c>
      <c r="I1525" s="7771" t="s">
        <v>868</v>
      </c>
    </row>
    <row customHeight="1" ht="11.25">
      <c r="A1526" s="7771" t="s">
        <v>2266</v>
      </c>
      <c r="B1526" s="7771" t="s">
        <v>16</v>
      </c>
      <c r="C1526" s="7771" t="s">
        <v>4050</v>
      </c>
      <c r="D1526" s="7771" t="s">
        <v>4051</v>
      </c>
      <c r="E1526" s="7771" t="s">
        <v>4052</v>
      </c>
      <c r="F1526" s="7771" t="s">
        <v>2295</v>
      </c>
      <c r="G1526" s="7771" t="s">
        <v>4053</v>
      </c>
      <c r="H1526" s="7771" t="s">
        <v>28</v>
      </c>
      <c r="I1526" s="7771" t="s">
        <v>868</v>
      </c>
    </row>
    <row customHeight="1" ht="11.25">
      <c r="A1527" s="7771" t="s">
        <v>2266</v>
      </c>
      <c r="B1527" s="7771" t="s">
        <v>16</v>
      </c>
      <c r="C1527" s="7771" t="s">
        <v>4062</v>
      </c>
      <c r="D1527" s="7771" t="s">
        <v>4063</v>
      </c>
      <c r="E1527" s="7771" t="s">
        <v>4064</v>
      </c>
      <c r="F1527" s="7771" t="s">
        <v>4065</v>
      </c>
      <c r="G1527" s="7771" t="s">
        <v>4066</v>
      </c>
      <c r="H1527" s="7771" t="s">
        <v>28</v>
      </c>
      <c r="I1527" s="7771" t="s">
        <v>868</v>
      </c>
    </row>
    <row customHeight="1" ht="11.25">
      <c r="A1528" s="7771" t="s">
        <v>2266</v>
      </c>
      <c r="B1528" s="7771" t="s">
        <v>16</v>
      </c>
      <c r="C1528" s="7771" t="s">
        <v>4067</v>
      </c>
      <c r="D1528" s="7771" t="s">
        <v>4068</v>
      </c>
      <c r="E1528" s="7771" t="s">
        <v>4069</v>
      </c>
      <c r="F1528" s="7771" t="s">
        <v>2629</v>
      </c>
      <c r="G1528" s="7771" t="s">
        <v>4070</v>
      </c>
      <c r="H1528" s="7771" t="s">
        <v>28</v>
      </c>
      <c r="I1528" s="7771" t="s">
        <v>868</v>
      </c>
    </row>
    <row customHeight="1" ht="11.25">
      <c r="A1529" s="7771" t="s">
        <v>2266</v>
      </c>
      <c r="B1529" s="7771" t="s">
        <v>16</v>
      </c>
      <c r="C1529" s="7771" t="s">
        <v>4078</v>
      </c>
      <c r="D1529" s="7771" t="s">
        <v>4079</v>
      </c>
      <c r="E1529" s="7771" t="s">
        <v>4080</v>
      </c>
      <c r="F1529" s="7771" t="s">
        <v>2342</v>
      </c>
      <c r="G1529" s="7771" t="s">
        <v>28</v>
      </c>
      <c r="H1529" s="7771" t="s">
        <v>28</v>
      </c>
      <c r="I1529" s="7771" t="s">
        <v>868</v>
      </c>
    </row>
    <row customHeight="1" ht="11.25">
      <c r="A1530" s="7771" t="s">
        <v>2266</v>
      </c>
      <c r="B1530" s="7771" t="s">
        <v>16</v>
      </c>
      <c r="C1530" s="7771" t="s">
        <v>4084</v>
      </c>
      <c r="D1530" s="7771" t="s">
        <v>4085</v>
      </c>
      <c r="E1530" s="7771" t="s">
        <v>4086</v>
      </c>
      <c r="F1530" s="7771" t="s">
        <v>2300</v>
      </c>
      <c r="G1530" s="7771" t="s">
        <v>28</v>
      </c>
      <c r="H1530" s="7771" t="s">
        <v>28</v>
      </c>
      <c r="I1530" s="7771" t="s">
        <v>868</v>
      </c>
    </row>
    <row customHeight="1" ht="11.25">
      <c r="A1531" s="7771" t="s">
        <v>2266</v>
      </c>
      <c r="B1531" s="7771" t="s">
        <v>16</v>
      </c>
      <c r="C1531" s="7771" t="s">
        <v>4087</v>
      </c>
      <c r="D1531" s="7771" t="s">
        <v>4088</v>
      </c>
      <c r="E1531" s="7771" t="s">
        <v>4089</v>
      </c>
      <c r="F1531" s="7771" t="s">
        <v>2846</v>
      </c>
      <c r="G1531" s="7771" t="s">
        <v>4090</v>
      </c>
      <c r="H1531" s="7771" t="s">
        <v>28</v>
      </c>
      <c r="I1531" s="7771" t="s">
        <v>868</v>
      </c>
    </row>
    <row customHeight="1" ht="11.25">
      <c r="A1532" s="7771" t="s">
        <v>2266</v>
      </c>
      <c r="B1532" s="7771" t="s">
        <v>16</v>
      </c>
      <c r="C1532" s="7771" t="s">
        <v>5528</v>
      </c>
      <c r="D1532" s="7771" t="s">
        <v>5529</v>
      </c>
      <c r="E1532" s="7771" t="s">
        <v>5530</v>
      </c>
      <c r="F1532" s="7771" t="s">
        <v>3679</v>
      </c>
      <c r="G1532" s="7771" t="s">
        <v>5531</v>
      </c>
      <c r="H1532" s="7771" t="s">
        <v>28</v>
      </c>
      <c r="I1532" s="7771" t="s">
        <v>868</v>
      </c>
    </row>
    <row customHeight="1" ht="11.25">
      <c r="A1533" s="7771" t="s">
        <v>2266</v>
      </c>
      <c r="B1533" s="7771" t="s">
        <v>16</v>
      </c>
      <c r="C1533" s="7771" t="s">
        <v>5532</v>
      </c>
      <c r="D1533" s="7771" t="s">
        <v>5533</v>
      </c>
      <c r="E1533" s="7771" t="s">
        <v>5534</v>
      </c>
      <c r="F1533" s="7771" t="s">
        <v>2285</v>
      </c>
      <c r="G1533" s="7771" t="s">
        <v>5535</v>
      </c>
      <c r="H1533" s="7771" t="s">
        <v>28</v>
      </c>
      <c r="I1533" s="7771" t="s">
        <v>868</v>
      </c>
    </row>
    <row customHeight="1" ht="11.25">
      <c r="A1534" s="7771" t="s">
        <v>2266</v>
      </c>
      <c r="B1534" s="7771" t="s">
        <v>16</v>
      </c>
      <c r="C1534" s="7771" t="s">
        <v>5536</v>
      </c>
      <c r="D1534" s="7771" t="s">
        <v>5537</v>
      </c>
      <c r="E1534" s="7771" t="s">
        <v>5538</v>
      </c>
      <c r="F1534" s="7771" t="s">
        <v>2629</v>
      </c>
      <c r="G1534" s="7771" t="s">
        <v>5539</v>
      </c>
      <c r="H1534" s="7771" t="s">
        <v>28</v>
      </c>
      <c r="I1534" s="7771" t="s">
        <v>868</v>
      </c>
    </row>
    <row customHeight="1" ht="11.25">
      <c r="A1535" s="7771" t="s">
        <v>2266</v>
      </c>
      <c r="B1535" s="7771" t="s">
        <v>16</v>
      </c>
      <c r="C1535" s="7771" t="s">
        <v>4110</v>
      </c>
      <c r="D1535" s="7771" t="s">
        <v>4111</v>
      </c>
      <c r="E1535" s="7771" t="s">
        <v>4112</v>
      </c>
      <c r="F1535" s="7771" t="s">
        <v>2280</v>
      </c>
      <c r="G1535" s="7771" t="s">
        <v>4113</v>
      </c>
      <c r="H1535" s="7771" t="s">
        <v>28</v>
      </c>
      <c r="I1535" s="7771" t="s">
        <v>868</v>
      </c>
    </row>
    <row customHeight="1" ht="11.25">
      <c r="A1536" s="7771" t="s">
        <v>2266</v>
      </c>
      <c r="B1536" s="7771" t="s">
        <v>16</v>
      </c>
      <c r="C1536" s="7771" t="s">
        <v>4121</v>
      </c>
      <c r="D1536" s="7771" t="s">
        <v>4122</v>
      </c>
      <c r="E1536" s="7771" t="s">
        <v>4123</v>
      </c>
      <c r="F1536" s="7771" t="s">
        <v>2295</v>
      </c>
      <c r="G1536" s="7771" t="s">
        <v>4124</v>
      </c>
      <c r="H1536" s="7771" t="s">
        <v>28</v>
      </c>
      <c r="I1536" s="7771" t="s">
        <v>868</v>
      </c>
    </row>
    <row customHeight="1" ht="11.25">
      <c r="A1537" s="7771" t="s">
        <v>2266</v>
      </c>
      <c r="B1537" s="7771" t="s">
        <v>16</v>
      </c>
      <c r="C1537" s="7771" t="s">
        <v>5540</v>
      </c>
      <c r="D1537" s="7771" t="s">
        <v>5541</v>
      </c>
      <c r="E1537" s="7771" t="s">
        <v>5542</v>
      </c>
      <c r="F1537" s="7771" t="s">
        <v>2295</v>
      </c>
      <c r="G1537" s="7771" t="s">
        <v>5543</v>
      </c>
      <c r="H1537" s="7771" t="s">
        <v>28</v>
      </c>
      <c r="I1537" s="7771" t="s">
        <v>868</v>
      </c>
    </row>
    <row customHeight="1" ht="11.25">
      <c r="A1538" s="7771" t="s">
        <v>2266</v>
      </c>
      <c r="B1538" s="7771" t="s">
        <v>16</v>
      </c>
      <c r="C1538" s="7771" t="s">
        <v>5544</v>
      </c>
      <c r="D1538" s="7771" t="s">
        <v>5545</v>
      </c>
      <c r="E1538" s="7771" t="s">
        <v>5546</v>
      </c>
      <c r="F1538" s="7771" t="s">
        <v>2655</v>
      </c>
      <c r="G1538" s="7771" t="s">
        <v>28</v>
      </c>
      <c r="H1538" s="7771" t="s">
        <v>28</v>
      </c>
      <c r="I1538" s="7771" t="s">
        <v>868</v>
      </c>
    </row>
    <row customHeight="1" ht="11.25">
      <c r="A1539" s="7771" t="s">
        <v>2266</v>
      </c>
      <c r="B1539" s="7771" t="s">
        <v>16</v>
      </c>
      <c r="C1539" s="7771" t="s">
        <v>5547</v>
      </c>
      <c r="D1539" s="7771" t="s">
        <v>5548</v>
      </c>
      <c r="E1539" s="7771" t="s">
        <v>5549</v>
      </c>
      <c r="F1539" s="7771" t="s">
        <v>4328</v>
      </c>
      <c r="G1539" s="7771" t="s">
        <v>28</v>
      </c>
      <c r="H1539" s="7771" t="s">
        <v>28</v>
      </c>
      <c r="I1539" s="7771" t="s">
        <v>868</v>
      </c>
    </row>
    <row customHeight="1" ht="11.25">
      <c r="A1540" s="7771" t="s">
        <v>2266</v>
      </c>
      <c r="B1540" s="7771" t="s">
        <v>16</v>
      </c>
      <c r="C1540" s="7771" t="s">
        <v>5550</v>
      </c>
      <c r="D1540" s="7771" t="s">
        <v>5551</v>
      </c>
      <c r="E1540" s="7771" t="s">
        <v>5552</v>
      </c>
      <c r="F1540" s="7771" t="s">
        <v>2430</v>
      </c>
      <c r="G1540" s="7771" t="s">
        <v>5553</v>
      </c>
      <c r="H1540" s="7771" t="s">
        <v>28</v>
      </c>
      <c r="I1540" s="7771" t="s">
        <v>868</v>
      </c>
    </row>
    <row customHeight="1" ht="11.25">
      <c r="A1541" s="7771" t="s">
        <v>2266</v>
      </c>
      <c r="B1541" s="7771" t="s">
        <v>16</v>
      </c>
      <c r="C1541" s="7771" t="s">
        <v>5554</v>
      </c>
      <c r="D1541" s="7771" t="s">
        <v>5555</v>
      </c>
      <c r="E1541" s="7771" t="s">
        <v>5556</v>
      </c>
      <c r="F1541" s="7771" t="s">
        <v>2280</v>
      </c>
      <c r="G1541" s="7771" t="s">
        <v>28</v>
      </c>
      <c r="H1541" s="7771" t="s">
        <v>28</v>
      </c>
      <c r="I1541" s="7771" t="s">
        <v>868</v>
      </c>
    </row>
    <row customHeight="1" ht="11.25">
      <c r="A1542" s="7771" t="s">
        <v>2266</v>
      </c>
      <c r="B1542" s="7771" t="s">
        <v>16</v>
      </c>
      <c r="C1542" s="7771" t="s">
        <v>5557</v>
      </c>
      <c r="D1542" s="7771" t="s">
        <v>5558</v>
      </c>
      <c r="E1542" s="7771" t="s">
        <v>5559</v>
      </c>
      <c r="F1542" s="7771" t="s">
        <v>2280</v>
      </c>
      <c r="G1542" s="7771" t="s">
        <v>5560</v>
      </c>
      <c r="H1542" s="7771" t="s">
        <v>28</v>
      </c>
      <c r="I1542" s="7771" t="s">
        <v>868</v>
      </c>
    </row>
    <row customHeight="1" ht="11.25">
      <c r="A1543" s="7771" t="s">
        <v>2266</v>
      </c>
      <c r="B1543" s="7771" t="s">
        <v>16</v>
      </c>
      <c r="C1543" s="7771" t="s">
        <v>5561</v>
      </c>
      <c r="D1543" s="7771" t="s">
        <v>5562</v>
      </c>
      <c r="E1543" s="7771" t="s">
        <v>5563</v>
      </c>
      <c r="F1543" s="7771" t="s">
        <v>2280</v>
      </c>
      <c r="G1543" s="7771" t="s">
        <v>5564</v>
      </c>
      <c r="H1543" s="7771" t="s">
        <v>28</v>
      </c>
      <c r="I1543" s="7771" t="s">
        <v>868</v>
      </c>
    </row>
    <row customHeight="1" ht="11.25">
      <c r="A1544" s="7771" t="s">
        <v>2266</v>
      </c>
      <c r="B1544" s="7771" t="s">
        <v>16</v>
      </c>
      <c r="C1544" s="7771" t="s">
        <v>4154</v>
      </c>
      <c r="D1544" s="7771" t="s">
        <v>4155</v>
      </c>
      <c r="E1544" s="7771" t="s">
        <v>4156</v>
      </c>
      <c r="F1544" s="7771" t="s">
        <v>3027</v>
      </c>
      <c r="G1544" s="7771" t="s">
        <v>4157</v>
      </c>
      <c r="H1544" s="7771" t="s">
        <v>28</v>
      </c>
      <c r="I1544" s="7771" t="s">
        <v>868</v>
      </c>
    </row>
    <row customHeight="1" ht="11.25">
      <c r="A1545" s="7771" t="s">
        <v>2266</v>
      </c>
      <c r="B1545" s="7771" t="s">
        <v>16</v>
      </c>
      <c r="C1545" s="7771" t="s">
        <v>4162</v>
      </c>
      <c r="D1545" s="7771" t="s">
        <v>4163</v>
      </c>
      <c r="E1545" s="7771" t="s">
        <v>4164</v>
      </c>
      <c r="F1545" s="7771" t="s">
        <v>4165</v>
      </c>
      <c r="G1545" s="7771" t="s">
        <v>3718</v>
      </c>
      <c r="H1545" s="7771" t="s">
        <v>28</v>
      </c>
      <c r="I1545" s="7771" t="s">
        <v>868</v>
      </c>
    </row>
    <row customHeight="1" ht="11.25">
      <c r="A1546" s="7771" t="s">
        <v>2266</v>
      </c>
      <c r="B1546" s="7771" t="s">
        <v>16</v>
      </c>
      <c r="C1546" s="7771" t="s">
        <v>4166</v>
      </c>
      <c r="D1546" s="7771" t="s">
        <v>4167</v>
      </c>
      <c r="E1546" s="7771" t="s">
        <v>4168</v>
      </c>
      <c r="F1546" s="7771" t="s">
        <v>3027</v>
      </c>
      <c r="G1546" s="7771" t="s">
        <v>4169</v>
      </c>
      <c r="H1546" s="7771" t="s">
        <v>28</v>
      </c>
      <c r="I1546" s="7771" t="s">
        <v>868</v>
      </c>
    </row>
    <row customHeight="1" ht="11.25">
      <c r="A1547" s="7771" t="s">
        <v>2266</v>
      </c>
      <c r="B1547" s="7771" t="s">
        <v>16</v>
      </c>
      <c r="C1547" s="7771" t="s">
        <v>4182</v>
      </c>
      <c r="D1547" s="7771" t="s">
        <v>4183</v>
      </c>
      <c r="E1547" s="7771" t="s">
        <v>4184</v>
      </c>
      <c r="F1547" s="7771" t="s">
        <v>2377</v>
      </c>
      <c r="G1547" s="7771" t="s">
        <v>4185</v>
      </c>
      <c r="H1547" s="7771" t="s">
        <v>28</v>
      </c>
      <c r="I1547" s="7771" t="s">
        <v>868</v>
      </c>
    </row>
    <row customHeight="1" ht="11.25">
      <c r="A1548" s="7771" t="s">
        <v>2266</v>
      </c>
      <c r="B1548" s="7771" t="s">
        <v>16</v>
      </c>
      <c r="C1548" s="7771" t="s">
        <v>5565</v>
      </c>
      <c r="D1548" s="7771" t="s">
        <v>5566</v>
      </c>
      <c r="E1548" s="7771" t="s">
        <v>5567</v>
      </c>
      <c r="F1548" s="7771" t="s">
        <v>4535</v>
      </c>
      <c r="G1548" s="7771" t="s">
        <v>5568</v>
      </c>
      <c r="H1548" s="7771" t="s">
        <v>28</v>
      </c>
      <c r="I1548" s="7771" t="s">
        <v>868</v>
      </c>
    </row>
    <row customHeight="1" ht="11.25">
      <c r="A1549" s="7771" t="s">
        <v>2266</v>
      </c>
      <c r="B1549" s="7771" t="s">
        <v>16</v>
      </c>
      <c r="C1549" s="7771" t="s">
        <v>5569</v>
      </c>
      <c r="D1549" s="7771" t="s">
        <v>5570</v>
      </c>
      <c r="E1549" s="7771" t="s">
        <v>5571</v>
      </c>
      <c r="F1549" s="7771" t="s">
        <v>2360</v>
      </c>
      <c r="G1549" s="7771" t="s">
        <v>5572</v>
      </c>
      <c r="H1549" s="7771" t="s">
        <v>28</v>
      </c>
      <c r="I1549" s="7771" t="s">
        <v>868</v>
      </c>
    </row>
    <row customHeight="1" ht="11.25">
      <c r="A1550" s="7771" t="s">
        <v>2266</v>
      </c>
      <c r="B1550" s="7771" t="s">
        <v>16</v>
      </c>
      <c r="C1550" s="7771" t="s">
        <v>4194</v>
      </c>
      <c r="D1550" s="7771" t="s">
        <v>4195</v>
      </c>
      <c r="E1550" s="7771" t="s">
        <v>4196</v>
      </c>
      <c r="F1550" s="7771" t="s">
        <v>2280</v>
      </c>
      <c r="G1550" s="7771" t="s">
        <v>4197</v>
      </c>
      <c r="H1550" s="7771" t="s">
        <v>28</v>
      </c>
      <c r="I1550" s="7771" t="s">
        <v>868</v>
      </c>
    </row>
    <row customHeight="1" ht="11.25">
      <c r="A1551" s="7771" t="s">
        <v>2266</v>
      </c>
      <c r="B1551" s="7771" t="s">
        <v>16</v>
      </c>
      <c r="C1551" s="7771" t="s">
        <v>5573</v>
      </c>
      <c r="D1551" s="7771" t="s">
        <v>5574</v>
      </c>
      <c r="E1551" s="7771" t="s">
        <v>5575</v>
      </c>
      <c r="F1551" s="7771" t="s">
        <v>2280</v>
      </c>
      <c r="G1551" s="7771" t="s">
        <v>28</v>
      </c>
      <c r="H1551" s="7771" t="s">
        <v>28</v>
      </c>
      <c r="I1551" s="7771" t="s">
        <v>868</v>
      </c>
    </row>
    <row customHeight="1" ht="11.25">
      <c r="A1552" s="7771" t="s">
        <v>2266</v>
      </c>
      <c r="B1552" s="7771" t="s">
        <v>16</v>
      </c>
      <c r="C1552" s="7771" t="s">
        <v>4202</v>
      </c>
      <c r="D1552" s="7771" t="s">
        <v>4203</v>
      </c>
      <c r="E1552" s="7771" t="s">
        <v>4204</v>
      </c>
      <c r="F1552" s="7771" t="s">
        <v>2451</v>
      </c>
      <c r="G1552" s="7771" t="s">
        <v>4205</v>
      </c>
      <c r="H1552" s="7771" t="s">
        <v>28</v>
      </c>
      <c r="I1552" s="7771" t="s">
        <v>868</v>
      </c>
    </row>
    <row customHeight="1" ht="11.25">
      <c r="A1553" s="7771" t="s">
        <v>2266</v>
      </c>
      <c r="B1553" s="7771" t="s">
        <v>16</v>
      </c>
      <c r="C1553" s="7771" t="s">
        <v>4209</v>
      </c>
      <c r="D1553" s="7771" t="s">
        <v>4207</v>
      </c>
      <c r="E1553" s="7771" t="s">
        <v>4210</v>
      </c>
      <c r="F1553" s="7771" t="s">
        <v>2753</v>
      </c>
      <c r="G1553" s="7771" t="s">
        <v>4211</v>
      </c>
      <c r="H1553" s="7771" t="s">
        <v>28</v>
      </c>
      <c r="I1553" s="7771" t="s">
        <v>868</v>
      </c>
    </row>
    <row customHeight="1" ht="11.25">
      <c r="A1554" s="7771" t="s">
        <v>2266</v>
      </c>
      <c r="B1554" s="7771" t="s">
        <v>16</v>
      </c>
      <c r="C1554" s="7771" t="s">
        <v>4223</v>
      </c>
      <c r="D1554" s="7771" t="s">
        <v>4224</v>
      </c>
      <c r="E1554" s="7771" t="s">
        <v>4225</v>
      </c>
      <c r="F1554" s="7771" t="s">
        <v>2642</v>
      </c>
      <c r="G1554" s="7771" t="s">
        <v>4226</v>
      </c>
      <c r="H1554" s="7771" t="s">
        <v>28</v>
      </c>
      <c r="I1554" s="7771" t="s">
        <v>868</v>
      </c>
    </row>
    <row customHeight="1" ht="11.25">
      <c r="A1555" s="7771" t="s">
        <v>2266</v>
      </c>
      <c r="B1555" s="7771" t="s">
        <v>16</v>
      </c>
      <c r="C1555" s="7771" t="s">
        <v>5576</v>
      </c>
      <c r="D1555" s="7771" t="s">
        <v>5577</v>
      </c>
      <c r="E1555" s="7771" t="s">
        <v>5578</v>
      </c>
      <c r="F1555" s="7771" t="s">
        <v>2347</v>
      </c>
      <c r="G1555" s="7771" t="s">
        <v>28</v>
      </c>
      <c r="H1555" s="7771" t="s">
        <v>28</v>
      </c>
      <c r="I1555" s="7771" t="s">
        <v>868</v>
      </c>
    </row>
    <row customHeight="1" ht="11.25">
      <c r="A1556" s="7771" t="s">
        <v>2266</v>
      </c>
      <c r="B1556" s="7771" t="s">
        <v>16</v>
      </c>
      <c r="C1556" s="7771" t="s">
        <v>5579</v>
      </c>
      <c r="D1556" s="7771" t="s">
        <v>5580</v>
      </c>
      <c r="E1556" s="7771" t="s">
        <v>5581</v>
      </c>
      <c r="F1556" s="7771" t="s">
        <v>3726</v>
      </c>
      <c r="G1556" s="7771" t="s">
        <v>5582</v>
      </c>
      <c r="H1556" s="7771" t="s">
        <v>28</v>
      </c>
      <c r="I1556" s="7771" t="s">
        <v>868</v>
      </c>
    </row>
    <row customHeight="1" ht="11.25">
      <c r="A1557" s="7771" t="s">
        <v>2266</v>
      </c>
      <c r="B1557" s="7771" t="s">
        <v>16</v>
      </c>
      <c r="C1557" s="7771" t="s">
        <v>5583</v>
      </c>
      <c r="D1557" s="7771" t="s">
        <v>5584</v>
      </c>
      <c r="E1557" s="7771" t="s">
        <v>5585</v>
      </c>
      <c r="F1557" s="7771" t="s">
        <v>2518</v>
      </c>
      <c r="G1557" s="7771" t="s">
        <v>5586</v>
      </c>
      <c r="H1557" s="7771" t="s">
        <v>28</v>
      </c>
      <c r="I1557" s="7771" t="s">
        <v>868</v>
      </c>
    </row>
    <row customHeight="1" ht="11.25">
      <c r="A1558" s="7771" t="s">
        <v>2266</v>
      </c>
      <c r="B1558" s="7771" t="s">
        <v>16</v>
      </c>
      <c r="C1558" s="7771" t="s">
        <v>5587</v>
      </c>
      <c r="D1558" s="7771" t="s">
        <v>5588</v>
      </c>
      <c r="E1558" s="7771" t="s">
        <v>5589</v>
      </c>
      <c r="F1558" s="7771" t="s">
        <v>2981</v>
      </c>
      <c r="G1558" s="7771" t="s">
        <v>28</v>
      </c>
      <c r="H1558" s="7771" t="s">
        <v>28</v>
      </c>
      <c r="I1558" s="7771" t="s">
        <v>868</v>
      </c>
    </row>
    <row customHeight="1" ht="11.25">
      <c r="A1559" s="7771" t="s">
        <v>2266</v>
      </c>
      <c r="B1559" s="7771" t="s">
        <v>16</v>
      </c>
      <c r="C1559" s="7771" t="s">
        <v>4814</v>
      </c>
      <c r="D1559" s="7771" t="s">
        <v>4815</v>
      </c>
      <c r="E1559" s="7771" t="s">
        <v>4816</v>
      </c>
      <c r="F1559" s="7771" t="s">
        <v>2441</v>
      </c>
      <c r="G1559" s="7771" t="s">
        <v>28</v>
      </c>
      <c r="H1559" s="7771" t="s">
        <v>28</v>
      </c>
      <c r="I1559" s="7771" t="s">
        <v>868</v>
      </c>
    </row>
    <row customHeight="1" ht="11.25">
      <c r="A1560" s="7771" t="s">
        <v>2266</v>
      </c>
      <c r="B1560" s="7771" t="s">
        <v>16</v>
      </c>
      <c r="C1560" s="7771" t="s">
        <v>4244</v>
      </c>
      <c r="D1560" s="7771" t="s">
        <v>4245</v>
      </c>
      <c r="E1560" s="7771" t="s">
        <v>4246</v>
      </c>
      <c r="F1560" s="7771" t="s">
        <v>2295</v>
      </c>
      <c r="G1560" s="7771" t="s">
        <v>28</v>
      </c>
      <c r="H1560" s="7771" t="s">
        <v>28</v>
      </c>
      <c r="I1560" s="7771" t="s">
        <v>868</v>
      </c>
    </row>
    <row customHeight="1" ht="11.25">
      <c r="A1561" s="7771" t="s">
        <v>2266</v>
      </c>
      <c r="B1561" s="7771" t="s">
        <v>16</v>
      </c>
      <c r="C1561" s="7771" t="s">
        <v>4255</v>
      </c>
      <c r="D1561" s="7771" t="s">
        <v>4256</v>
      </c>
      <c r="E1561" s="7771" t="s">
        <v>4257</v>
      </c>
      <c r="F1561" s="7771" t="s">
        <v>2446</v>
      </c>
      <c r="G1561" s="7771" t="s">
        <v>4258</v>
      </c>
      <c r="H1561" s="7771" t="s">
        <v>28</v>
      </c>
      <c r="I1561" s="7771" t="s">
        <v>868</v>
      </c>
    </row>
    <row customHeight="1" ht="11.25">
      <c r="A1562" s="7771" t="s">
        <v>2266</v>
      </c>
      <c r="B1562" s="7771" t="s">
        <v>16</v>
      </c>
      <c r="C1562" s="7771" t="s">
        <v>4270</v>
      </c>
      <c r="D1562" s="7771" t="s">
        <v>4271</v>
      </c>
      <c r="E1562" s="7771" t="s">
        <v>4272</v>
      </c>
      <c r="F1562" s="7771" t="s">
        <v>2629</v>
      </c>
      <c r="G1562" s="7771" t="s">
        <v>28</v>
      </c>
      <c r="H1562" s="7771" t="s">
        <v>28</v>
      </c>
      <c r="I1562" s="7771" t="s">
        <v>868</v>
      </c>
    </row>
    <row customHeight="1" ht="11.25">
      <c r="A1563" s="7771" t="s">
        <v>2266</v>
      </c>
      <c r="B1563" s="7771" t="s">
        <v>16</v>
      </c>
      <c r="C1563" s="7771" t="s">
        <v>4273</v>
      </c>
      <c r="D1563" s="7771" t="s">
        <v>4271</v>
      </c>
      <c r="E1563" s="7771" t="s">
        <v>4274</v>
      </c>
      <c r="F1563" s="7771" t="s">
        <v>2441</v>
      </c>
      <c r="G1563" s="7771" t="s">
        <v>4275</v>
      </c>
      <c r="H1563" s="7771" t="s">
        <v>28</v>
      </c>
      <c r="I1563" s="7771" t="s">
        <v>868</v>
      </c>
    </row>
    <row customHeight="1" ht="11.25">
      <c r="A1564" s="7771" t="s">
        <v>2266</v>
      </c>
      <c r="B1564" s="7771" t="s">
        <v>16</v>
      </c>
      <c r="C1564" s="7771" t="s">
        <v>5590</v>
      </c>
      <c r="D1564" s="7771" t="s">
        <v>5591</v>
      </c>
      <c r="E1564" s="7771" t="s">
        <v>5592</v>
      </c>
      <c r="F1564" s="7771" t="s">
        <v>2385</v>
      </c>
      <c r="G1564" s="7771" t="s">
        <v>5593</v>
      </c>
      <c r="H1564" s="7771" t="s">
        <v>28</v>
      </c>
      <c r="I1564" s="7771" t="s">
        <v>868</v>
      </c>
    </row>
    <row customHeight="1" ht="11.25">
      <c r="A1565" s="7771" t="s">
        <v>2266</v>
      </c>
      <c r="B1565" s="7771" t="s">
        <v>16</v>
      </c>
      <c r="C1565" s="7771" t="s">
        <v>5594</v>
      </c>
      <c r="D1565" s="7771" t="s">
        <v>5595</v>
      </c>
      <c r="E1565" s="7771" t="s">
        <v>5596</v>
      </c>
      <c r="F1565" s="7771" t="s">
        <v>2473</v>
      </c>
      <c r="G1565" s="7771" t="s">
        <v>5597</v>
      </c>
      <c r="H1565" s="7771" t="s">
        <v>28</v>
      </c>
      <c r="I1565" s="7771" t="s">
        <v>868</v>
      </c>
    </row>
    <row customHeight="1" ht="11.25">
      <c r="A1566" s="7771" t="s">
        <v>2266</v>
      </c>
      <c r="B1566" s="7771" t="s">
        <v>16</v>
      </c>
      <c r="C1566" s="7771" t="s">
        <v>4288</v>
      </c>
      <c r="D1566" s="7771" t="s">
        <v>4289</v>
      </c>
      <c r="E1566" s="7771" t="s">
        <v>4290</v>
      </c>
      <c r="F1566" s="7771" t="s">
        <v>2451</v>
      </c>
      <c r="G1566" s="7771" t="s">
        <v>4291</v>
      </c>
      <c r="H1566" s="7771" t="s">
        <v>28</v>
      </c>
      <c r="I1566" s="7771" t="s">
        <v>868</v>
      </c>
    </row>
    <row customHeight="1" ht="11.25">
      <c r="A1567" s="7771" t="s">
        <v>2266</v>
      </c>
      <c r="B1567" s="7771" t="s">
        <v>16</v>
      </c>
      <c r="C1567" s="7771" t="s">
        <v>5598</v>
      </c>
      <c r="D1567" s="7771" t="s">
        <v>5599</v>
      </c>
      <c r="E1567" s="7771" t="s">
        <v>5600</v>
      </c>
      <c r="F1567" s="7771" t="s">
        <v>2518</v>
      </c>
      <c r="G1567" s="7771" t="s">
        <v>5601</v>
      </c>
      <c r="H1567" s="7771" t="s">
        <v>28</v>
      </c>
      <c r="I1567" s="7771" t="s">
        <v>868</v>
      </c>
    </row>
    <row customHeight="1" ht="11.25">
      <c r="A1568" s="7771" t="s">
        <v>2266</v>
      </c>
      <c r="B1568" s="7771" t="s">
        <v>16</v>
      </c>
      <c r="C1568" s="7771" t="s">
        <v>4292</v>
      </c>
      <c r="D1568" s="7771" t="s">
        <v>4293</v>
      </c>
      <c r="E1568" s="7771" t="s">
        <v>4294</v>
      </c>
      <c r="F1568" s="7771" t="s">
        <v>2468</v>
      </c>
      <c r="G1568" s="7771" t="s">
        <v>28</v>
      </c>
      <c r="H1568" s="7771" t="s">
        <v>28</v>
      </c>
      <c r="I1568" s="7771" t="s">
        <v>868</v>
      </c>
    </row>
    <row customHeight="1" ht="11.25">
      <c r="A1569" s="7771" t="s">
        <v>2266</v>
      </c>
      <c r="B1569" s="7771" t="s">
        <v>16</v>
      </c>
      <c r="C1569" s="7771" t="s">
        <v>5602</v>
      </c>
      <c r="D1569" s="7771" t="s">
        <v>5603</v>
      </c>
      <c r="E1569" s="7771" t="s">
        <v>5604</v>
      </c>
      <c r="F1569" s="7771" t="s">
        <v>2981</v>
      </c>
      <c r="G1569" s="7771" t="s">
        <v>5605</v>
      </c>
      <c r="H1569" s="7771" t="s">
        <v>28</v>
      </c>
      <c r="I1569" s="7771" t="s">
        <v>868</v>
      </c>
    </row>
    <row customHeight="1" ht="11.25">
      <c r="A1570" s="7771" t="s">
        <v>2266</v>
      </c>
      <c r="B1570" s="7771" t="s">
        <v>16</v>
      </c>
      <c r="C1570" s="7771" t="s">
        <v>5606</v>
      </c>
      <c r="D1570" s="7771" t="s">
        <v>5607</v>
      </c>
      <c r="E1570" s="7771" t="s">
        <v>5608</v>
      </c>
      <c r="F1570" s="7771" t="s">
        <v>5609</v>
      </c>
      <c r="G1570" s="7771" t="s">
        <v>5610</v>
      </c>
      <c r="H1570" s="7771" t="s">
        <v>28</v>
      </c>
      <c r="I1570" s="7771" t="s">
        <v>868</v>
      </c>
    </row>
    <row customHeight="1" ht="11.25">
      <c r="A1571" s="7771" t="s">
        <v>2266</v>
      </c>
      <c r="B1571" s="7771" t="s">
        <v>16</v>
      </c>
      <c r="C1571" s="7771" t="s">
        <v>5611</v>
      </c>
      <c r="D1571" s="7771" t="s">
        <v>5612</v>
      </c>
      <c r="E1571" s="7771" t="s">
        <v>5613</v>
      </c>
      <c r="F1571" s="7771" t="s">
        <v>2372</v>
      </c>
      <c r="G1571" s="7771" t="s">
        <v>28</v>
      </c>
      <c r="H1571" s="7771" t="s">
        <v>28</v>
      </c>
      <c r="I1571" s="7771" t="s">
        <v>868</v>
      </c>
    </row>
    <row customHeight="1" ht="11.25">
      <c r="A1572" s="7771" t="s">
        <v>2266</v>
      </c>
      <c r="B1572" s="7771" t="s">
        <v>16</v>
      </c>
      <c r="C1572" s="7771" t="s">
        <v>4307</v>
      </c>
      <c r="D1572" s="7771" t="s">
        <v>4308</v>
      </c>
      <c r="E1572" s="7771" t="s">
        <v>4309</v>
      </c>
      <c r="F1572" s="7771" t="s">
        <v>2285</v>
      </c>
      <c r="G1572" s="7771" t="s">
        <v>4310</v>
      </c>
      <c r="H1572" s="7771" t="s">
        <v>28</v>
      </c>
      <c r="I1572" s="7771" t="s">
        <v>868</v>
      </c>
    </row>
    <row customHeight="1" ht="11.25">
      <c r="A1573" s="7771" t="s">
        <v>2266</v>
      </c>
      <c r="B1573" s="7771" t="s">
        <v>16</v>
      </c>
      <c r="C1573" s="7771" t="s">
        <v>5614</v>
      </c>
      <c r="D1573" s="7771" t="s">
        <v>5615</v>
      </c>
      <c r="E1573" s="7771" t="s">
        <v>5616</v>
      </c>
      <c r="F1573" s="7771" t="s">
        <v>2882</v>
      </c>
      <c r="G1573" s="7771" t="s">
        <v>5617</v>
      </c>
      <c r="H1573" s="7771" t="s">
        <v>28</v>
      </c>
      <c r="I1573" s="7771" t="s">
        <v>868</v>
      </c>
    </row>
    <row customHeight="1" ht="11.25">
      <c r="A1574" s="7771" t="s">
        <v>2266</v>
      </c>
      <c r="B1574" s="7771" t="s">
        <v>16</v>
      </c>
      <c r="C1574" s="7771" t="s">
        <v>4311</v>
      </c>
      <c r="D1574" s="7771" t="s">
        <v>4312</v>
      </c>
      <c r="E1574" s="7771" t="s">
        <v>4313</v>
      </c>
      <c r="F1574" s="7771" t="s">
        <v>2441</v>
      </c>
      <c r="G1574" s="7771" t="s">
        <v>28</v>
      </c>
      <c r="H1574" s="7771" t="s">
        <v>28</v>
      </c>
      <c r="I1574" s="7771" t="s">
        <v>868</v>
      </c>
    </row>
    <row customHeight="1" ht="11.25">
      <c r="A1575" s="7771" t="s">
        <v>2266</v>
      </c>
      <c r="B1575" s="7771" t="s">
        <v>16</v>
      </c>
      <c r="C1575" s="7771" t="s">
        <v>5618</v>
      </c>
      <c r="D1575" s="7771" t="s">
        <v>5619</v>
      </c>
      <c r="E1575" s="7771" t="s">
        <v>5620</v>
      </c>
      <c r="F1575" s="7771" t="s">
        <v>2377</v>
      </c>
      <c r="G1575" s="7771" t="s">
        <v>5621</v>
      </c>
      <c r="H1575" s="7771" t="s">
        <v>28</v>
      </c>
      <c r="I1575" s="7771" t="s">
        <v>868</v>
      </c>
    </row>
    <row customHeight="1" ht="11.25">
      <c r="A1576" s="7771" t="s">
        <v>2266</v>
      </c>
      <c r="B1576" s="7771" t="s">
        <v>16</v>
      </c>
      <c r="C1576" s="7771" t="s">
        <v>4322</v>
      </c>
      <c r="D1576" s="7771" t="s">
        <v>4323</v>
      </c>
      <c r="E1576" s="7771" t="s">
        <v>4324</v>
      </c>
      <c r="F1576" s="7771" t="s">
        <v>2468</v>
      </c>
      <c r="G1576" s="7771" t="s">
        <v>28</v>
      </c>
      <c r="H1576" s="7771" t="s">
        <v>28</v>
      </c>
      <c r="I1576" s="7771" t="s">
        <v>868</v>
      </c>
    </row>
    <row customHeight="1" ht="11.25">
      <c r="A1577" s="7771" t="s">
        <v>2266</v>
      </c>
      <c r="B1577" s="7771" t="s">
        <v>16</v>
      </c>
      <c r="C1577" s="7771" t="s">
        <v>5622</v>
      </c>
      <c r="D1577" s="7771" t="s">
        <v>5623</v>
      </c>
      <c r="E1577" s="7771" t="s">
        <v>5624</v>
      </c>
      <c r="F1577" s="7771" t="s">
        <v>2655</v>
      </c>
      <c r="G1577" s="7771" t="s">
        <v>5625</v>
      </c>
      <c r="H1577" s="7771" t="s">
        <v>28</v>
      </c>
      <c r="I1577" s="7771" t="s">
        <v>868</v>
      </c>
    </row>
    <row customHeight="1" ht="11.25">
      <c r="A1578" s="7771" t="s">
        <v>2266</v>
      </c>
      <c r="B1578" s="7771" t="s">
        <v>16</v>
      </c>
      <c r="C1578" s="7771" t="s">
        <v>4330</v>
      </c>
      <c r="D1578" s="7771" t="s">
        <v>4331</v>
      </c>
      <c r="E1578" s="7771" t="s">
        <v>4332</v>
      </c>
      <c r="F1578" s="7771" t="s">
        <v>3966</v>
      </c>
      <c r="G1578" s="7771" t="s">
        <v>2404</v>
      </c>
      <c r="H1578" s="7771" t="s">
        <v>28</v>
      </c>
      <c r="I1578" s="7771" t="s">
        <v>868</v>
      </c>
    </row>
    <row customHeight="1" ht="11.25">
      <c r="A1579" s="7771" t="s">
        <v>2266</v>
      </c>
      <c r="B1579" s="7771" t="s">
        <v>16</v>
      </c>
      <c r="C1579" s="7771" t="s">
        <v>4333</v>
      </c>
      <c r="D1579" s="7771" t="s">
        <v>4334</v>
      </c>
      <c r="E1579" s="7771" t="s">
        <v>4335</v>
      </c>
      <c r="F1579" s="7771" t="s">
        <v>2280</v>
      </c>
      <c r="G1579" s="7771" t="s">
        <v>28</v>
      </c>
      <c r="H1579" s="7771" t="s">
        <v>28</v>
      </c>
      <c r="I1579" s="7771" t="s">
        <v>868</v>
      </c>
    </row>
    <row customHeight="1" ht="11.25">
      <c r="A1580" s="7771" t="s">
        <v>2266</v>
      </c>
      <c r="B1580" s="7771" t="s">
        <v>16</v>
      </c>
      <c r="C1580" s="7771" t="s">
        <v>4340</v>
      </c>
      <c r="D1580" s="7771" t="s">
        <v>4341</v>
      </c>
      <c r="E1580" s="7771" t="s">
        <v>4342</v>
      </c>
      <c r="F1580" s="7771" t="s">
        <v>2360</v>
      </c>
      <c r="G1580" s="7771" t="s">
        <v>28</v>
      </c>
      <c r="H1580" s="7771" t="s">
        <v>28</v>
      </c>
      <c r="I1580" s="7771" t="s">
        <v>868</v>
      </c>
    </row>
    <row customHeight="1" ht="11.25">
      <c r="A1581" s="7771" t="s">
        <v>2266</v>
      </c>
      <c r="B1581" s="7771" t="s">
        <v>16</v>
      </c>
      <c r="C1581" s="7771" t="s">
        <v>4346</v>
      </c>
      <c r="D1581" s="7771" t="s">
        <v>4347</v>
      </c>
      <c r="E1581" s="7771" t="s">
        <v>4348</v>
      </c>
      <c r="F1581" s="7771" t="s">
        <v>2356</v>
      </c>
      <c r="G1581" s="7771" t="s">
        <v>28</v>
      </c>
      <c r="H1581" s="7771" t="s">
        <v>28</v>
      </c>
      <c r="I1581" s="7771" t="s">
        <v>868</v>
      </c>
    </row>
    <row customHeight="1" ht="11.25">
      <c r="A1582" s="7771" t="s">
        <v>2266</v>
      </c>
      <c r="B1582" s="7771" t="s">
        <v>16</v>
      </c>
      <c r="C1582" s="7771" t="s">
        <v>4349</v>
      </c>
      <c r="D1582" s="7771" t="s">
        <v>4350</v>
      </c>
      <c r="E1582" s="7771" t="s">
        <v>4351</v>
      </c>
      <c r="F1582" s="7771" t="s">
        <v>2285</v>
      </c>
      <c r="G1582" s="7771" t="s">
        <v>28</v>
      </c>
      <c r="H1582" s="7771" t="s">
        <v>28</v>
      </c>
      <c r="I1582" s="7771" t="s">
        <v>868</v>
      </c>
    </row>
    <row customHeight="1" ht="11.25">
      <c r="A1583" s="7771" t="s">
        <v>2266</v>
      </c>
      <c r="B1583" s="7771" t="s">
        <v>16</v>
      </c>
      <c r="C1583" s="7771" t="s">
        <v>5626</v>
      </c>
      <c r="D1583" s="7771" t="s">
        <v>5627</v>
      </c>
      <c r="E1583" s="7771" t="s">
        <v>5628</v>
      </c>
      <c r="F1583" s="7771" t="s">
        <v>2377</v>
      </c>
      <c r="G1583" s="7771" t="s">
        <v>5629</v>
      </c>
      <c r="H1583" s="7771" t="s">
        <v>28</v>
      </c>
      <c r="I1583" s="7771" t="s">
        <v>868</v>
      </c>
    </row>
    <row customHeight="1" ht="11.25">
      <c r="A1584" s="7771" t="s">
        <v>2266</v>
      </c>
      <c r="B1584" s="7771" t="s">
        <v>16</v>
      </c>
      <c r="C1584" s="7771" t="s">
        <v>4364</v>
      </c>
      <c r="D1584" s="7771" t="s">
        <v>4365</v>
      </c>
      <c r="E1584" s="7771" t="s">
        <v>4366</v>
      </c>
      <c r="F1584" s="7771" t="s">
        <v>2372</v>
      </c>
      <c r="G1584" s="7771" t="s">
        <v>4367</v>
      </c>
      <c r="H1584" s="7771" t="s">
        <v>28</v>
      </c>
      <c r="I1584" s="7771" t="s">
        <v>868</v>
      </c>
    </row>
    <row customHeight="1" ht="11.25">
      <c r="A1585" s="7771" t="s">
        <v>2266</v>
      </c>
      <c r="B1585" s="7771" t="s">
        <v>16</v>
      </c>
      <c r="C1585" s="7771" t="s">
        <v>5630</v>
      </c>
      <c r="D1585" s="7771" t="s">
        <v>5631</v>
      </c>
      <c r="E1585" s="7771" t="s">
        <v>5632</v>
      </c>
      <c r="F1585" s="7771" t="s">
        <v>3222</v>
      </c>
      <c r="G1585" s="7771" t="s">
        <v>28</v>
      </c>
      <c r="H1585" s="7771" t="s">
        <v>28</v>
      </c>
      <c r="I1585" s="7771" t="s">
        <v>868</v>
      </c>
    </row>
    <row customHeight="1" ht="11.25">
      <c r="A1586" s="7771" t="s">
        <v>2266</v>
      </c>
      <c r="B1586" s="7771" t="s">
        <v>16</v>
      </c>
      <c r="C1586" s="7771" t="s">
        <v>5633</v>
      </c>
      <c r="D1586" s="7771" t="s">
        <v>5634</v>
      </c>
      <c r="E1586" s="7771" t="s">
        <v>5635</v>
      </c>
      <c r="F1586" s="7771" t="s">
        <v>2372</v>
      </c>
      <c r="G1586" s="7771" t="s">
        <v>3600</v>
      </c>
      <c r="H1586" s="7771" t="s">
        <v>28</v>
      </c>
      <c r="I1586" s="7771" t="s">
        <v>868</v>
      </c>
    </row>
    <row customHeight="1" ht="11.25">
      <c r="A1587" s="7771" t="s">
        <v>2266</v>
      </c>
      <c r="B1587" s="7771" t="s">
        <v>16</v>
      </c>
      <c r="C1587" s="7771" t="s">
        <v>5636</v>
      </c>
      <c r="D1587" s="7771" t="s">
        <v>5637</v>
      </c>
      <c r="E1587" s="7771" t="s">
        <v>5638</v>
      </c>
      <c r="F1587" s="7771" t="s">
        <v>2360</v>
      </c>
      <c r="G1587" s="7771" t="s">
        <v>5639</v>
      </c>
      <c r="H1587" s="7771" t="s">
        <v>28</v>
      </c>
      <c r="I1587" s="7771" t="s">
        <v>868</v>
      </c>
    </row>
    <row customHeight="1" ht="11.25">
      <c r="A1588" s="7771" t="s">
        <v>2266</v>
      </c>
      <c r="B1588" s="7771" t="s">
        <v>16</v>
      </c>
      <c r="C1588" s="7771" t="s">
        <v>5640</v>
      </c>
      <c r="D1588" s="7771" t="s">
        <v>5641</v>
      </c>
      <c r="E1588" s="7771" t="s">
        <v>5642</v>
      </c>
      <c r="F1588" s="7771" t="s">
        <v>2372</v>
      </c>
      <c r="G1588" s="7771" t="s">
        <v>5643</v>
      </c>
      <c r="H1588" s="7771" t="s">
        <v>28</v>
      </c>
      <c r="I1588" s="7771" t="s">
        <v>868</v>
      </c>
    </row>
    <row customHeight="1" ht="11.25">
      <c r="A1589" s="7771" t="s">
        <v>2266</v>
      </c>
      <c r="B1589" s="7771" t="s">
        <v>16</v>
      </c>
      <c r="C1589" s="7771" t="s">
        <v>5644</v>
      </c>
      <c r="D1589" s="7771" t="s">
        <v>5645</v>
      </c>
      <c r="E1589" s="7771" t="s">
        <v>5646</v>
      </c>
      <c r="F1589" s="7771" t="s">
        <v>2372</v>
      </c>
      <c r="G1589" s="7771" t="s">
        <v>5647</v>
      </c>
      <c r="H1589" s="7771" t="s">
        <v>28</v>
      </c>
      <c r="I1589" s="7771" t="s">
        <v>868</v>
      </c>
    </row>
    <row customHeight="1" ht="11.25">
      <c r="A1590" s="7771" t="s">
        <v>2266</v>
      </c>
      <c r="B1590" s="7771" t="s">
        <v>16</v>
      </c>
      <c r="C1590" s="7771" t="s">
        <v>5648</v>
      </c>
      <c r="D1590" s="7771" t="s">
        <v>5649</v>
      </c>
      <c r="E1590" s="7771" t="s">
        <v>5650</v>
      </c>
      <c r="F1590" s="7771" t="s">
        <v>2377</v>
      </c>
      <c r="G1590" s="7771" t="s">
        <v>2404</v>
      </c>
      <c r="H1590" s="7771" t="s">
        <v>28</v>
      </c>
      <c r="I1590" s="7771" t="s">
        <v>868</v>
      </c>
    </row>
    <row customHeight="1" ht="11.25">
      <c r="A1591" s="7771" t="s">
        <v>2266</v>
      </c>
      <c r="B1591" s="7771" t="s">
        <v>16</v>
      </c>
      <c r="C1591" s="7771" t="s">
        <v>5651</v>
      </c>
      <c r="D1591" s="7771" t="s">
        <v>5652</v>
      </c>
      <c r="E1591" s="7771" t="s">
        <v>5653</v>
      </c>
      <c r="F1591" s="7771" t="s">
        <v>2347</v>
      </c>
      <c r="G1591" s="7771" t="s">
        <v>5654</v>
      </c>
      <c r="H1591" s="7771" t="s">
        <v>28</v>
      </c>
      <c r="I1591" s="7771" t="s">
        <v>868</v>
      </c>
    </row>
    <row customHeight="1" ht="11.25">
      <c r="A1592" s="7771" t="s">
        <v>2266</v>
      </c>
      <c r="B1592" s="7771" t="s">
        <v>16</v>
      </c>
      <c r="C1592" s="7771" t="s">
        <v>5655</v>
      </c>
      <c r="D1592" s="7771" t="s">
        <v>5656</v>
      </c>
      <c r="E1592" s="7771" t="s">
        <v>5657</v>
      </c>
      <c r="F1592" s="7771" t="s">
        <v>4328</v>
      </c>
      <c r="G1592" s="7771" t="s">
        <v>5658</v>
      </c>
      <c r="H1592" s="7771" t="s">
        <v>28</v>
      </c>
      <c r="I1592" s="7771" t="s">
        <v>868</v>
      </c>
    </row>
    <row customHeight="1" ht="11.25">
      <c r="A1593" s="7771" t="s">
        <v>2266</v>
      </c>
      <c r="B1593" s="7771" t="s">
        <v>16</v>
      </c>
      <c r="C1593" s="7771" t="s">
        <v>5659</v>
      </c>
      <c r="D1593" s="7771" t="s">
        <v>5660</v>
      </c>
      <c r="E1593" s="7771" t="s">
        <v>5661</v>
      </c>
      <c r="F1593" s="7771" t="s">
        <v>5662</v>
      </c>
      <c r="G1593" s="7771" t="s">
        <v>28</v>
      </c>
      <c r="H1593" s="7771" t="s">
        <v>28</v>
      </c>
      <c r="I1593" s="7771" t="s">
        <v>868</v>
      </c>
    </row>
    <row customHeight="1" ht="11.25">
      <c r="A1594" s="7771" t="s">
        <v>2266</v>
      </c>
      <c r="B1594" s="7771" t="s">
        <v>16</v>
      </c>
      <c r="C1594" s="7771" t="s">
        <v>4375</v>
      </c>
      <c r="D1594" s="7771" t="s">
        <v>4376</v>
      </c>
      <c r="E1594" s="7771" t="s">
        <v>4377</v>
      </c>
      <c r="F1594" s="7771" t="s">
        <v>2451</v>
      </c>
      <c r="G1594" s="7771" t="s">
        <v>28</v>
      </c>
      <c r="H1594" s="7771" t="s">
        <v>28</v>
      </c>
      <c r="I1594" s="7771" t="s">
        <v>868</v>
      </c>
    </row>
    <row customHeight="1" ht="11.25">
      <c r="A1595" s="7771" t="s">
        <v>2266</v>
      </c>
      <c r="B1595" s="7771" t="s">
        <v>16</v>
      </c>
      <c r="C1595" s="7771" t="s">
        <v>4378</v>
      </c>
      <c r="D1595" s="7771" t="s">
        <v>4379</v>
      </c>
      <c r="E1595" s="7771" t="s">
        <v>4380</v>
      </c>
      <c r="F1595" s="7771" t="s">
        <v>2446</v>
      </c>
      <c r="G1595" s="7771" t="s">
        <v>28</v>
      </c>
      <c r="H1595" s="7771" t="s">
        <v>28</v>
      </c>
      <c r="I1595" s="7771" t="s">
        <v>868</v>
      </c>
    </row>
    <row customHeight="1" ht="11.25">
      <c r="A1596" s="7771" t="s">
        <v>2266</v>
      </c>
      <c r="B1596" s="7771" t="s">
        <v>16</v>
      </c>
      <c r="C1596" s="7771" t="s">
        <v>5663</v>
      </c>
      <c r="D1596" s="7771" t="s">
        <v>5664</v>
      </c>
      <c r="E1596" s="7771" t="s">
        <v>5665</v>
      </c>
      <c r="F1596" s="7771" t="s">
        <v>2813</v>
      </c>
      <c r="G1596" s="7771" t="s">
        <v>28</v>
      </c>
      <c r="H1596" s="7771" t="s">
        <v>28</v>
      </c>
      <c r="I1596" s="7771" t="s">
        <v>868</v>
      </c>
    </row>
    <row customHeight="1" ht="11.25">
      <c r="A1597" s="7771" t="s">
        <v>2266</v>
      </c>
      <c r="B1597" s="7771" t="s">
        <v>16</v>
      </c>
      <c r="C1597" s="7771" t="s">
        <v>4381</v>
      </c>
      <c r="D1597" s="7771" t="s">
        <v>4382</v>
      </c>
      <c r="E1597" s="7771" t="s">
        <v>4383</v>
      </c>
      <c r="F1597" s="7771" t="s">
        <v>2320</v>
      </c>
      <c r="G1597" s="7771" t="s">
        <v>28</v>
      </c>
      <c r="H1597" s="7771" t="s">
        <v>28</v>
      </c>
      <c r="I1597" s="7771" t="s">
        <v>868</v>
      </c>
    </row>
    <row customHeight="1" ht="11.25">
      <c r="A1598" s="7771" t="s">
        <v>2266</v>
      </c>
      <c r="B1598" s="7771" t="s">
        <v>16</v>
      </c>
      <c r="C1598" s="7771" t="s">
        <v>5666</v>
      </c>
      <c r="D1598" s="7771" t="s">
        <v>5667</v>
      </c>
      <c r="E1598" s="7771" t="s">
        <v>5668</v>
      </c>
      <c r="F1598" s="7771" t="s">
        <v>2739</v>
      </c>
      <c r="G1598" s="7771" t="s">
        <v>28</v>
      </c>
      <c r="H1598" s="7771" t="s">
        <v>28</v>
      </c>
      <c r="I1598" s="7771" t="s">
        <v>868</v>
      </c>
    </row>
    <row customHeight="1" ht="11.25">
      <c r="A1599" s="7771" t="s">
        <v>2266</v>
      </c>
      <c r="B1599" s="7771" t="s">
        <v>16</v>
      </c>
      <c r="C1599" s="7771" t="s">
        <v>5669</v>
      </c>
      <c r="D1599" s="7771" t="s">
        <v>5670</v>
      </c>
      <c r="E1599" s="7771" t="s">
        <v>5671</v>
      </c>
      <c r="F1599" s="7771" t="s">
        <v>2441</v>
      </c>
      <c r="G1599" s="7771" t="s">
        <v>5672</v>
      </c>
      <c r="H1599" s="7771" t="s">
        <v>28</v>
      </c>
      <c r="I1599" s="7771" t="s">
        <v>868</v>
      </c>
    </row>
    <row customHeight="1" ht="11.25">
      <c r="A1600" s="7771" t="s">
        <v>2266</v>
      </c>
      <c r="B1600" s="7771" t="s">
        <v>16</v>
      </c>
      <c r="C1600" s="7771" t="s">
        <v>4384</v>
      </c>
      <c r="D1600" s="7771" t="s">
        <v>4385</v>
      </c>
      <c r="E1600" s="7771" t="s">
        <v>4386</v>
      </c>
      <c r="F1600" s="7771" t="s">
        <v>3207</v>
      </c>
      <c r="G1600" s="7771" t="s">
        <v>4387</v>
      </c>
      <c r="H1600" s="7771" t="s">
        <v>28</v>
      </c>
      <c r="I1600" s="7771" t="s">
        <v>868</v>
      </c>
    </row>
    <row customHeight="1" ht="11.25">
      <c r="A1601" s="7771" t="s">
        <v>2266</v>
      </c>
      <c r="B1601" s="7771" t="s">
        <v>16</v>
      </c>
      <c r="C1601" s="7771" t="s">
        <v>4388</v>
      </c>
      <c r="D1601" s="7771" t="s">
        <v>4389</v>
      </c>
      <c r="E1601" s="7771" t="s">
        <v>4390</v>
      </c>
      <c r="F1601" s="7771" t="s">
        <v>2280</v>
      </c>
      <c r="G1601" s="7771" t="s">
        <v>4391</v>
      </c>
      <c r="H1601" s="7771" t="s">
        <v>28</v>
      </c>
      <c r="I1601" s="7771" t="s">
        <v>868</v>
      </c>
    </row>
    <row customHeight="1" ht="11.25">
      <c r="A1602" s="7771" t="s">
        <v>2266</v>
      </c>
      <c r="B1602" s="7771" t="s">
        <v>16</v>
      </c>
      <c r="C1602" s="7771" t="s">
        <v>5673</v>
      </c>
      <c r="D1602" s="7771" t="s">
        <v>5674</v>
      </c>
      <c r="E1602" s="7771" t="s">
        <v>5675</v>
      </c>
      <c r="F1602" s="7771" t="s">
        <v>2385</v>
      </c>
      <c r="G1602" s="7771" t="s">
        <v>28</v>
      </c>
      <c r="H1602" s="7771" t="s">
        <v>28</v>
      </c>
      <c r="I1602" s="7771" t="s">
        <v>868</v>
      </c>
    </row>
    <row customHeight="1" ht="11.25">
      <c r="A1603" s="7771" t="s">
        <v>2266</v>
      </c>
      <c r="B1603" s="7771" t="s">
        <v>16</v>
      </c>
      <c r="C1603" s="7771" t="s">
        <v>4404</v>
      </c>
      <c r="D1603" s="7771" t="s">
        <v>4405</v>
      </c>
      <c r="E1603" s="7771" t="s">
        <v>4406</v>
      </c>
      <c r="F1603" s="7771" t="s">
        <v>2360</v>
      </c>
      <c r="G1603" s="7771" t="s">
        <v>4407</v>
      </c>
      <c r="H1603" s="7771" t="s">
        <v>28</v>
      </c>
      <c r="I1603" s="7771" t="s">
        <v>868</v>
      </c>
    </row>
    <row customHeight="1" ht="11.25">
      <c r="A1604" s="7771" t="s">
        <v>2266</v>
      </c>
      <c r="B1604" s="7771" t="s">
        <v>16</v>
      </c>
      <c r="C1604" s="7771" t="s">
        <v>5676</v>
      </c>
      <c r="D1604" s="7771" t="s">
        <v>5677</v>
      </c>
      <c r="E1604" s="7771" t="s">
        <v>5678</v>
      </c>
      <c r="F1604" s="7771" t="s">
        <v>2377</v>
      </c>
      <c r="G1604" s="7771" t="s">
        <v>5679</v>
      </c>
      <c r="H1604" s="7771" t="s">
        <v>28</v>
      </c>
      <c r="I1604" s="7771" t="s">
        <v>868</v>
      </c>
    </row>
    <row customHeight="1" ht="11.25">
      <c r="A1605" s="7771" t="s">
        <v>2266</v>
      </c>
      <c r="B1605" s="7771" t="s">
        <v>16</v>
      </c>
      <c r="C1605" s="7771" t="s">
        <v>4415</v>
      </c>
      <c r="D1605" s="7771" t="s">
        <v>4416</v>
      </c>
      <c r="E1605" s="7771" t="s">
        <v>4417</v>
      </c>
      <c r="F1605" s="7771" t="s">
        <v>2385</v>
      </c>
      <c r="G1605" s="7771" t="s">
        <v>28</v>
      </c>
      <c r="H1605" s="7771" t="s">
        <v>28</v>
      </c>
      <c r="I1605" s="7771" t="s">
        <v>868</v>
      </c>
    </row>
    <row customHeight="1" ht="11.25">
      <c r="A1606" s="7771" t="s">
        <v>2266</v>
      </c>
      <c r="B1606" s="7771" t="s">
        <v>16</v>
      </c>
      <c r="C1606" s="7771" t="s">
        <v>4418</v>
      </c>
      <c r="D1606" s="7771" t="s">
        <v>4419</v>
      </c>
      <c r="E1606" s="7771" t="s">
        <v>4420</v>
      </c>
      <c r="F1606" s="7771" t="s">
        <v>2430</v>
      </c>
      <c r="G1606" s="7771" t="s">
        <v>4421</v>
      </c>
      <c r="H1606" s="7771" t="s">
        <v>28</v>
      </c>
      <c r="I1606" s="7771" t="s">
        <v>868</v>
      </c>
    </row>
    <row customHeight="1" ht="11.25">
      <c r="A1607" s="7771" t="s">
        <v>2266</v>
      </c>
      <c r="B1607" s="7771" t="s">
        <v>16</v>
      </c>
      <c r="C1607" s="7771" t="s">
        <v>4422</v>
      </c>
      <c r="D1607" s="7771" t="s">
        <v>4423</v>
      </c>
      <c r="E1607" s="7771" t="s">
        <v>4424</v>
      </c>
      <c r="F1607" s="7771" t="s">
        <v>2385</v>
      </c>
      <c r="G1607" s="7771" t="s">
        <v>4425</v>
      </c>
      <c r="H1607" s="7771" t="s">
        <v>28</v>
      </c>
      <c r="I1607" s="7771" t="s">
        <v>868</v>
      </c>
    </row>
    <row customHeight="1" ht="11.25">
      <c r="A1608" s="7771" t="s">
        <v>2266</v>
      </c>
      <c r="B1608" s="7771" t="s">
        <v>16</v>
      </c>
      <c r="C1608" s="7771" t="s">
        <v>4426</v>
      </c>
      <c r="D1608" s="7771" t="s">
        <v>4427</v>
      </c>
      <c r="E1608" s="7771" t="s">
        <v>4428</v>
      </c>
      <c r="F1608" s="7771" t="s">
        <v>2486</v>
      </c>
      <c r="G1608" s="7771" t="s">
        <v>28</v>
      </c>
      <c r="H1608" s="7771" t="s">
        <v>28</v>
      </c>
      <c r="I1608" s="7771" t="s">
        <v>868</v>
      </c>
    </row>
    <row customHeight="1" ht="11.25">
      <c r="A1609" s="7771" t="s">
        <v>2266</v>
      </c>
      <c r="B1609" s="7771" t="s">
        <v>16</v>
      </c>
      <c r="C1609" s="7771" t="s">
        <v>4429</v>
      </c>
      <c r="D1609" s="7771" t="s">
        <v>4430</v>
      </c>
      <c r="E1609" s="7771" t="s">
        <v>4431</v>
      </c>
      <c r="F1609" s="7771" t="s">
        <v>2280</v>
      </c>
      <c r="G1609" s="7771" t="s">
        <v>28</v>
      </c>
      <c r="H1609" s="7771" t="s">
        <v>28</v>
      </c>
      <c r="I1609" s="7771" t="s">
        <v>868</v>
      </c>
    </row>
    <row customHeight="1" ht="11.25">
      <c r="A1610" s="7771" t="s">
        <v>2266</v>
      </c>
      <c r="B1610" s="7771" t="s">
        <v>16</v>
      </c>
      <c r="C1610" s="7771" t="s">
        <v>4432</v>
      </c>
      <c r="D1610" s="7771" t="s">
        <v>4433</v>
      </c>
      <c r="E1610" s="7771" t="s">
        <v>4434</v>
      </c>
      <c r="F1610" s="7771" t="s">
        <v>4435</v>
      </c>
      <c r="G1610" s="7771" t="s">
        <v>4436</v>
      </c>
      <c r="H1610" s="7771" t="s">
        <v>28</v>
      </c>
      <c r="I1610" s="7771" t="s">
        <v>868</v>
      </c>
    </row>
    <row customHeight="1" ht="11.25">
      <c r="A1611" s="7771" t="s">
        <v>2266</v>
      </c>
      <c r="B1611" s="7771" t="s">
        <v>16</v>
      </c>
      <c r="C1611" s="7771" t="s">
        <v>4437</v>
      </c>
      <c r="D1611" s="7771" t="s">
        <v>4438</v>
      </c>
      <c r="E1611" s="7771" t="s">
        <v>4439</v>
      </c>
      <c r="F1611" s="7771" t="s">
        <v>4440</v>
      </c>
      <c r="G1611" s="7771" t="s">
        <v>28</v>
      </c>
      <c r="H1611" s="7771" t="s">
        <v>28</v>
      </c>
      <c r="I1611" s="7771" t="s">
        <v>868</v>
      </c>
    </row>
    <row customHeight="1" ht="11.25">
      <c r="A1612" s="7771" t="s">
        <v>2266</v>
      </c>
      <c r="B1612" s="7771" t="s">
        <v>16</v>
      </c>
      <c r="C1612" s="7771" t="s">
        <v>4441</v>
      </c>
      <c r="D1612" s="7771" t="s">
        <v>4442</v>
      </c>
      <c r="E1612" s="7771" t="s">
        <v>4439</v>
      </c>
      <c r="F1612" s="7771" t="s">
        <v>4443</v>
      </c>
      <c r="G1612" s="7771" t="s">
        <v>28</v>
      </c>
      <c r="H1612" s="7771" t="s">
        <v>28</v>
      </c>
      <c r="I1612" s="7771" t="s">
        <v>868</v>
      </c>
    </row>
    <row customHeight="1" ht="11.25">
      <c r="A1613" s="7771" t="s">
        <v>2266</v>
      </c>
      <c r="B1613" s="7771" t="s">
        <v>16</v>
      </c>
      <c r="C1613" s="7771" t="s">
        <v>5680</v>
      </c>
      <c r="D1613" s="7771" t="s">
        <v>5681</v>
      </c>
      <c r="E1613" s="7771" t="s">
        <v>4498</v>
      </c>
      <c r="F1613" s="7771" t="s">
        <v>5682</v>
      </c>
      <c r="G1613" s="7771" t="s">
        <v>28</v>
      </c>
      <c r="H1613" s="7771" t="s">
        <v>28</v>
      </c>
      <c r="I1613" s="7771" t="s">
        <v>868</v>
      </c>
    </row>
    <row customHeight="1" ht="11.25">
      <c r="A1614" s="7771" t="s">
        <v>2266</v>
      </c>
      <c r="B1614" s="7771" t="s">
        <v>16</v>
      </c>
      <c r="C1614" s="7771" t="s">
        <v>4444</v>
      </c>
      <c r="D1614" s="7771" t="s">
        <v>4445</v>
      </c>
      <c r="E1614" s="7771" t="s">
        <v>4446</v>
      </c>
      <c r="F1614" s="7771" t="s">
        <v>2434</v>
      </c>
      <c r="G1614" s="7771" t="s">
        <v>28</v>
      </c>
      <c r="H1614" s="7771" t="s">
        <v>28</v>
      </c>
      <c r="I1614" s="7771" t="s">
        <v>868</v>
      </c>
    </row>
    <row customHeight="1" ht="11.25">
      <c r="A1615" s="7771" t="s">
        <v>2266</v>
      </c>
      <c r="B1615" s="7771" t="s">
        <v>16</v>
      </c>
      <c r="C1615" s="7771" t="s">
        <v>4447</v>
      </c>
      <c r="D1615" s="7771" t="s">
        <v>4448</v>
      </c>
      <c r="E1615" s="7771" t="s">
        <v>4449</v>
      </c>
      <c r="F1615" s="7771" t="s">
        <v>3726</v>
      </c>
      <c r="G1615" s="7771" t="s">
        <v>4450</v>
      </c>
      <c r="H1615" s="7771" t="s">
        <v>28</v>
      </c>
      <c r="I1615" s="7771" t="s">
        <v>868</v>
      </c>
    </row>
    <row customHeight="1" ht="11.25">
      <c r="A1616" s="7771" t="s">
        <v>2266</v>
      </c>
      <c r="B1616" s="7771" t="s">
        <v>16</v>
      </c>
      <c r="C1616" s="7771" t="s">
        <v>5683</v>
      </c>
      <c r="D1616" s="7771" t="s">
        <v>4452</v>
      </c>
      <c r="E1616" s="7771" t="s">
        <v>4453</v>
      </c>
      <c r="F1616" s="7771" t="s">
        <v>3626</v>
      </c>
      <c r="G1616" s="7771" t="s">
        <v>28</v>
      </c>
      <c r="H1616" s="7771" t="s">
        <v>28</v>
      </c>
      <c r="I1616" s="7771" t="s">
        <v>868</v>
      </c>
    </row>
    <row customHeight="1" ht="11.25">
      <c r="A1617" s="7771" t="s">
        <v>2266</v>
      </c>
      <c r="B1617" s="7771" t="s">
        <v>16</v>
      </c>
      <c r="C1617" s="7771" t="s">
        <v>4466</v>
      </c>
      <c r="D1617" s="7771" t="s">
        <v>4465</v>
      </c>
      <c r="E1617" s="7771" t="s">
        <v>2756</v>
      </c>
      <c r="F1617" s="7771" t="s">
        <v>4454</v>
      </c>
      <c r="G1617" s="7771" t="s">
        <v>28</v>
      </c>
      <c r="H1617" s="7771" t="s">
        <v>28</v>
      </c>
      <c r="I1617" s="7771" t="s">
        <v>868</v>
      </c>
    </row>
    <row customHeight="1" ht="11.25">
      <c r="A1618" s="7771" t="s">
        <v>2266</v>
      </c>
      <c r="B1618" s="7771" t="s">
        <v>16</v>
      </c>
      <c r="C1618" s="7771" t="s">
        <v>4471</v>
      </c>
      <c r="D1618" s="7771" t="s">
        <v>4472</v>
      </c>
      <c r="E1618" s="7771" t="s">
        <v>4473</v>
      </c>
      <c r="F1618" s="7771" t="s">
        <v>4474</v>
      </c>
      <c r="G1618" s="7771" t="s">
        <v>4475</v>
      </c>
      <c r="H1618" s="7771" t="s">
        <v>28</v>
      </c>
      <c r="I1618" s="7771" t="s">
        <v>868</v>
      </c>
    </row>
    <row customHeight="1" ht="11.25">
      <c r="A1619" s="7771" t="s">
        <v>2266</v>
      </c>
      <c r="B1619" s="7771" t="s">
        <v>16</v>
      </c>
      <c r="C1619" s="7771" t="s">
        <v>4476</v>
      </c>
      <c r="D1619" s="7771" t="s">
        <v>4477</v>
      </c>
      <c r="E1619" s="7771" t="s">
        <v>4478</v>
      </c>
      <c r="F1619" s="7771" t="s">
        <v>4479</v>
      </c>
      <c r="G1619" s="7771" t="s">
        <v>4480</v>
      </c>
      <c r="H1619" s="7771" t="s">
        <v>28</v>
      </c>
      <c r="I1619" s="7771" t="s">
        <v>868</v>
      </c>
    </row>
    <row customHeight="1" ht="11.25">
      <c r="A1620" s="7771" t="s">
        <v>2266</v>
      </c>
      <c r="B1620" s="7771" t="s">
        <v>16</v>
      </c>
      <c r="C1620" s="7771" t="s">
        <v>4489</v>
      </c>
      <c r="D1620" s="7771" t="s">
        <v>4490</v>
      </c>
      <c r="E1620" s="7771" t="s">
        <v>4491</v>
      </c>
      <c r="F1620" s="7771" t="s">
        <v>2518</v>
      </c>
      <c r="G1620" s="7771" t="s">
        <v>4492</v>
      </c>
      <c r="H1620" s="7771" t="s">
        <v>28</v>
      </c>
      <c r="I1620" s="7771" t="s">
        <v>868</v>
      </c>
    </row>
    <row customHeight="1" ht="11.25">
      <c r="A1621" s="7771" t="s">
        <v>2266</v>
      </c>
      <c r="B1621" s="7771" t="s">
        <v>16</v>
      </c>
      <c r="C1621" s="7771" t="s">
        <v>4493</v>
      </c>
      <c r="D1621" s="7771" t="s">
        <v>4494</v>
      </c>
      <c r="E1621" s="7771" t="s">
        <v>4495</v>
      </c>
      <c r="F1621" s="7771" t="s">
        <v>2463</v>
      </c>
      <c r="G1621" s="7771" t="s">
        <v>28</v>
      </c>
      <c r="H1621" s="7771" t="s">
        <v>28</v>
      </c>
      <c r="I1621" s="7771" t="s">
        <v>868</v>
      </c>
    </row>
    <row customHeight="1" ht="11.25">
      <c r="A1622" s="7771" t="s">
        <v>2266</v>
      </c>
      <c r="B1622" s="7771" t="s">
        <v>16</v>
      </c>
      <c r="C1622" s="7771" t="s">
        <v>4496</v>
      </c>
      <c r="D1622" s="7771" t="s">
        <v>4497</v>
      </c>
      <c r="E1622" s="7771" t="s">
        <v>4498</v>
      </c>
      <c r="F1622" s="7771" t="s">
        <v>2441</v>
      </c>
      <c r="G1622" s="7771" t="s">
        <v>4499</v>
      </c>
      <c r="H1622" s="7771" t="s">
        <v>28</v>
      </c>
      <c r="I1622" s="7771" t="s">
        <v>868</v>
      </c>
    </row>
    <row customHeight="1" ht="11.25">
      <c r="A1623" s="7771" t="s">
        <v>2266</v>
      </c>
      <c r="B1623" s="7771" t="s">
        <v>16</v>
      </c>
      <c r="C1623" s="7771" t="s">
        <v>5684</v>
      </c>
      <c r="D1623" s="7771" t="s">
        <v>5685</v>
      </c>
      <c r="E1623" s="7771" t="s">
        <v>5686</v>
      </c>
      <c r="F1623" s="7771" t="s">
        <v>3111</v>
      </c>
      <c r="G1623" s="7771" t="s">
        <v>5687</v>
      </c>
      <c r="H1623" s="7771" t="s">
        <v>28</v>
      </c>
      <c r="I1623" s="7771" t="s">
        <v>868</v>
      </c>
    </row>
    <row customHeight="1" ht="11.25">
      <c r="A1624" s="7771" t="s">
        <v>2266</v>
      </c>
      <c r="B1624" s="7771" t="s">
        <v>16</v>
      </c>
      <c r="C1624" s="7771" t="s">
        <v>5688</v>
      </c>
      <c r="D1624" s="7771" t="s">
        <v>5689</v>
      </c>
      <c r="E1624" s="7771" t="s">
        <v>5690</v>
      </c>
      <c r="F1624" s="7771" t="s">
        <v>2829</v>
      </c>
      <c r="G1624" s="7771" t="s">
        <v>28</v>
      </c>
      <c r="H1624" s="7771" t="s">
        <v>28</v>
      </c>
      <c r="I1624" s="7771" t="s">
        <v>868</v>
      </c>
    </row>
    <row customHeight="1" ht="11.25">
      <c r="A1625" s="7771" t="s">
        <v>2266</v>
      </c>
      <c r="B1625" s="7771" t="s">
        <v>16</v>
      </c>
      <c r="C1625" s="7771" t="s">
        <v>5691</v>
      </c>
      <c r="D1625" s="7771" t="s">
        <v>5692</v>
      </c>
      <c r="E1625" s="7771" t="s">
        <v>5693</v>
      </c>
      <c r="F1625" s="7771" t="s">
        <v>4328</v>
      </c>
      <c r="G1625" s="7771" t="s">
        <v>5694</v>
      </c>
      <c r="H1625" s="7771" t="s">
        <v>28</v>
      </c>
      <c r="I1625" s="7771" t="s">
        <v>868</v>
      </c>
    </row>
    <row customHeight="1" ht="11.25">
      <c r="A1626" s="7771" t="s">
        <v>2266</v>
      </c>
      <c r="B1626" s="7771" t="s">
        <v>16</v>
      </c>
      <c r="C1626" s="7771" t="s">
        <v>5695</v>
      </c>
      <c r="D1626" s="7771" t="s">
        <v>5696</v>
      </c>
      <c r="E1626" s="7771" t="s">
        <v>5697</v>
      </c>
      <c r="F1626" s="7771" t="s">
        <v>2592</v>
      </c>
      <c r="G1626" s="7771" t="s">
        <v>5698</v>
      </c>
      <c r="H1626" s="7771" t="s">
        <v>28</v>
      </c>
      <c r="I1626" s="7771" t="s">
        <v>868</v>
      </c>
    </row>
    <row customHeight="1" ht="11.25">
      <c r="A1627" s="7771" t="s">
        <v>2266</v>
      </c>
      <c r="B1627" s="7771" t="s">
        <v>16</v>
      </c>
      <c r="C1627" s="7771" t="s">
        <v>4536</v>
      </c>
      <c r="D1627" s="7771" t="s">
        <v>4537</v>
      </c>
      <c r="E1627" s="7771" t="s">
        <v>4538</v>
      </c>
      <c r="F1627" s="7771" t="s">
        <v>4539</v>
      </c>
      <c r="G1627" s="7771" t="s">
        <v>4540</v>
      </c>
      <c r="H1627" s="7771" t="s">
        <v>28</v>
      </c>
      <c r="I1627" s="7771" t="s">
        <v>868</v>
      </c>
    </row>
    <row customHeight="1" ht="11.25">
      <c r="A1628" s="7771" t="s">
        <v>2266</v>
      </c>
      <c r="B1628" s="7771" t="s">
        <v>16</v>
      </c>
      <c r="C1628" s="7771" t="s">
        <v>4541</v>
      </c>
      <c r="D1628" s="7771" t="s">
        <v>4542</v>
      </c>
      <c r="E1628" s="7771" t="s">
        <v>4543</v>
      </c>
      <c r="F1628" s="7771" t="s">
        <v>2280</v>
      </c>
      <c r="G1628" s="7771" t="s">
        <v>4544</v>
      </c>
      <c r="H1628" s="7771" t="s">
        <v>28</v>
      </c>
      <c r="I1628" s="7771" t="s">
        <v>868</v>
      </c>
    </row>
    <row customHeight="1" ht="11.25">
      <c r="A1629" s="7771" t="s">
        <v>2266</v>
      </c>
      <c r="B1629" s="7771" t="s">
        <v>16</v>
      </c>
      <c r="C1629" s="7771" t="s">
        <v>5699</v>
      </c>
      <c r="D1629" s="7771" t="s">
        <v>5700</v>
      </c>
      <c r="E1629" s="7771" t="s">
        <v>5701</v>
      </c>
      <c r="F1629" s="7771" t="s">
        <v>2430</v>
      </c>
      <c r="G1629" s="7771" t="s">
        <v>28</v>
      </c>
      <c r="H1629" s="7771" t="s">
        <v>28</v>
      </c>
      <c r="I1629" s="7771" t="s">
        <v>868</v>
      </c>
    </row>
    <row customHeight="1" ht="11.25">
      <c r="A1630" s="7771" t="s">
        <v>2266</v>
      </c>
      <c r="B1630" s="7771" t="s">
        <v>16</v>
      </c>
      <c r="C1630" s="7771" t="s">
        <v>4556</v>
      </c>
      <c r="D1630" s="7771" t="s">
        <v>4557</v>
      </c>
      <c r="E1630" s="7771" t="s">
        <v>4558</v>
      </c>
      <c r="F1630" s="7771" t="s">
        <v>2377</v>
      </c>
      <c r="G1630" s="7771" t="s">
        <v>28</v>
      </c>
      <c r="H1630" s="7771" t="s">
        <v>28</v>
      </c>
      <c r="I1630" s="7771" t="s">
        <v>868</v>
      </c>
    </row>
    <row customHeight="1" ht="11.25">
      <c r="A1631" s="7771" t="s">
        <v>2266</v>
      </c>
      <c r="B1631" s="7771" t="s">
        <v>16</v>
      </c>
      <c r="C1631" s="7771" t="s">
        <v>5702</v>
      </c>
      <c r="D1631" s="7771" t="s">
        <v>5703</v>
      </c>
      <c r="E1631" s="7771" t="s">
        <v>5704</v>
      </c>
      <c r="F1631" s="7771" t="s">
        <v>2624</v>
      </c>
      <c r="G1631" s="7771" t="s">
        <v>5705</v>
      </c>
      <c r="H1631" s="7771" t="s">
        <v>28</v>
      </c>
      <c r="I1631" s="7771" t="s">
        <v>868</v>
      </c>
    </row>
    <row customHeight="1" ht="11.25">
      <c r="A1632" s="7771" t="s">
        <v>2266</v>
      </c>
      <c r="B1632" s="7771" t="s">
        <v>16</v>
      </c>
      <c r="C1632" s="7771" t="s">
        <v>5706</v>
      </c>
      <c r="D1632" s="7771" t="s">
        <v>5707</v>
      </c>
      <c r="E1632" s="7771" t="s">
        <v>5708</v>
      </c>
      <c r="F1632" s="7771" t="s">
        <v>2882</v>
      </c>
      <c r="G1632" s="7771" t="s">
        <v>28</v>
      </c>
      <c r="H1632" s="7771" t="s">
        <v>28</v>
      </c>
      <c r="I1632" s="7771" t="s">
        <v>868</v>
      </c>
    </row>
    <row customHeight="1" ht="11.25">
      <c r="A1633" s="7771" t="s">
        <v>2266</v>
      </c>
      <c r="B1633" s="7771" t="s">
        <v>16</v>
      </c>
      <c r="C1633" s="7771" t="s">
        <v>4568</v>
      </c>
      <c r="D1633" s="7771" t="s">
        <v>4569</v>
      </c>
      <c r="E1633" s="7771" t="s">
        <v>4570</v>
      </c>
      <c r="F1633" s="7771" t="s">
        <v>2385</v>
      </c>
      <c r="G1633" s="7771" t="s">
        <v>28</v>
      </c>
      <c r="H1633" s="7771" t="s">
        <v>28</v>
      </c>
      <c r="I1633" s="7771" t="s">
        <v>868</v>
      </c>
    </row>
    <row customHeight="1" ht="11.25">
      <c r="A1634" s="7771" t="s">
        <v>2266</v>
      </c>
      <c r="B1634" s="7771" t="s">
        <v>16</v>
      </c>
      <c r="C1634" s="7771" t="s">
        <v>4571</v>
      </c>
      <c r="D1634" s="7771" t="s">
        <v>4572</v>
      </c>
      <c r="E1634" s="7771" t="s">
        <v>4573</v>
      </c>
      <c r="F1634" s="7771" t="s">
        <v>2360</v>
      </c>
      <c r="G1634" s="7771" t="s">
        <v>28</v>
      </c>
      <c r="H1634" s="7771" t="s">
        <v>28</v>
      </c>
      <c r="I1634" s="7771" t="s">
        <v>868</v>
      </c>
    </row>
    <row customHeight="1" ht="11.25">
      <c r="A1635" s="7771" t="s">
        <v>2266</v>
      </c>
      <c r="B1635" s="7771" t="s">
        <v>16</v>
      </c>
      <c r="C1635" s="7771" t="s">
        <v>4574</v>
      </c>
      <c r="D1635" s="7771" t="s">
        <v>4575</v>
      </c>
      <c r="E1635" s="7771" t="s">
        <v>4576</v>
      </c>
      <c r="F1635" s="7771" t="s">
        <v>2285</v>
      </c>
      <c r="G1635" s="7771" t="s">
        <v>28</v>
      </c>
      <c r="H1635" s="7771" t="s">
        <v>28</v>
      </c>
      <c r="I1635" s="7771" t="s">
        <v>868</v>
      </c>
    </row>
    <row customHeight="1" ht="11.25">
      <c r="A1636" s="7771" t="s">
        <v>2266</v>
      </c>
      <c r="B1636" s="7771" t="s">
        <v>16</v>
      </c>
      <c r="C1636" s="7771" t="s">
        <v>4577</v>
      </c>
      <c r="D1636" s="7771" t="s">
        <v>4578</v>
      </c>
      <c r="E1636" s="7771" t="s">
        <v>4579</v>
      </c>
      <c r="F1636" s="7771" t="s">
        <v>4580</v>
      </c>
      <c r="G1636" s="7771" t="s">
        <v>28</v>
      </c>
      <c r="H1636" s="7771" t="s">
        <v>28</v>
      </c>
      <c r="I1636" s="7771" t="s">
        <v>868</v>
      </c>
    </row>
    <row customHeight="1" ht="11.25">
      <c r="A1637" s="7771" t="s">
        <v>2266</v>
      </c>
      <c r="B1637" s="7771" t="s">
        <v>16</v>
      </c>
      <c r="C1637" s="7771" t="s">
        <v>4581</v>
      </c>
      <c r="D1637" s="7771" t="s">
        <v>4578</v>
      </c>
      <c r="E1637" s="7771" t="s">
        <v>4579</v>
      </c>
      <c r="F1637" s="7771" t="s">
        <v>2352</v>
      </c>
      <c r="G1637" s="7771" t="s">
        <v>28</v>
      </c>
      <c r="H1637" s="7771" t="s">
        <v>28</v>
      </c>
      <c r="I1637" s="7771" t="s">
        <v>868</v>
      </c>
    </row>
    <row customHeight="1" ht="11.25">
      <c r="A1638" s="7771" t="s">
        <v>2266</v>
      </c>
      <c r="B1638" s="7771" t="s">
        <v>16</v>
      </c>
      <c r="C1638" s="7771" t="s">
        <v>4582</v>
      </c>
      <c r="D1638" s="7771" t="s">
        <v>4583</v>
      </c>
      <c r="E1638" s="7771" t="s">
        <v>4584</v>
      </c>
      <c r="F1638" s="7771" t="s">
        <v>2356</v>
      </c>
      <c r="G1638" s="7771" t="s">
        <v>4585</v>
      </c>
      <c r="H1638" s="7771" t="s">
        <v>28</v>
      </c>
      <c r="I1638" s="7771" t="s">
        <v>868</v>
      </c>
    </row>
    <row customHeight="1" ht="11.25">
      <c r="A1639" s="7771" t="s">
        <v>2266</v>
      </c>
      <c r="B1639" s="7771" t="s">
        <v>16</v>
      </c>
      <c r="C1639" s="7771" t="s">
        <v>4586</v>
      </c>
      <c r="D1639" s="7771" t="s">
        <v>4587</v>
      </c>
      <c r="E1639" s="7771" t="s">
        <v>4588</v>
      </c>
      <c r="F1639" s="7771" t="s">
        <v>2372</v>
      </c>
      <c r="G1639" s="7771" t="s">
        <v>28</v>
      </c>
      <c r="H1639" s="7771" t="s">
        <v>28</v>
      </c>
      <c r="I1639" s="7771" t="s">
        <v>868</v>
      </c>
    </row>
    <row customHeight="1" ht="11.25">
      <c r="A1640" s="7771" t="s">
        <v>2266</v>
      </c>
      <c r="B1640" s="7771" t="s">
        <v>16</v>
      </c>
      <c r="C1640" s="7771" t="s">
        <v>4589</v>
      </c>
      <c r="D1640" s="7771" t="s">
        <v>4590</v>
      </c>
      <c r="E1640" s="7771" t="s">
        <v>4591</v>
      </c>
      <c r="F1640" s="7771" t="s">
        <v>2385</v>
      </c>
      <c r="G1640" s="7771" t="s">
        <v>4592</v>
      </c>
      <c r="H1640" s="7771" t="s">
        <v>28</v>
      </c>
      <c r="I1640" s="7771" t="s">
        <v>868</v>
      </c>
    </row>
    <row customHeight="1" ht="11.25">
      <c r="A1641" s="7771" t="s">
        <v>2266</v>
      </c>
      <c r="B1641" s="7771" t="s">
        <v>16</v>
      </c>
      <c r="C1641" s="7771" t="s">
        <v>4593</v>
      </c>
      <c r="D1641" s="7771" t="s">
        <v>4594</v>
      </c>
      <c r="E1641" s="7771" t="s">
        <v>4595</v>
      </c>
      <c r="F1641" s="7771" t="s">
        <v>2468</v>
      </c>
      <c r="G1641" s="7771" t="s">
        <v>4596</v>
      </c>
      <c r="H1641" s="7771" t="s">
        <v>28</v>
      </c>
      <c r="I1641" s="7771" t="s">
        <v>868</v>
      </c>
    </row>
    <row customHeight="1" ht="11.25">
      <c r="A1642" s="7771" t="s">
        <v>2266</v>
      </c>
      <c r="B1642" s="7771" t="s">
        <v>16</v>
      </c>
      <c r="C1642" s="7771" t="s">
        <v>4597</v>
      </c>
      <c r="D1642" s="7771" t="s">
        <v>4598</v>
      </c>
      <c r="E1642" s="7771" t="s">
        <v>4599</v>
      </c>
      <c r="F1642" s="7771" t="s">
        <v>2629</v>
      </c>
      <c r="G1642" s="7771" t="s">
        <v>28</v>
      </c>
      <c r="H1642" s="7771" t="s">
        <v>28</v>
      </c>
      <c r="I1642" s="7771" t="s">
        <v>868</v>
      </c>
    </row>
    <row customHeight="1" ht="11.25">
      <c r="A1643" s="7771" t="s">
        <v>2266</v>
      </c>
      <c r="B1643" s="7771" t="s">
        <v>16</v>
      </c>
      <c r="C1643" s="7771" t="s">
        <v>4604</v>
      </c>
      <c r="D1643" s="7771" t="s">
        <v>4605</v>
      </c>
      <c r="E1643" s="7771" t="s">
        <v>4606</v>
      </c>
      <c r="F1643" s="7771" t="s">
        <v>2347</v>
      </c>
      <c r="G1643" s="7771" t="s">
        <v>4607</v>
      </c>
      <c r="H1643" s="7771" t="s">
        <v>28</v>
      </c>
      <c r="I1643" s="7771" t="s">
        <v>868</v>
      </c>
    </row>
    <row customHeight="1" ht="11.25">
      <c r="A1644" s="7771" t="s">
        <v>2266</v>
      </c>
      <c r="B1644" s="7771" t="s">
        <v>16</v>
      </c>
      <c r="C1644" s="7771" t="s">
        <v>4608</v>
      </c>
      <c r="D1644" s="7771" t="s">
        <v>4609</v>
      </c>
      <c r="E1644" s="7771" t="s">
        <v>4610</v>
      </c>
      <c r="F1644" s="7771" t="s">
        <v>2446</v>
      </c>
      <c r="G1644" s="7771" t="s">
        <v>28</v>
      </c>
      <c r="H1644" s="7771" t="s">
        <v>28</v>
      </c>
      <c r="I1644" s="7771" t="s">
        <v>868</v>
      </c>
    </row>
    <row customHeight="1" ht="11.25">
      <c r="A1645" s="7771" t="s">
        <v>2266</v>
      </c>
      <c r="B1645" s="7771" t="s">
        <v>16</v>
      </c>
      <c r="C1645" s="7771" t="s">
        <v>4611</v>
      </c>
      <c r="D1645" s="7771" t="s">
        <v>4612</v>
      </c>
      <c r="E1645" s="7771" t="s">
        <v>4613</v>
      </c>
      <c r="F1645" s="7771" t="s">
        <v>3027</v>
      </c>
      <c r="G1645" s="7771" t="s">
        <v>28</v>
      </c>
      <c r="H1645" s="7771" t="s">
        <v>28</v>
      </c>
      <c r="I1645" s="7771" t="s">
        <v>868</v>
      </c>
    </row>
    <row customHeight="1" ht="11.25">
      <c r="A1646" s="7771" t="s">
        <v>2266</v>
      </c>
      <c r="B1646" s="7771" t="s">
        <v>16</v>
      </c>
      <c r="C1646" s="7771" t="s">
        <v>4614</v>
      </c>
      <c r="D1646" s="7771" t="s">
        <v>4615</v>
      </c>
      <c r="E1646" s="7771" t="s">
        <v>4616</v>
      </c>
      <c r="F1646" s="7771" t="s">
        <v>4617</v>
      </c>
      <c r="G1646" s="7771" t="s">
        <v>4618</v>
      </c>
      <c r="H1646" s="7771" t="s">
        <v>28</v>
      </c>
      <c r="I1646" s="7771" t="s">
        <v>868</v>
      </c>
    </row>
    <row customHeight="1" ht="11.25">
      <c r="A1647" s="7771" t="s">
        <v>2266</v>
      </c>
      <c r="B1647" s="7771" t="s">
        <v>16</v>
      </c>
      <c r="C1647" s="7771" t="s">
        <v>4623</v>
      </c>
      <c r="D1647" s="7771" t="s">
        <v>4624</v>
      </c>
      <c r="E1647" s="7771" t="s">
        <v>4625</v>
      </c>
      <c r="F1647" s="7771" t="s">
        <v>2385</v>
      </c>
      <c r="G1647" s="7771" t="s">
        <v>28</v>
      </c>
      <c r="H1647" s="7771" t="s">
        <v>28</v>
      </c>
      <c r="I1647" s="7771" t="s">
        <v>868</v>
      </c>
    </row>
    <row customHeight="1" ht="11.25">
      <c r="A1648" s="7771" t="s">
        <v>2266</v>
      </c>
      <c r="B1648" s="7771" t="s">
        <v>16</v>
      </c>
      <c r="C1648" s="7771" t="s">
        <v>5709</v>
      </c>
      <c r="D1648" s="7771" t="s">
        <v>5710</v>
      </c>
      <c r="E1648" s="7771" t="s">
        <v>5711</v>
      </c>
      <c r="F1648" s="7771" t="s">
        <v>4057</v>
      </c>
      <c r="G1648" s="7771" t="s">
        <v>4181</v>
      </c>
      <c r="H1648" s="7771" t="s">
        <v>28</v>
      </c>
      <c r="I1648" s="7771" t="s">
        <v>868</v>
      </c>
    </row>
    <row customHeight="1" ht="11.25">
      <c r="A1649" s="7771" t="s">
        <v>2266</v>
      </c>
      <c r="B1649" s="7771" t="s">
        <v>16</v>
      </c>
      <c r="C1649" s="7771" t="s">
        <v>4629</v>
      </c>
      <c r="D1649" s="7771" t="s">
        <v>4630</v>
      </c>
      <c r="E1649" s="7771" t="s">
        <v>4631</v>
      </c>
      <c r="F1649" s="7771" t="s">
        <v>2446</v>
      </c>
      <c r="G1649" s="7771" t="s">
        <v>4632</v>
      </c>
      <c r="H1649" s="7771" t="s">
        <v>28</v>
      </c>
      <c r="I1649" s="7771" t="s">
        <v>868</v>
      </c>
    </row>
    <row customHeight="1" ht="11.25">
      <c r="A1650" s="7771" t="s">
        <v>2266</v>
      </c>
      <c r="B1650" s="7771" t="s">
        <v>16</v>
      </c>
      <c r="C1650" s="7771" t="s">
        <v>4633</v>
      </c>
      <c r="D1650" s="7771" t="s">
        <v>4634</v>
      </c>
      <c r="E1650" s="7771" t="s">
        <v>4635</v>
      </c>
      <c r="F1650" s="7771" t="s">
        <v>2441</v>
      </c>
      <c r="G1650" s="7771" t="s">
        <v>4636</v>
      </c>
      <c r="H1650" s="7771" t="s">
        <v>28</v>
      </c>
      <c r="I1650" s="7771" t="s">
        <v>868</v>
      </c>
    </row>
    <row customHeight="1" ht="11.25">
      <c r="A1651" s="7771" t="s">
        <v>2266</v>
      </c>
      <c r="B1651" s="7771" t="s">
        <v>16</v>
      </c>
      <c r="C1651" s="7771" t="s">
        <v>4637</v>
      </c>
      <c r="D1651" s="7771" t="s">
        <v>4638</v>
      </c>
      <c r="E1651" s="7771" t="s">
        <v>4639</v>
      </c>
      <c r="F1651" s="7771" t="s">
        <v>2629</v>
      </c>
      <c r="G1651" s="7771" t="s">
        <v>28</v>
      </c>
      <c r="H1651" s="7771" t="s">
        <v>28</v>
      </c>
      <c r="I1651" s="7771" t="s">
        <v>868</v>
      </c>
    </row>
    <row customHeight="1" ht="11.25">
      <c r="A1652" s="7771" t="s">
        <v>2266</v>
      </c>
      <c r="B1652" s="7771" t="s">
        <v>16</v>
      </c>
      <c r="C1652" s="7771" t="s">
        <v>4643</v>
      </c>
      <c r="D1652" s="7771" t="s">
        <v>4644</v>
      </c>
      <c r="E1652" s="7771" t="s">
        <v>4645</v>
      </c>
      <c r="F1652" s="7771" t="s">
        <v>2295</v>
      </c>
      <c r="G1652" s="7771" t="s">
        <v>28</v>
      </c>
      <c r="H1652" s="7771" t="s">
        <v>28</v>
      </c>
      <c r="I1652" s="7771" t="s">
        <v>868</v>
      </c>
    </row>
    <row customHeight="1" ht="11.25">
      <c r="A1653" s="7771" t="s">
        <v>2266</v>
      </c>
      <c r="B1653" s="7771" t="s">
        <v>16</v>
      </c>
      <c r="C1653" s="7771" t="s">
        <v>4646</v>
      </c>
      <c r="D1653" s="7771" t="s">
        <v>4647</v>
      </c>
      <c r="E1653" s="7771" t="s">
        <v>4648</v>
      </c>
      <c r="F1653" s="7771" t="s">
        <v>2385</v>
      </c>
      <c r="G1653" s="7771" t="s">
        <v>4649</v>
      </c>
      <c r="H1653" s="7771" t="s">
        <v>28</v>
      </c>
      <c r="I1653" s="7771" t="s">
        <v>868</v>
      </c>
    </row>
    <row customHeight="1" ht="11.25">
      <c r="A1654" s="7771" t="s">
        <v>2266</v>
      </c>
      <c r="B1654" s="7771" t="s">
        <v>16</v>
      </c>
      <c r="C1654" s="7771" t="s">
        <v>4650</v>
      </c>
      <c r="D1654" s="7771" t="s">
        <v>4651</v>
      </c>
      <c r="E1654" s="7771" t="s">
        <v>4652</v>
      </c>
      <c r="F1654" s="7771" t="s">
        <v>2655</v>
      </c>
      <c r="G1654" s="7771" t="s">
        <v>28</v>
      </c>
      <c r="H1654" s="7771" t="s">
        <v>28</v>
      </c>
      <c r="I1654" s="7771" t="s">
        <v>868</v>
      </c>
    </row>
    <row customHeight="1" ht="11.25">
      <c r="A1655" s="7771" t="s">
        <v>2266</v>
      </c>
      <c r="B1655" s="7771" t="s">
        <v>16</v>
      </c>
      <c r="C1655" s="7771" t="s">
        <v>4653</v>
      </c>
      <c r="D1655" s="7771" t="s">
        <v>4654</v>
      </c>
      <c r="E1655" s="7771" t="s">
        <v>4655</v>
      </c>
      <c r="F1655" s="7771" t="s">
        <v>2300</v>
      </c>
      <c r="G1655" s="7771" t="s">
        <v>28</v>
      </c>
      <c r="H1655" s="7771" t="s">
        <v>28</v>
      </c>
      <c r="I1655" s="7771" t="s">
        <v>868</v>
      </c>
    </row>
    <row customHeight="1" ht="11.25">
      <c r="A1656" s="7771" t="s">
        <v>2266</v>
      </c>
      <c r="B1656" s="7771" t="s">
        <v>16</v>
      </c>
      <c r="C1656" s="7771" t="s">
        <v>5712</v>
      </c>
      <c r="D1656" s="7771" t="s">
        <v>5713</v>
      </c>
      <c r="E1656" s="7771" t="s">
        <v>5714</v>
      </c>
      <c r="F1656" s="7771" t="s">
        <v>2753</v>
      </c>
      <c r="G1656" s="7771" t="s">
        <v>5715</v>
      </c>
      <c r="H1656" s="7771" t="s">
        <v>28</v>
      </c>
      <c r="I1656" s="7771" t="s">
        <v>868</v>
      </c>
    </row>
    <row customHeight="1" ht="11.25">
      <c r="A1657" s="7771" t="s">
        <v>2266</v>
      </c>
      <c r="B1657" s="7771" t="s">
        <v>16</v>
      </c>
      <c r="C1657" s="7771" t="s">
        <v>5716</v>
      </c>
      <c r="D1657" s="7771" t="s">
        <v>5717</v>
      </c>
      <c r="E1657" s="7771" t="s">
        <v>5718</v>
      </c>
      <c r="F1657" s="7771" t="s">
        <v>2430</v>
      </c>
      <c r="G1657" s="7771" t="s">
        <v>28</v>
      </c>
      <c r="H1657" s="7771" t="s">
        <v>28</v>
      </c>
      <c r="I1657" s="7771" t="s">
        <v>868</v>
      </c>
    </row>
    <row customHeight="1" ht="11.25">
      <c r="A1658" s="7771" t="s">
        <v>2266</v>
      </c>
      <c r="B1658" s="7771" t="s">
        <v>16</v>
      </c>
      <c r="C1658" s="7771" t="s">
        <v>4659</v>
      </c>
      <c r="D1658" s="7771" t="s">
        <v>4660</v>
      </c>
      <c r="E1658" s="7771" t="s">
        <v>4661</v>
      </c>
      <c r="F1658" s="7771" t="s">
        <v>2377</v>
      </c>
      <c r="G1658" s="7771" t="s">
        <v>28</v>
      </c>
      <c r="H1658" s="7771" t="s">
        <v>28</v>
      </c>
      <c r="I1658" s="7771" t="s">
        <v>868</v>
      </c>
    </row>
    <row customHeight="1" ht="11.25">
      <c r="A1659" s="7771" t="s">
        <v>2266</v>
      </c>
      <c r="B1659" s="7771" t="s">
        <v>16</v>
      </c>
      <c r="C1659" s="7771" t="s">
        <v>4662</v>
      </c>
      <c r="D1659" s="7771" t="s">
        <v>4663</v>
      </c>
      <c r="E1659" s="7771" t="s">
        <v>4664</v>
      </c>
      <c r="F1659" s="7771" t="s">
        <v>2829</v>
      </c>
      <c r="G1659" s="7771" t="s">
        <v>28</v>
      </c>
      <c r="H1659" s="7771" t="s">
        <v>28</v>
      </c>
      <c r="I1659" s="7771" t="s">
        <v>868</v>
      </c>
    </row>
    <row customHeight="1" ht="11.25">
      <c r="A1660" s="7771" t="s">
        <v>2266</v>
      </c>
      <c r="B1660" s="7771" t="s">
        <v>16</v>
      </c>
      <c r="C1660" s="7771" t="s">
        <v>5719</v>
      </c>
      <c r="D1660" s="7771" t="s">
        <v>5720</v>
      </c>
      <c r="E1660" s="7771" t="s">
        <v>5721</v>
      </c>
      <c r="F1660" s="7771" t="s">
        <v>2280</v>
      </c>
      <c r="G1660" s="7771" t="s">
        <v>28</v>
      </c>
      <c r="H1660" s="7771" t="s">
        <v>28</v>
      </c>
      <c r="I1660" s="7771" t="s">
        <v>868</v>
      </c>
    </row>
    <row customHeight="1" ht="11.25">
      <c r="A1661" s="7771" t="s">
        <v>2266</v>
      </c>
      <c r="B1661" s="7771" t="s">
        <v>16</v>
      </c>
      <c r="C1661" s="7771" t="s">
        <v>5722</v>
      </c>
      <c r="D1661" s="7771" t="s">
        <v>5723</v>
      </c>
      <c r="E1661" s="7771" t="s">
        <v>4591</v>
      </c>
      <c r="F1661" s="7771" t="s">
        <v>5724</v>
      </c>
      <c r="G1661" s="7771" t="s">
        <v>28</v>
      </c>
      <c r="H1661" s="7771" t="s">
        <v>28</v>
      </c>
      <c r="I1661" s="7771" t="s">
        <v>868</v>
      </c>
    </row>
    <row customHeight="1" ht="11.25">
      <c r="A1662" s="7771" t="s">
        <v>2266</v>
      </c>
      <c r="B1662" s="7771" t="s">
        <v>16</v>
      </c>
      <c r="C1662" s="7771" t="s">
        <v>5725</v>
      </c>
      <c r="D1662" s="7771" t="s">
        <v>5726</v>
      </c>
      <c r="E1662" s="7771" t="s">
        <v>5727</v>
      </c>
      <c r="F1662" s="7771" t="s">
        <v>2280</v>
      </c>
      <c r="G1662" s="7771" t="s">
        <v>28</v>
      </c>
      <c r="H1662" s="7771" t="s">
        <v>28</v>
      </c>
      <c r="I1662" s="7771" t="s">
        <v>868</v>
      </c>
    </row>
    <row customHeight="1" ht="11.25">
      <c r="A1663" s="7771" t="s">
        <v>2266</v>
      </c>
      <c r="B1663" s="7771" t="s">
        <v>16</v>
      </c>
      <c r="C1663" s="7771" t="s">
        <v>5728</v>
      </c>
      <c r="D1663" s="7771" t="s">
        <v>5729</v>
      </c>
      <c r="E1663" s="7771" t="s">
        <v>5730</v>
      </c>
      <c r="F1663" s="7771" t="s">
        <v>5731</v>
      </c>
      <c r="G1663" s="7771" t="s">
        <v>28</v>
      </c>
      <c r="H1663" s="7771" t="s">
        <v>28</v>
      </c>
      <c r="I1663" s="7771" t="s">
        <v>868</v>
      </c>
    </row>
    <row customHeight="1" ht="11.25">
      <c r="A1664" s="7771" t="s">
        <v>2266</v>
      </c>
      <c r="B1664" s="7771" t="s">
        <v>16</v>
      </c>
      <c r="C1664" s="7771" t="s">
        <v>5732</v>
      </c>
      <c r="D1664" s="7771" t="s">
        <v>5733</v>
      </c>
      <c r="E1664" s="7771" t="s">
        <v>5734</v>
      </c>
      <c r="F1664" s="7771" t="s">
        <v>5735</v>
      </c>
      <c r="G1664" s="7771" t="s">
        <v>28</v>
      </c>
      <c r="H1664" s="7771" t="s">
        <v>28</v>
      </c>
      <c r="I1664" s="7771" t="s">
        <v>868</v>
      </c>
    </row>
    <row customHeight="1" ht="11.25">
      <c r="A1665" s="7771" t="s">
        <v>2266</v>
      </c>
      <c r="B1665" s="7771" t="s">
        <v>16</v>
      </c>
      <c r="C1665" s="7771" t="s">
        <v>4671</v>
      </c>
      <c r="D1665" s="7771" t="s">
        <v>4672</v>
      </c>
      <c r="E1665" s="7771" t="s">
        <v>4673</v>
      </c>
      <c r="F1665" s="7771" t="s">
        <v>2441</v>
      </c>
      <c r="G1665" s="7771" t="s">
        <v>28</v>
      </c>
      <c r="H1665" s="7771" t="s">
        <v>28</v>
      </c>
      <c r="I1665" s="7771" t="s">
        <v>868</v>
      </c>
    </row>
    <row customHeight="1" ht="11.25">
      <c r="A1666" s="7771" t="s">
        <v>2266</v>
      </c>
      <c r="B1666" s="7771" t="s">
        <v>16</v>
      </c>
      <c r="C1666" s="7771" t="s">
        <v>5736</v>
      </c>
      <c r="D1666" s="7771" t="s">
        <v>5737</v>
      </c>
      <c r="E1666" s="7771" t="s">
        <v>5738</v>
      </c>
      <c r="F1666" s="7771" t="s">
        <v>2356</v>
      </c>
      <c r="G1666" s="7771" t="s">
        <v>28</v>
      </c>
      <c r="H1666" s="7771" t="s">
        <v>28</v>
      </c>
      <c r="I1666" s="7771" t="s">
        <v>868</v>
      </c>
    </row>
    <row customHeight="1" ht="11.25">
      <c r="A1667" s="7771" t="s">
        <v>2266</v>
      </c>
      <c r="B1667" s="7771" t="s">
        <v>16</v>
      </c>
      <c r="C1667" s="7771" t="s">
        <v>4674</v>
      </c>
      <c r="D1667" s="7771" t="s">
        <v>4675</v>
      </c>
      <c r="E1667" s="7771" t="s">
        <v>4676</v>
      </c>
      <c r="F1667" s="7771" t="s">
        <v>4677</v>
      </c>
      <c r="G1667" s="7771" t="s">
        <v>28</v>
      </c>
      <c r="H1667" s="7771" t="s">
        <v>28</v>
      </c>
      <c r="I1667" s="7771" t="s">
        <v>868</v>
      </c>
    </row>
    <row customHeight="1" ht="11.25">
      <c r="A1668" s="7771" t="s">
        <v>2266</v>
      </c>
      <c r="B1668" s="7771" t="s">
        <v>16</v>
      </c>
      <c r="C1668" s="7771" t="s">
        <v>4678</v>
      </c>
      <c r="D1668" s="7771" t="s">
        <v>4679</v>
      </c>
      <c r="E1668" s="7771" t="s">
        <v>4680</v>
      </c>
      <c r="F1668" s="7771" t="s">
        <v>2356</v>
      </c>
      <c r="G1668" s="7771" t="s">
        <v>4681</v>
      </c>
      <c r="H1668" s="7771" t="s">
        <v>28</v>
      </c>
      <c r="I1668" s="7771" t="s">
        <v>868</v>
      </c>
    </row>
    <row customHeight="1" ht="11.25">
      <c r="A1669" s="7771" t="s">
        <v>2266</v>
      </c>
      <c r="B1669" s="7771" t="s">
        <v>16</v>
      </c>
      <c r="C1669" s="7771" t="s">
        <v>4685</v>
      </c>
      <c r="D1669" s="7771" t="s">
        <v>4686</v>
      </c>
      <c r="E1669" s="7771" t="s">
        <v>4687</v>
      </c>
      <c r="F1669" s="7771" t="s">
        <v>2629</v>
      </c>
      <c r="G1669" s="7771" t="s">
        <v>4688</v>
      </c>
      <c r="H1669" s="7771" t="s">
        <v>28</v>
      </c>
      <c r="I1669" s="7771" t="s">
        <v>868</v>
      </c>
    </row>
    <row customHeight="1" ht="11.25">
      <c r="A1670" s="7771" t="s">
        <v>2266</v>
      </c>
      <c r="B1670" s="7771" t="s">
        <v>16</v>
      </c>
      <c r="C1670" s="7771" t="s">
        <v>5739</v>
      </c>
      <c r="D1670" s="7771" t="s">
        <v>5740</v>
      </c>
      <c r="E1670" s="7771" t="s">
        <v>2905</v>
      </c>
      <c r="F1670" s="7771" t="s">
        <v>5741</v>
      </c>
      <c r="G1670" s="7771" t="s">
        <v>28</v>
      </c>
      <c r="H1670" s="7771" t="s">
        <v>28</v>
      </c>
      <c r="I1670" s="7771" t="s">
        <v>868</v>
      </c>
    </row>
    <row customHeight="1" ht="11.25">
      <c r="A1671" s="7771" t="s">
        <v>2266</v>
      </c>
      <c r="B1671" s="7771" t="s">
        <v>16</v>
      </c>
      <c r="C1671" s="7771" t="s">
        <v>5742</v>
      </c>
      <c r="D1671" s="7771" t="s">
        <v>5743</v>
      </c>
      <c r="E1671" s="7771" t="s">
        <v>5744</v>
      </c>
      <c r="F1671" s="7771" t="s">
        <v>5745</v>
      </c>
      <c r="G1671" s="7771" t="s">
        <v>5746</v>
      </c>
      <c r="H1671" s="7771" t="s">
        <v>28</v>
      </c>
      <c r="I1671" s="7771" t="s">
        <v>868</v>
      </c>
    </row>
    <row customHeight="1" ht="11.25">
      <c r="A1672" s="7771" t="s">
        <v>2266</v>
      </c>
      <c r="B1672" s="7771" t="s">
        <v>16</v>
      </c>
      <c r="C1672" s="7771" t="s">
        <v>4693</v>
      </c>
      <c r="D1672" s="7771" t="s">
        <v>4694</v>
      </c>
      <c r="E1672" s="7771" t="s">
        <v>4695</v>
      </c>
      <c r="F1672" s="7771" t="s">
        <v>2330</v>
      </c>
      <c r="G1672" s="7771" t="s">
        <v>28</v>
      </c>
      <c r="H1672" s="7771" t="s">
        <v>28</v>
      </c>
      <c r="I1672" s="7771" t="s">
        <v>868</v>
      </c>
    </row>
    <row customHeight="1" ht="11.25">
      <c r="A1673" s="7771" t="s">
        <v>2266</v>
      </c>
      <c r="B1673" s="7771" t="s">
        <v>16</v>
      </c>
      <c r="C1673" s="7771" t="s">
        <v>4696</v>
      </c>
      <c r="D1673" s="7771" t="s">
        <v>4697</v>
      </c>
      <c r="E1673" s="7771" t="s">
        <v>4698</v>
      </c>
      <c r="F1673" s="7771" t="s">
        <v>2629</v>
      </c>
      <c r="G1673" s="7771" t="s">
        <v>28</v>
      </c>
      <c r="H1673" s="7771" t="s">
        <v>28</v>
      </c>
      <c r="I1673" s="7771" t="s">
        <v>868</v>
      </c>
    </row>
    <row customHeight="1" ht="11.25">
      <c r="A1674" s="7771" t="s">
        <v>2266</v>
      </c>
      <c r="B1674" s="7771" t="s">
        <v>16</v>
      </c>
      <c r="C1674" s="7771" t="s">
        <v>4699</v>
      </c>
      <c r="D1674" s="7771" t="s">
        <v>4700</v>
      </c>
      <c r="E1674" s="7771" t="s">
        <v>4701</v>
      </c>
      <c r="F1674" s="7771" t="s">
        <v>2829</v>
      </c>
      <c r="G1674" s="7771" t="s">
        <v>28</v>
      </c>
      <c r="H1674" s="7771" t="s">
        <v>28</v>
      </c>
      <c r="I1674" s="7771" t="s">
        <v>868</v>
      </c>
    </row>
    <row customHeight="1" ht="11.25">
      <c r="A1675" s="7771" t="s">
        <v>2266</v>
      </c>
      <c r="B1675" s="7771" t="s">
        <v>16</v>
      </c>
      <c r="C1675" s="7771" t="s">
        <v>4702</v>
      </c>
      <c r="D1675" s="7771" t="s">
        <v>4703</v>
      </c>
      <c r="E1675" s="7771" t="s">
        <v>4704</v>
      </c>
      <c r="F1675" s="7771" t="s">
        <v>2441</v>
      </c>
      <c r="G1675" s="7771" t="s">
        <v>4705</v>
      </c>
      <c r="H1675" s="7771" t="s">
        <v>28</v>
      </c>
      <c r="I1675" s="7771" t="s">
        <v>868</v>
      </c>
    </row>
    <row customHeight="1" ht="11.25">
      <c r="A1676" s="7771" t="s">
        <v>2266</v>
      </c>
      <c r="B1676" s="7771" t="s">
        <v>16</v>
      </c>
      <c r="C1676" s="7771" t="s">
        <v>4713</v>
      </c>
      <c r="D1676" s="7771" t="s">
        <v>4714</v>
      </c>
      <c r="E1676" s="7771" t="s">
        <v>4715</v>
      </c>
      <c r="F1676" s="7771" t="s">
        <v>2430</v>
      </c>
      <c r="G1676" s="7771" t="s">
        <v>28</v>
      </c>
      <c r="H1676" s="7771" t="s">
        <v>28</v>
      </c>
      <c r="I1676" s="7771" t="s">
        <v>868</v>
      </c>
    </row>
    <row customHeight="1" ht="11.25">
      <c r="A1677" s="7771" t="s">
        <v>2266</v>
      </c>
      <c r="B1677" s="7771" t="s">
        <v>16</v>
      </c>
      <c r="C1677" s="7771" t="s">
        <v>4716</v>
      </c>
      <c r="D1677" s="7771" t="s">
        <v>4717</v>
      </c>
      <c r="E1677" s="7771" t="s">
        <v>4718</v>
      </c>
      <c r="F1677" s="7771" t="s">
        <v>2385</v>
      </c>
      <c r="G1677" s="7771" t="s">
        <v>4719</v>
      </c>
      <c r="H1677" s="7771" t="s">
        <v>28</v>
      </c>
      <c r="I1677" s="7771" t="s">
        <v>868</v>
      </c>
    </row>
    <row customHeight="1" ht="11.25">
      <c r="A1678" s="7771" t="s">
        <v>2266</v>
      </c>
      <c r="B1678" s="7771" t="s">
        <v>16</v>
      </c>
      <c r="C1678" s="7771" t="s">
        <v>4724</v>
      </c>
      <c r="D1678" s="7771" t="s">
        <v>4725</v>
      </c>
      <c r="E1678" s="7771" t="s">
        <v>4726</v>
      </c>
      <c r="F1678" s="7771" t="s">
        <v>2356</v>
      </c>
      <c r="G1678" s="7771" t="s">
        <v>4727</v>
      </c>
      <c r="H1678" s="7771" t="s">
        <v>28</v>
      </c>
      <c r="I1678" s="7771" t="s">
        <v>868</v>
      </c>
    </row>
    <row customHeight="1" ht="11.25">
      <c r="A1679" s="7771" t="s">
        <v>2266</v>
      </c>
      <c r="B1679" s="7771" t="s">
        <v>16</v>
      </c>
      <c r="C1679" s="7771" t="s">
        <v>4728</v>
      </c>
      <c r="D1679" s="7771" t="s">
        <v>4729</v>
      </c>
      <c r="E1679" s="7771" t="s">
        <v>4730</v>
      </c>
      <c r="F1679" s="7771" t="s">
        <v>4731</v>
      </c>
      <c r="G1679" s="7771" t="s">
        <v>4732</v>
      </c>
      <c r="H1679" s="7771" t="s">
        <v>28</v>
      </c>
      <c r="I1679" s="7771" t="s">
        <v>868</v>
      </c>
    </row>
    <row customHeight="1" ht="11.25">
      <c r="A1680" s="7771" t="s">
        <v>2266</v>
      </c>
      <c r="B1680" s="7771" t="s">
        <v>16</v>
      </c>
      <c r="C1680" s="7771" t="s">
        <v>13</v>
      </c>
      <c r="D1680" s="7771" t="s">
        <v>49</v>
      </c>
      <c r="E1680" s="7771" t="s">
        <v>52</v>
      </c>
      <c r="F1680" s="7771" t="s">
        <v>54</v>
      </c>
      <c r="G1680" s="7771" t="s">
        <v>4733</v>
      </c>
      <c r="H1680" s="7771" t="s">
        <v>28</v>
      </c>
      <c r="I1680" s="7771" t="s">
        <v>868</v>
      </c>
    </row>
    <row customHeight="1" ht="11.25">
      <c r="A1681" s="7771" t="s">
        <v>2266</v>
      </c>
      <c r="B1681" s="7771" t="s">
        <v>16</v>
      </c>
      <c r="C1681" s="7771" t="s">
        <v>4739</v>
      </c>
      <c r="D1681" s="7771" t="s">
        <v>4740</v>
      </c>
      <c r="E1681" s="7771" t="s">
        <v>4741</v>
      </c>
      <c r="F1681" s="7771" t="s">
        <v>4742</v>
      </c>
      <c r="G1681" s="7771" t="s">
        <v>4743</v>
      </c>
      <c r="H1681" s="7771" t="s">
        <v>28</v>
      </c>
      <c r="I1681" s="7771" t="s">
        <v>868</v>
      </c>
    </row>
    <row customHeight="1" ht="11.25">
      <c r="A1682" s="7771" t="s">
        <v>2266</v>
      </c>
      <c r="B1682" s="7771" t="s">
        <v>16</v>
      </c>
      <c r="C1682" s="7771" t="s">
        <v>4744</v>
      </c>
      <c r="D1682" s="7771" t="s">
        <v>4745</v>
      </c>
      <c r="E1682" s="7771" t="s">
        <v>4746</v>
      </c>
      <c r="F1682" s="7771" t="s">
        <v>4747</v>
      </c>
      <c r="G1682" s="7771" t="s">
        <v>4748</v>
      </c>
      <c r="H1682" s="7771" t="s">
        <v>28</v>
      </c>
      <c r="I1682" s="7771" t="s">
        <v>868</v>
      </c>
    </row>
    <row customHeight="1" ht="11.25">
      <c r="A1683" s="7771" t="s">
        <v>2266</v>
      </c>
      <c r="B1683" s="7771" t="s">
        <v>16</v>
      </c>
      <c r="C1683" s="7771" t="s">
        <v>5747</v>
      </c>
      <c r="D1683" s="7771" t="s">
        <v>5748</v>
      </c>
      <c r="E1683" s="7771" t="s">
        <v>2898</v>
      </c>
      <c r="F1683" s="7771" t="s">
        <v>5749</v>
      </c>
      <c r="G1683" s="7771" t="s">
        <v>5750</v>
      </c>
      <c r="H1683" s="7771" t="s">
        <v>28</v>
      </c>
      <c r="I1683" s="7771" t="s">
        <v>868</v>
      </c>
    </row>
    <row customHeight="1" ht="11.25">
      <c r="A1684" s="7771" t="s">
        <v>2266</v>
      </c>
      <c r="B1684" s="7771" t="s">
        <v>16</v>
      </c>
      <c r="C1684" s="7771" t="s">
        <v>5751</v>
      </c>
      <c r="D1684" s="7771" t="s">
        <v>5752</v>
      </c>
      <c r="E1684" s="7771" t="s">
        <v>2898</v>
      </c>
      <c r="F1684" s="7771" t="s">
        <v>5753</v>
      </c>
      <c r="G1684" s="7771" t="s">
        <v>2899</v>
      </c>
      <c r="H1684" s="7771" t="s">
        <v>28</v>
      </c>
      <c r="I1684" s="7771" t="s">
        <v>868</v>
      </c>
    </row>
    <row customHeight="1" ht="11.25">
      <c r="A1685" s="7771" t="s">
        <v>2266</v>
      </c>
      <c r="B1685" s="7771" t="s">
        <v>16</v>
      </c>
      <c r="C1685" s="7771" t="s">
        <v>5754</v>
      </c>
      <c r="D1685" s="7771" t="s">
        <v>5755</v>
      </c>
      <c r="E1685" s="7771" t="s">
        <v>2765</v>
      </c>
      <c r="F1685" s="7771" t="s">
        <v>5756</v>
      </c>
      <c r="G1685" s="7771" t="s">
        <v>28</v>
      </c>
      <c r="H1685" s="7771" t="s">
        <v>28</v>
      </c>
      <c r="I1685" s="7771" t="s">
        <v>868</v>
      </c>
    </row>
    <row customHeight="1" ht="11.25">
      <c r="A1686" s="7771" t="s">
        <v>2266</v>
      </c>
      <c r="B1686" s="7771" t="s">
        <v>16</v>
      </c>
      <c r="C1686" s="7771" t="s">
        <v>5757</v>
      </c>
      <c r="D1686" s="7771" t="s">
        <v>5758</v>
      </c>
      <c r="E1686" s="7771" t="s">
        <v>2765</v>
      </c>
      <c r="F1686" s="7771" t="s">
        <v>5759</v>
      </c>
      <c r="G1686" s="7771" t="s">
        <v>28</v>
      </c>
      <c r="H1686" s="7771" t="s">
        <v>28</v>
      </c>
      <c r="I1686" s="7771" t="s">
        <v>868</v>
      </c>
    </row>
    <row customHeight="1" ht="11.25">
      <c r="A1687" s="7771" t="s">
        <v>2266</v>
      </c>
      <c r="B1687" s="7771" t="s">
        <v>16</v>
      </c>
      <c r="C1687" s="7771" t="s">
        <v>5760</v>
      </c>
      <c r="D1687" s="7771" t="s">
        <v>5761</v>
      </c>
      <c r="E1687" s="7771" t="s">
        <v>4498</v>
      </c>
      <c r="F1687" s="7771" t="s">
        <v>5762</v>
      </c>
      <c r="G1687" s="7771" t="s">
        <v>28</v>
      </c>
      <c r="H1687" s="7771" t="s">
        <v>28</v>
      </c>
      <c r="I1687" s="7771" t="s">
        <v>868</v>
      </c>
    </row>
    <row customHeight="1" ht="11.25">
      <c r="A1688" s="7771" t="s">
        <v>2266</v>
      </c>
      <c r="B1688" s="7771" t="s">
        <v>16</v>
      </c>
      <c r="C1688" s="7771" t="s">
        <v>5763</v>
      </c>
      <c r="D1688" s="7771" t="s">
        <v>5764</v>
      </c>
      <c r="E1688" s="7771" t="s">
        <v>5173</v>
      </c>
      <c r="F1688" s="7771" t="s">
        <v>5765</v>
      </c>
      <c r="G1688" s="7771" t="s">
        <v>28</v>
      </c>
      <c r="H1688" s="7771" t="s">
        <v>28</v>
      </c>
      <c r="I1688" s="7771" t="s">
        <v>868</v>
      </c>
    </row>
    <row customHeight="1" ht="11.25">
      <c r="A1689" s="7771" t="s">
        <v>2266</v>
      </c>
      <c r="B1689" s="7771" t="s">
        <v>16</v>
      </c>
      <c r="C1689" s="7771" t="s">
        <v>4756</v>
      </c>
      <c r="D1689" s="7771" t="s">
        <v>4757</v>
      </c>
      <c r="E1689" s="7771" t="s">
        <v>4434</v>
      </c>
      <c r="F1689" s="7771" t="s">
        <v>4758</v>
      </c>
      <c r="G1689" s="7771" t="s">
        <v>28</v>
      </c>
      <c r="H1689" s="7771" t="s">
        <v>28</v>
      </c>
      <c r="I1689" s="7771" t="s">
        <v>868</v>
      </c>
    </row>
    <row customHeight="1" ht="11.25">
      <c r="A1690" s="7771" t="s">
        <v>2266</v>
      </c>
      <c r="B1690" s="7771" t="s">
        <v>16</v>
      </c>
      <c r="C1690" s="7771" t="s">
        <v>4759</v>
      </c>
      <c r="D1690" s="7771" t="s">
        <v>4760</v>
      </c>
      <c r="E1690" s="7771" t="s">
        <v>4761</v>
      </c>
      <c r="F1690" s="7771" t="s">
        <v>4762</v>
      </c>
      <c r="G1690" s="7771" t="s">
        <v>4763</v>
      </c>
      <c r="H1690" s="7771" t="s">
        <v>28</v>
      </c>
      <c r="I1690" s="7771" t="s">
        <v>868</v>
      </c>
    </row>
    <row customHeight="1" ht="11.25">
      <c r="A1691" s="7771" t="s">
        <v>2266</v>
      </c>
      <c r="B1691" s="7771" t="s">
        <v>16</v>
      </c>
      <c r="C1691" s="7771" t="s">
        <v>4764</v>
      </c>
      <c r="D1691" s="7771" t="s">
        <v>4765</v>
      </c>
      <c r="E1691" s="7771" t="s">
        <v>4766</v>
      </c>
      <c r="F1691" s="7771" t="s">
        <v>2739</v>
      </c>
      <c r="G1691" s="7771" t="s">
        <v>4767</v>
      </c>
      <c r="H1691" s="7771" t="s">
        <v>28</v>
      </c>
      <c r="I1691" s="7771" t="s">
        <v>868</v>
      </c>
    </row>
    <row customHeight="1" ht="11.25">
      <c r="A1692" s="7771" t="s">
        <v>2266</v>
      </c>
      <c r="B1692" s="7771" t="s">
        <v>16</v>
      </c>
      <c r="C1692" s="7771" t="s">
        <v>4768</v>
      </c>
      <c r="D1692" s="7771" t="s">
        <v>4769</v>
      </c>
      <c r="E1692" s="7771" t="s">
        <v>4009</v>
      </c>
      <c r="F1692" s="7771" t="s">
        <v>4770</v>
      </c>
      <c r="G1692" s="7771" t="s">
        <v>28</v>
      </c>
      <c r="H1692" s="7771" t="s">
        <v>28</v>
      </c>
      <c r="I1692" s="7771" t="s">
        <v>868</v>
      </c>
    </row>
    <row customHeight="1" ht="11.25">
      <c r="A1693" s="7771" t="s">
        <v>2266</v>
      </c>
      <c r="B1693" s="7771" t="s">
        <v>16</v>
      </c>
      <c r="C1693" s="7771" t="s">
        <v>5766</v>
      </c>
      <c r="D1693" s="7771" t="s">
        <v>5767</v>
      </c>
      <c r="E1693" s="7771" t="s">
        <v>4439</v>
      </c>
      <c r="F1693" s="7771" t="s">
        <v>5768</v>
      </c>
      <c r="G1693" s="7771" t="s">
        <v>5769</v>
      </c>
      <c r="H1693" s="7771" t="s">
        <v>28</v>
      </c>
      <c r="I1693" s="7771" t="s">
        <v>868</v>
      </c>
    </row>
    <row customHeight="1" ht="11.25">
      <c r="A1694" s="7771" t="s">
        <v>2266</v>
      </c>
      <c r="B1694" s="7771" t="s">
        <v>16</v>
      </c>
      <c r="C1694" s="7771" t="s">
        <v>4771</v>
      </c>
      <c r="D1694" s="7771" t="s">
        <v>4772</v>
      </c>
      <c r="E1694" s="7771" t="s">
        <v>4498</v>
      </c>
      <c r="F1694" s="7771" t="s">
        <v>4773</v>
      </c>
      <c r="G1694" s="7771" t="s">
        <v>28</v>
      </c>
      <c r="H1694" s="7771" t="s">
        <v>28</v>
      </c>
      <c r="I1694" s="7771" t="s">
        <v>868</v>
      </c>
    </row>
    <row customHeight="1" ht="11.25">
      <c r="A1695" s="7771" t="s">
        <v>2266</v>
      </c>
      <c r="B1695" s="7771" t="s">
        <v>16</v>
      </c>
      <c r="C1695" s="7771" t="s">
        <v>4774</v>
      </c>
      <c r="D1695" s="7771" t="s">
        <v>4775</v>
      </c>
      <c r="E1695" s="7771" t="s">
        <v>2363</v>
      </c>
      <c r="F1695" s="7771" t="s">
        <v>3528</v>
      </c>
      <c r="G1695" s="7771" t="s">
        <v>28</v>
      </c>
      <c r="H1695" s="7771" t="s">
        <v>28</v>
      </c>
      <c r="I1695" s="7771" t="s">
        <v>921</v>
      </c>
    </row>
    <row customHeight="1" ht="11.25">
      <c r="A1696" s="7771" t="s">
        <v>2266</v>
      </c>
      <c r="B1696" s="7771" t="s">
        <v>16</v>
      </c>
      <c r="C1696" s="7771" t="s">
        <v>5770</v>
      </c>
      <c r="D1696" s="7771" t="s">
        <v>5771</v>
      </c>
      <c r="E1696" s="7771" t="s">
        <v>5772</v>
      </c>
      <c r="F1696" s="7771" t="s">
        <v>2360</v>
      </c>
      <c r="G1696" s="7771" t="s">
        <v>5773</v>
      </c>
      <c r="H1696" s="7771" t="s">
        <v>28</v>
      </c>
      <c r="I1696" s="7771" t="s">
        <v>921</v>
      </c>
    </row>
    <row customHeight="1" ht="11.25">
      <c r="A1697" s="7771" t="s">
        <v>2266</v>
      </c>
      <c r="B1697" s="7771" t="s">
        <v>16</v>
      </c>
      <c r="C1697" s="7771" t="s">
        <v>2277</v>
      </c>
      <c r="D1697" s="7771" t="s">
        <v>2278</v>
      </c>
      <c r="E1697" s="7771" t="s">
        <v>2279</v>
      </c>
      <c r="F1697" s="7771" t="s">
        <v>2280</v>
      </c>
      <c r="G1697" s="7771" t="s">
        <v>2281</v>
      </c>
      <c r="H1697" s="7771" t="s">
        <v>28</v>
      </c>
      <c r="I1697" s="7771" t="s">
        <v>921</v>
      </c>
    </row>
    <row customHeight="1" ht="11.25">
      <c r="A1698" s="7771" t="s">
        <v>2266</v>
      </c>
      <c r="B1698" s="7771" t="s">
        <v>16</v>
      </c>
      <c r="C1698" s="7771" t="s">
        <v>2287</v>
      </c>
      <c r="D1698" s="7771" t="s">
        <v>2288</v>
      </c>
      <c r="E1698" s="7771" t="s">
        <v>2289</v>
      </c>
      <c r="F1698" s="7771" t="s">
        <v>2290</v>
      </c>
      <c r="G1698" s="7771" t="s">
        <v>2291</v>
      </c>
      <c r="H1698" s="7771" t="s">
        <v>28</v>
      </c>
      <c r="I1698" s="7771" t="s">
        <v>921</v>
      </c>
    </row>
    <row customHeight="1" ht="11.25">
      <c r="A1699" s="7771" t="s">
        <v>2266</v>
      </c>
      <c r="B1699" s="7771" t="s">
        <v>16</v>
      </c>
      <c r="C1699" s="7771" t="s">
        <v>2292</v>
      </c>
      <c r="D1699" s="7771" t="s">
        <v>2293</v>
      </c>
      <c r="E1699" s="7771" t="s">
        <v>2294</v>
      </c>
      <c r="F1699" s="7771" t="s">
        <v>2295</v>
      </c>
      <c r="G1699" s="7771" t="s">
        <v>2296</v>
      </c>
      <c r="H1699" s="7771" t="s">
        <v>28</v>
      </c>
      <c r="I1699" s="7771" t="s">
        <v>921</v>
      </c>
    </row>
    <row customHeight="1" ht="11.25">
      <c r="A1700" s="7771" t="s">
        <v>2266</v>
      </c>
      <c r="B1700" s="7771" t="s">
        <v>16</v>
      </c>
      <c r="C1700" s="7771" t="s">
        <v>5774</v>
      </c>
      <c r="D1700" s="7771" t="s">
        <v>5775</v>
      </c>
      <c r="E1700" s="7771" t="s">
        <v>5776</v>
      </c>
      <c r="F1700" s="7771" t="s">
        <v>5777</v>
      </c>
      <c r="G1700" s="7771" t="s">
        <v>5778</v>
      </c>
      <c r="H1700" s="7771" t="s">
        <v>28</v>
      </c>
      <c r="I1700" s="7771" t="s">
        <v>921</v>
      </c>
    </row>
    <row customHeight="1" ht="11.25">
      <c r="A1701" s="7771" t="s">
        <v>2266</v>
      </c>
      <c r="B1701" s="7771" t="s">
        <v>16</v>
      </c>
      <c r="C1701" s="7771" t="s">
        <v>2301</v>
      </c>
      <c r="D1701" s="7771" t="s">
        <v>2302</v>
      </c>
      <c r="E1701" s="7771" t="s">
        <v>2303</v>
      </c>
      <c r="F1701" s="7771" t="s">
        <v>2280</v>
      </c>
      <c r="G1701" s="7771" t="s">
        <v>28</v>
      </c>
      <c r="H1701" s="7771" t="s">
        <v>28</v>
      </c>
      <c r="I1701" s="7771" t="s">
        <v>921</v>
      </c>
    </row>
    <row customHeight="1" ht="11.25">
      <c r="A1702" s="7771" t="s">
        <v>2266</v>
      </c>
      <c r="B1702" s="7771" t="s">
        <v>16</v>
      </c>
      <c r="C1702" s="7771" t="s">
        <v>4820</v>
      </c>
      <c r="D1702" s="7771" t="s">
        <v>4821</v>
      </c>
      <c r="E1702" s="7771" t="s">
        <v>4822</v>
      </c>
      <c r="F1702" s="7771" t="s">
        <v>2295</v>
      </c>
      <c r="G1702" s="7771" t="s">
        <v>4823</v>
      </c>
      <c r="H1702" s="7771" t="s">
        <v>28</v>
      </c>
      <c r="I1702" s="7771" t="s">
        <v>921</v>
      </c>
    </row>
    <row customHeight="1" ht="11.25">
      <c r="A1703" s="7771" t="s">
        <v>2266</v>
      </c>
      <c r="B1703" s="7771" t="s">
        <v>16</v>
      </c>
      <c r="C1703" s="7771" t="s">
        <v>2308</v>
      </c>
      <c r="D1703" s="7771" t="s">
        <v>2309</v>
      </c>
      <c r="E1703" s="7771" t="s">
        <v>2310</v>
      </c>
      <c r="F1703" s="7771" t="s">
        <v>2285</v>
      </c>
      <c r="G1703" s="7771" t="s">
        <v>2311</v>
      </c>
      <c r="H1703" s="7771" t="s">
        <v>28</v>
      </c>
      <c r="I1703" s="7771" t="s">
        <v>921</v>
      </c>
    </row>
    <row customHeight="1" ht="11.25">
      <c r="A1704" s="7771" t="s">
        <v>2266</v>
      </c>
      <c r="B1704" s="7771" t="s">
        <v>16</v>
      </c>
      <c r="C1704" s="7771" t="s">
        <v>2312</v>
      </c>
      <c r="D1704" s="7771" t="s">
        <v>2313</v>
      </c>
      <c r="E1704" s="7771" t="s">
        <v>2314</v>
      </c>
      <c r="F1704" s="7771" t="s">
        <v>2315</v>
      </c>
      <c r="G1704" s="7771" t="s">
        <v>2316</v>
      </c>
      <c r="H1704" s="7771" t="s">
        <v>28</v>
      </c>
      <c r="I1704" s="7771" t="s">
        <v>921</v>
      </c>
    </row>
    <row customHeight="1" ht="11.25">
      <c r="A1705" s="7771" t="s">
        <v>2266</v>
      </c>
      <c r="B1705" s="7771" t="s">
        <v>16</v>
      </c>
      <c r="C1705" s="7771" t="s">
        <v>4824</v>
      </c>
      <c r="D1705" s="7771" t="s">
        <v>4825</v>
      </c>
      <c r="E1705" s="7771" t="s">
        <v>4826</v>
      </c>
      <c r="F1705" s="7771" t="s">
        <v>2330</v>
      </c>
      <c r="G1705" s="7771" t="s">
        <v>4827</v>
      </c>
      <c r="H1705" s="7771" t="s">
        <v>28</v>
      </c>
      <c r="I1705" s="7771" t="s">
        <v>921</v>
      </c>
    </row>
    <row customHeight="1" ht="11.25">
      <c r="A1706" s="7771" t="s">
        <v>2266</v>
      </c>
      <c r="B1706" s="7771" t="s">
        <v>16</v>
      </c>
      <c r="C1706" s="7771" t="s">
        <v>2322</v>
      </c>
      <c r="D1706" s="7771" t="s">
        <v>2323</v>
      </c>
      <c r="E1706" s="7771" t="s">
        <v>2324</v>
      </c>
      <c r="F1706" s="7771" t="s">
        <v>2325</v>
      </c>
      <c r="G1706" s="7771" t="s">
        <v>2326</v>
      </c>
      <c r="H1706" s="7771" t="s">
        <v>28</v>
      </c>
      <c r="I1706" s="7771" t="s">
        <v>921</v>
      </c>
    </row>
    <row customHeight="1" ht="11.25">
      <c r="A1707" s="7771" t="s">
        <v>2266</v>
      </c>
      <c r="B1707" s="7771" t="s">
        <v>16</v>
      </c>
      <c r="C1707" s="7771" t="s">
        <v>4828</v>
      </c>
      <c r="D1707" s="7771" t="s">
        <v>4829</v>
      </c>
      <c r="E1707" s="7771" t="s">
        <v>4830</v>
      </c>
      <c r="F1707" s="7771" t="s">
        <v>2285</v>
      </c>
      <c r="G1707" s="7771" t="s">
        <v>4831</v>
      </c>
      <c r="H1707" s="7771" t="s">
        <v>28</v>
      </c>
      <c r="I1707" s="7771" t="s">
        <v>921</v>
      </c>
    </row>
    <row customHeight="1" ht="11.25">
      <c r="A1708" s="7771" t="s">
        <v>2266</v>
      </c>
      <c r="B1708" s="7771" t="s">
        <v>16</v>
      </c>
      <c r="C1708" s="7771" t="s">
        <v>4832</v>
      </c>
      <c r="D1708" s="7771" t="s">
        <v>4833</v>
      </c>
      <c r="E1708" s="7771" t="s">
        <v>4834</v>
      </c>
      <c r="F1708" s="7771" t="s">
        <v>2538</v>
      </c>
      <c r="G1708" s="7771" t="s">
        <v>4835</v>
      </c>
      <c r="H1708" s="7771" t="s">
        <v>28</v>
      </c>
      <c r="I1708" s="7771" t="s">
        <v>921</v>
      </c>
    </row>
    <row customHeight="1" ht="11.25">
      <c r="A1709" s="7771" t="s">
        <v>2266</v>
      </c>
      <c r="B1709" s="7771" t="s">
        <v>16</v>
      </c>
      <c r="C1709" s="7771" t="s">
        <v>4836</v>
      </c>
      <c r="D1709" s="7771" t="s">
        <v>4833</v>
      </c>
      <c r="E1709" s="7771" t="s">
        <v>4837</v>
      </c>
      <c r="F1709" s="7771" t="s">
        <v>2285</v>
      </c>
      <c r="G1709" s="7771" t="s">
        <v>4838</v>
      </c>
      <c r="H1709" s="7771" t="s">
        <v>28</v>
      </c>
      <c r="I1709" s="7771" t="s">
        <v>921</v>
      </c>
    </row>
    <row customHeight="1" ht="11.25">
      <c r="A1710" s="7771" t="s">
        <v>2266</v>
      </c>
      <c r="B1710" s="7771" t="s">
        <v>16</v>
      </c>
      <c r="C1710" s="7771" t="s">
        <v>4839</v>
      </c>
      <c r="D1710" s="7771" t="s">
        <v>4840</v>
      </c>
      <c r="E1710" s="7771" t="s">
        <v>4841</v>
      </c>
      <c r="F1710" s="7771" t="s">
        <v>2518</v>
      </c>
      <c r="G1710" s="7771" t="s">
        <v>28</v>
      </c>
      <c r="H1710" s="7771" t="s">
        <v>28</v>
      </c>
      <c r="I1710" s="7771" t="s">
        <v>921</v>
      </c>
    </row>
    <row customHeight="1" ht="11.25">
      <c r="A1711" s="7771" t="s">
        <v>2266</v>
      </c>
      <c r="B1711" s="7771" t="s">
        <v>16</v>
      </c>
      <c r="C1711" s="7771" t="s">
        <v>2339</v>
      </c>
      <c r="D1711" s="7771" t="s">
        <v>2340</v>
      </c>
      <c r="E1711" s="7771" t="s">
        <v>2341</v>
      </c>
      <c r="F1711" s="7771" t="s">
        <v>2342</v>
      </c>
      <c r="G1711" s="7771" t="s">
        <v>2343</v>
      </c>
      <c r="H1711" s="7771" t="s">
        <v>28</v>
      </c>
      <c r="I1711" s="7771" t="s">
        <v>921</v>
      </c>
    </row>
    <row customHeight="1" ht="11.25">
      <c r="A1712" s="7771" t="s">
        <v>2266</v>
      </c>
      <c r="B1712" s="7771" t="s">
        <v>16</v>
      </c>
      <c r="C1712" s="7771" t="s">
        <v>4842</v>
      </c>
      <c r="D1712" s="7771" t="s">
        <v>4843</v>
      </c>
      <c r="E1712" s="7771" t="s">
        <v>4844</v>
      </c>
      <c r="F1712" s="7771" t="s">
        <v>4845</v>
      </c>
      <c r="G1712" s="7771" t="s">
        <v>28</v>
      </c>
      <c r="H1712" s="7771" t="s">
        <v>28</v>
      </c>
      <c r="I1712" s="7771" t="s">
        <v>921</v>
      </c>
    </row>
    <row customHeight="1" ht="11.25">
      <c r="A1713" s="7771" t="s">
        <v>2266</v>
      </c>
      <c r="B1713" s="7771" t="s">
        <v>16</v>
      </c>
      <c r="C1713" s="7771" t="s">
        <v>2353</v>
      </c>
      <c r="D1713" s="7771" t="s">
        <v>2354</v>
      </c>
      <c r="E1713" s="7771" t="s">
        <v>2355</v>
      </c>
      <c r="F1713" s="7771" t="s">
        <v>2356</v>
      </c>
      <c r="G1713" s="7771" t="s">
        <v>28</v>
      </c>
      <c r="H1713" s="7771" t="s">
        <v>28</v>
      </c>
      <c r="I1713" s="7771" t="s">
        <v>921</v>
      </c>
    </row>
    <row customHeight="1" ht="11.25">
      <c r="A1714" s="7771" t="s">
        <v>2266</v>
      </c>
      <c r="B1714" s="7771" t="s">
        <v>16</v>
      </c>
      <c r="C1714" s="7771" t="s">
        <v>2361</v>
      </c>
      <c r="D1714" s="7771" t="s">
        <v>2362</v>
      </c>
      <c r="E1714" s="7771" t="s">
        <v>2363</v>
      </c>
      <c r="F1714" s="7771" t="s">
        <v>2356</v>
      </c>
      <c r="G1714" s="7771" t="s">
        <v>2364</v>
      </c>
      <c r="H1714" s="7771" t="s">
        <v>28</v>
      </c>
      <c r="I1714" s="7771" t="s">
        <v>921</v>
      </c>
    </row>
    <row customHeight="1" ht="11.25">
      <c r="A1715" s="7771" t="s">
        <v>2266</v>
      </c>
      <c r="B1715" s="7771" t="s">
        <v>16</v>
      </c>
      <c r="C1715" s="7771" t="s">
        <v>4846</v>
      </c>
      <c r="D1715" s="7771" t="s">
        <v>4847</v>
      </c>
      <c r="E1715" s="7771" t="s">
        <v>4848</v>
      </c>
      <c r="F1715" s="7771" t="s">
        <v>2280</v>
      </c>
      <c r="G1715" s="7771" t="s">
        <v>28</v>
      </c>
      <c r="H1715" s="7771" t="s">
        <v>28</v>
      </c>
      <c r="I1715" s="7771" t="s">
        <v>921</v>
      </c>
    </row>
    <row customHeight="1" ht="11.25">
      <c r="A1716" s="7771" t="s">
        <v>2266</v>
      </c>
      <c r="B1716" s="7771" t="s">
        <v>16</v>
      </c>
      <c r="C1716" s="7771" t="s">
        <v>2365</v>
      </c>
      <c r="D1716" s="7771" t="s">
        <v>2366</v>
      </c>
      <c r="E1716" s="7771" t="s">
        <v>2367</v>
      </c>
      <c r="F1716" s="7771" t="s">
        <v>2368</v>
      </c>
      <c r="G1716" s="7771" t="s">
        <v>28</v>
      </c>
      <c r="H1716" s="7771" t="s">
        <v>28</v>
      </c>
      <c r="I1716" s="7771" t="s">
        <v>921</v>
      </c>
    </row>
    <row customHeight="1" ht="11.25">
      <c r="A1717" s="7771" t="s">
        <v>2266</v>
      </c>
      <c r="B1717" s="7771" t="s">
        <v>16</v>
      </c>
      <c r="C1717" s="7771" t="s">
        <v>2387</v>
      </c>
      <c r="D1717" s="7771" t="s">
        <v>2388</v>
      </c>
      <c r="E1717" s="7771" t="s">
        <v>2389</v>
      </c>
      <c r="F1717" s="7771" t="s">
        <v>2390</v>
      </c>
      <c r="G1717" s="7771" t="s">
        <v>2391</v>
      </c>
      <c r="H1717" s="7771" t="s">
        <v>28</v>
      </c>
      <c r="I1717" s="7771" t="s">
        <v>921</v>
      </c>
    </row>
    <row customHeight="1" ht="11.25">
      <c r="A1718" s="7771" t="s">
        <v>2266</v>
      </c>
      <c r="B1718" s="7771" t="s">
        <v>16</v>
      </c>
      <c r="C1718" s="7771" t="s">
        <v>4854</v>
      </c>
      <c r="D1718" s="7771" t="s">
        <v>4855</v>
      </c>
      <c r="E1718" s="7771" t="s">
        <v>4856</v>
      </c>
      <c r="F1718" s="7771" t="s">
        <v>2280</v>
      </c>
      <c r="G1718" s="7771" t="s">
        <v>4857</v>
      </c>
      <c r="H1718" s="7771" t="s">
        <v>28</v>
      </c>
      <c r="I1718" s="7771" t="s">
        <v>921</v>
      </c>
    </row>
    <row customHeight="1" ht="11.25">
      <c r="A1719" s="7771" t="s">
        <v>2266</v>
      </c>
      <c r="B1719" s="7771" t="s">
        <v>16</v>
      </c>
      <c r="C1719" s="7771" t="s">
        <v>5779</v>
      </c>
      <c r="D1719" s="7771" t="s">
        <v>5780</v>
      </c>
      <c r="E1719" s="7771" t="s">
        <v>5781</v>
      </c>
      <c r="F1719" s="7771" t="s">
        <v>2295</v>
      </c>
      <c r="G1719" s="7771" t="s">
        <v>5782</v>
      </c>
      <c r="H1719" s="7771" t="s">
        <v>28</v>
      </c>
      <c r="I1719" s="7771" t="s">
        <v>921</v>
      </c>
    </row>
    <row customHeight="1" ht="11.25">
      <c r="A1720" s="7771" t="s">
        <v>2266</v>
      </c>
      <c r="B1720" s="7771" t="s">
        <v>16</v>
      </c>
      <c r="C1720" s="7771" t="s">
        <v>2392</v>
      </c>
      <c r="D1720" s="7771" t="s">
        <v>2393</v>
      </c>
      <c r="E1720" s="7771" t="s">
        <v>2394</v>
      </c>
      <c r="F1720" s="7771" t="s">
        <v>2280</v>
      </c>
      <c r="G1720" s="7771" t="s">
        <v>2395</v>
      </c>
      <c r="H1720" s="7771" t="s">
        <v>28</v>
      </c>
      <c r="I1720" s="7771" t="s">
        <v>921</v>
      </c>
    </row>
    <row customHeight="1" ht="11.25">
      <c r="A1721" s="7771" t="s">
        <v>2266</v>
      </c>
      <c r="B1721" s="7771" t="s">
        <v>16</v>
      </c>
      <c r="C1721" s="7771" t="s">
        <v>4858</v>
      </c>
      <c r="D1721" s="7771" t="s">
        <v>4859</v>
      </c>
      <c r="E1721" s="7771" t="s">
        <v>4860</v>
      </c>
      <c r="F1721" s="7771" t="s">
        <v>2538</v>
      </c>
      <c r="G1721" s="7771" t="s">
        <v>4861</v>
      </c>
      <c r="H1721" s="7771" t="s">
        <v>28</v>
      </c>
      <c r="I1721" s="7771" t="s">
        <v>921</v>
      </c>
    </row>
    <row customHeight="1" ht="11.25">
      <c r="A1722" s="7771" t="s">
        <v>2266</v>
      </c>
      <c r="B1722" s="7771" t="s">
        <v>16</v>
      </c>
      <c r="C1722" s="7771" t="s">
        <v>2422</v>
      </c>
      <c r="D1722" s="7771" t="s">
        <v>2423</v>
      </c>
      <c r="E1722" s="7771" t="s">
        <v>2424</v>
      </c>
      <c r="F1722" s="7771" t="s">
        <v>2425</v>
      </c>
      <c r="G1722" s="7771" t="s">
        <v>2426</v>
      </c>
      <c r="H1722" s="7771" t="s">
        <v>28</v>
      </c>
      <c r="I1722" s="7771" t="s">
        <v>921</v>
      </c>
    </row>
    <row customHeight="1" ht="11.25">
      <c r="A1723" s="7771" t="s">
        <v>2266</v>
      </c>
      <c r="B1723" s="7771" t="s">
        <v>16</v>
      </c>
      <c r="C1723" s="7771" t="s">
        <v>2427</v>
      </c>
      <c r="D1723" s="7771" t="s">
        <v>2428</v>
      </c>
      <c r="E1723" s="7771" t="s">
        <v>2429</v>
      </c>
      <c r="F1723" s="7771" t="s">
        <v>2430</v>
      </c>
      <c r="G1723" s="7771" t="s">
        <v>28</v>
      </c>
      <c r="H1723" s="7771" t="s">
        <v>28</v>
      </c>
      <c r="I1723" s="7771" t="s">
        <v>921</v>
      </c>
    </row>
    <row customHeight="1" ht="11.25">
      <c r="A1724" s="7771" t="s">
        <v>2266</v>
      </c>
      <c r="B1724" s="7771" t="s">
        <v>16</v>
      </c>
      <c r="C1724" s="7771" t="s">
        <v>4868</v>
      </c>
      <c r="D1724" s="7771" t="s">
        <v>4869</v>
      </c>
      <c r="E1724" s="7771" t="s">
        <v>4870</v>
      </c>
      <c r="F1724" s="7771" t="s">
        <v>2538</v>
      </c>
      <c r="G1724" s="7771" t="s">
        <v>4871</v>
      </c>
      <c r="H1724" s="7771" t="s">
        <v>28</v>
      </c>
      <c r="I1724" s="7771" t="s">
        <v>921</v>
      </c>
    </row>
    <row customHeight="1" ht="11.25">
      <c r="A1725" s="7771" t="s">
        <v>2266</v>
      </c>
      <c r="B1725" s="7771" t="s">
        <v>16</v>
      </c>
      <c r="C1725" s="7771" t="s">
        <v>2431</v>
      </c>
      <c r="D1725" s="7771" t="s">
        <v>2432</v>
      </c>
      <c r="E1725" s="7771" t="s">
        <v>2433</v>
      </c>
      <c r="F1725" s="7771" t="s">
        <v>2434</v>
      </c>
      <c r="G1725" s="7771" t="s">
        <v>28</v>
      </c>
      <c r="H1725" s="7771" t="s">
        <v>28</v>
      </c>
      <c r="I1725" s="7771" t="s">
        <v>921</v>
      </c>
    </row>
    <row customHeight="1" ht="11.25">
      <c r="A1726" s="7771" t="s">
        <v>2266</v>
      </c>
      <c r="B1726" s="7771" t="s">
        <v>16</v>
      </c>
      <c r="C1726" s="7771" t="s">
        <v>4872</v>
      </c>
      <c r="D1726" s="7771" t="s">
        <v>4873</v>
      </c>
      <c r="E1726" s="7771" t="s">
        <v>4874</v>
      </c>
      <c r="F1726" s="7771" t="s">
        <v>2285</v>
      </c>
      <c r="G1726" s="7771" t="s">
        <v>4875</v>
      </c>
      <c r="H1726" s="7771" t="s">
        <v>28</v>
      </c>
      <c r="I1726" s="7771" t="s">
        <v>921</v>
      </c>
    </row>
    <row customHeight="1" ht="11.25">
      <c r="A1727" s="7771" t="s">
        <v>2266</v>
      </c>
      <c r="B1727" s="7771" t="s">
        <v>16</v>
      </c>
      <c r="C1727" s="7771" t="s">
        <v>4876</v>
      </c>
      <c r="D1727" s="7771" t="s">
        <v>4877</v>
      </c>
      <c r="E1727" s="7771" t="s">
        <v>4878</v>
      </c>
      <c r="F1727" s="7771" t="s">
        <v>4879</v>
      </c>
      <c r="G1727" s="7771" t="s">
        <v>4880</v>
      </c>
      <c r="H1727" s="7771" t="s">
        <v>28</v>
      </c>
      <c r="I1727" s="7771" t="s">
        <v>921</v>
      </c>
    </row>
    <row customHeight="1" ht="11.25">
      <c r="A1728" s="7771" t="s">
        <v>2266</v>
      </c>
      <c r="B1728" s="7771" t="s">
        <v>16</v>
      </c>
      <c r="C1728" s="7771" t="s">
        <v>4881</v>
      </c>
      <c r="D1728" s="7771" t="s">
        <v>4882</v>
      </c>
      <c r="E1728" s="7771" t="s">
        <v>4883</v>
      </c>
      <c r="F1728" s="7771" t="s">
        <v>2451</v>
      </c>
      <c r="G1728" s="7771" t="s">
        <v>2452</v>
      </c>
      <c r="H1728" s="7771" t="s">
        <v>28</v>
      </c>
      <c r="I1728" s="7771" t="s">
        <v>921</v>
      </c>
    </row>
    <row customHeight="1" ht="11.25">
      <c r="A1729" s="7771" t="s">
        <v>2266</v>
      </c>
      <c r="B1729" s="7771" t="s">
        <v>16</v>
      </c>
      <c r="C1729" s="7771" t="s">
        <v>2453</v>
      </c>
      <c r="D1729" s="7771" t="s">
        <v>2454</v>
      </c>
      <c r="E1729" s="7771" t="s">
        <v>2455</v>
      </c>
      <c r="F1729" s="7771" t="s">
        <v>2430</v>
      </c>
      <c r="G1729" s="7771" t="s">
        <v>28</v>
      </c>
      <c r="H1729" s="7771" t="s">
        <v>28</v>
      </c>
      <c r="I1729" s="7771" t="s">
        <v>921</v>
      </c>
    </row>
    <row customHeight="1" ht="11.25">
      <c r="A1730" s="7771" t="s">
        <v>2266</v>
      </c>
      <c r="B1730" s="7771" t="s">
        <v>16</v>
      </c>
      <c r="C1730" s="7771" t="s">
        <v>2456</v>
      </c>
      <c r="D1730" s="7771" t="s">
        <v>2457</v>
      </c>
      <c r="E1730" s="7771" t="s">
        <v>2458</v>
      </c>
      <c r="F1730" s="7771" t="s">
        <v>2446</v>
      </c>
      <c r="G1730" s="7771" t="s">
        <v>2459</v>
      </c>
      <c r="H1730" s="7771" t="s">
        <v>28</v>
      </c>
      <c r="I1730" s="7771" t="s">
        <v>921</v>
      </c>
    </row>
    <row customHeight="1" ht="11.25">
      <c r="A1731" s="7771" t="s">
        <v>2266</v>
      </c>
      <c r="B1731" s="7771" t="s">
        <v>16</v>
      </c>
      <c r="C1731" s="7771" t="s">
        <v>2465</v>
      </c>
      <c r="D1731" s="7771" t="s">
        <v>2466</v>
      </c>
      <c r="E1731" s="7771" t="s">
        <v>2467</v>
      </c>
      <c r="F1731" s="7771" t="s">
        <v>2468</v>
      </c>
      <c r="G1731" s="7771" t="s">
        <v>2469</v>
      </c>
      <c r="H1731" s="7771" t="s">
        <v>28</v>
      </c>
      <c r="I1731" s="7771" t="s">
        <v>921</v>
      </c>
    </row>
    <row customHeight="1" ht="11.25">
      <c r="A1732" s="7771" t="s">
        <v>2266</v>
      </c>
      <c r="B1732" s="7771" t="s">
        <v>16</v>
      </c>
      <c r="C1732" s="7771" t="s">
        <v>2470</v>
      </c>
      <c r="D1732" s="7771" t="s">
        <v>2471</v>
      </c>
      <c r="E1732" s="7771" t="s">
        <v>2472</v>
      </c>
      <c r="F1732" s="7771" t="s">
        <v>2473</v>
      </c>
      <c r="G1732" s="7771" t="s">
        <v>2474</v>
      </c>
      <c r="H1732" s="7771" t="s">
        <v>28</v>
      </c>
      <c r="I1732" s="7771" t="s">
        <v>921</v>
      </c>
    </row>
    <row customHeight="1" ht="11.25">
      <c r="A1733" s="7771" t="s">
        <v>2266</v>
      </c>
      <c r="B1733" s="7771" t="s">
        <v>16</v>
      </c>
      <c r="C1733" s="7771" t="s">
        <v>2479</v>
      </c>
      <c r="D1733" s="7771" t="s">
        <v>2480</v>
      </c>
      <c r="E1733" s="7771" t="s">
        <v>2481</v>
      </c>
      <c r="F1733" s="7771" t="s">
        <v>2451</v>
      </c>
      <c r="G1733" s="7771" t="s">
        <v>2482</v>
      </c>
      <c r="H1733" s="7771" t="s">
        <v>28</v>
      </c>
      <c r="I1733" s="7771" t="s">
        <v>921</v>
      </c>
    </row>
    <row customHeight="1" ht="11.25">
      <c r="A1734" s="7771" t="s">
        <v>2266</v>
      </c>
      <c r="B1734" s="7771" t="s">
        <v>16</v>
      </c>
      <c r="C1734" s="7771" t="s">
        <v>2492</v>
      </c>
      <c r="D1734" s="7771" t="s">
        <v>2493</v>
      </c>
      <c r="E1734" s="7771" t="s">
        <v>2494</v>
      </c>
      <c r="F1734" s="7771" t="s">
        <v>2495</v>
      </c>
      <c r="G1734" s="7771" t="s">
        <v>28</v>
      </c>
      <c r="H1734" s="7771" t="s">
        <v>28</v>
      </c>
      <c r="I1734" s="7771" t="s">
        <v>921</v>
      </c>
    </row>
    <row customHeight="1" ht="11.25">
      <c r="A1735" s="7771" t="s">
        <v>2266</v>
      </c>
      <c r="B1735" s="7771" t="s">
        <v>16</v>
      </c>
      <c r="C1735" s="7771" t="s">
        <v>2500</v>
      </c>
      <c r="D1735" s="7771" t="s">
        <v>2501</v>
      </c>
      <c r="E1735" s="7771" t="s">
        <v>2502</v>
      </c>
      <c r="F1735" s="7771" t="s">
        <v>2503</v>
      </c>
      <c r="G1735" s="7771" t="s">
        <v>2504</v>
      </c>
      <c r="H1735" s="7771" t="s">
        <v>28</v>
      </c>
      <c r="I1735" s="7771" t="s">
        <v>921</v>
      </c>
    </row>
    <row customHeight="1" ht="11.25">
      <c r="A1736" s="7771" t="s">
        <v>2266</v>
      </c>
      <c r="B1736" s="7771" t="s">
        <v>16</v>
      </c>
      <c r="C1736" s="7771" t="s">
        <v>4884</v>
      </c>
      <c r="D1736" s="7771" t="s">
        <v>4885</v>
      </c>
      <c r="E1736" s="7771" t="s">
        <v>4886</v>
      </c>
      <c r="F1736" s="7771" t="s">
        <v>3027</v>
      </c>
      <c r="G1736" s="7771" t="s">
        <v>28</v>
      </c>
      <c r="H1736" s="7771" t="s">
        <v>28</v>
      </c>
      <c r="I1736" s="7771" t="s">
        <v>921</v>
      </c>
    </row>
    <row customHeight="1" ht="11.25">
      <c r="A1737" s="7771" t="s">
        <v>2266</v>
      </c>
      <c r="B1737" s="7771" t="s">
        <v>16</v>
      </c>
      <c r="C1737" s="7771" t="s">
        <v>2509</v>
      </c>
      <c r="D1737" s="7771" t="s">
        <v>2510</v>
      </c>
      <c r="E1737" s="7771" t="s">
        <v>2511</v>
      </c>
      <c r="F1737" s="7771" t="s">
        <v>2468</v>
      </c>
      <c r="G1737" s="7771" t="s">
        <v>2512</v>
      </c>
      <c r="H1737" s="7771" t="s">
        <v>28</v>
      </c>
      <c r="I1737" s="7771" t="s">
        <v>921</v>
      </c>
    </row>
    <row customHeight="1" ht="11.25">
      <c r="A1738" s="7771" t="s">
        <v>2266</v>
      </c>
      <c r="B1738" s="7771" t="s">
        <v>16</v>
      </c>
      <c r="C1738" s="7771" t="s">
        <v>2540</v>
      </c>
      <c r="D1738" s="7771" t="s">
        <v>2541</v>
      </c>
      <c r="E1738" s="7771" t="s">
        <v>2542</v>
      </c>
      <c r="F1738" s="7771" t="s">
        <v>2441</v>
      </c>
      <c r="G1738" s="7771" t="s">
        <v>2543</v>
      </c>
      <c r="H1738" s="7771" t="s">
        <v>28</v>
      </c>
      <c r="I1738" s="7771" t="s">
        <v>921</v>
      </c>
    </row>
    <row customHeight="1" ht="11.25">
      <c r="A1739" s="7771" t="s">
        <v>2266</v>
      </c>
      <c r="B1739" s="7771" t="s">
        <v>16</v>
      </c>
      <c r="C1739" s="7771" t="s">
        <v>2548</v>
      </c>
      <c r="D1739" s="7771" t="s">
        <v>2549</v>
      </c>
      <c r="E1739" s="7771" t="s">
        <v>2550</v>
      </c>
      <c r="F1739" s="7771" t="s">
        <v>2295</v>
      </c>
      <c r="G1739" s="7771" t="s">
        <v>28</v>
      </c>
      <c r="H1739" s="7771" t="s">
        <v>28</v>
      </c>
      <c r="I1739" s="7771" t="s">
        <v>921</v>
      </c>
    </row>
    <row customHeight="1" ht="11.25">
      <c r="A1740" s="7771" t="s">
        <v>2266</v>
      </c>
      <c r="B1740" s="7771" t="s">
        <v>16</v>
      </c>
      <c r="C1740" s="7771" t="s">
        <v>2575</v>
      </c>
      <c r="D1740" s="7771" t="s">
        <v>2576</v>
      </c>
      <c r="E1740" s="7771" t="s">
        <v>2577</v>
      </c>
      <c r="F1740" s="7771" t="s">
        <v>2578</v>
      </c>
      <c r="G1740" s="7771" t="s">
        <v>2579</v>
      </c>
      <c r="H1740" s="7771" t="s">
        <v>28</v>
      </c>
      <c r="I1740" s="7771" t="s">
        <v>921</v>
      </c>
    </row>
    <row customHeight="1" ht="11.25">
      <c r="A1741" s="7771" t="s">
        <v>2266</v>
      </c>
      <c r="B1741" s="7771" t="s">
        <v>16</v>
      </c>
      <c r="C1741" s="7771" t="s">
        <v>4776</v>
      </c>
      <c r="D1741" s="7771" t="s">
        <v>4777</v>
      </c>
      <c r="E1741" s="7771" t="s">
        <v>4778</v>
      </c>
      <c r="F1741" s="7771" t="s">
        <v>2368</v>
      </c>
      <c r="G1741" s="7771" t="s">
        <v>4124</v>
      </c>
      <c r="H1741" s="7771" t="s">
        <v>28</v>
      </c>
      <c r="I1741" s="7771" t="s">
        <v>921</v>
      </c>
    </row>
    <row customHeight="1" ht="11.25">
      <c r="A1742" s="7771" t="s">
        <v>2266</v>
      </c>
      <c r="B1742" s="7771" t="s">
        <v>16</v>
      </c>
      <c r="C1742" s="7771" t="s">
        <v>2585</v>
      </c>
      <c r="D1742" s="7771" t="s">
        <v>2586</v>
      </c>
      <c r="E1742" s="7771" t="s">
        <v>2587</v>
      </c>
      <c r="F1742" s="7771" t="s">
        <v>2280</v>
      </c>
      <c r="G1742" s="7771" t="s">
        <v>2588</v>
      </c>
      <c r="H1742" s="7771" t="s">
        <v>28</v>
      </c>
      <c r="I1742" s="7771" t="s">
        <v>921</v>
      </c>
    </row>
    <row customHeight="1" ht="11.25">
      <c r="A1743" s="7771" t="s">
        <v>2266</v>
      </c>
      <c r="B1743" s="7771" t="s">
        <v>16</v>
      </c>
      <c r="C1743" s="7771" t="s">
        <v>4894</v>
      </c>
      <c r="D1743" s="7771" t="s">
        <v>4895</v>
      </c>
      <c r="E1743" s="7771" t="s">
        <v>4896</v>
      </c>
      <c r="F1743" s="7771" t="s">
        <v>2280</v>
      </c>
      <c r="G1743" s="7771" t="s">
        <v>4897</v>
      </c>
      <c r="H1743" s="7771" t="s">
        <v>28</v>
      </c>
      <c r="I1743" s="7771" t="s">
        <v>921</v>
      </c>
    </row>
    <row customHeight="1" ht="11.25">
      <c r="A1744" s="7771" t="s">
        <v>2266</v>
      </c>
      <c r="B1744" s="7771" t="s">
        <v>16</v>
      </c>
      <c r="C1744" s="7771" t="s">
        <v>2617</v>
      </c>
      <c r="D1744" s="7771" t="s">
        <v>2618</v>
      </c>
      <c r="E1744" s="7771" t="s">
        <v>2619</v>
      </c>
      <c r="F1744" s="7771" t="s">
        <v>2592</v>
      </c>
      <c r="G1744" s="7771" t="s">
        <v>2620</v>
      </c>
      <c r="H1744" s="7771" t="s">
        <v>28</v>
      </c>
      <c r="I1744" s="7771" t="s">
        <v>921</v>
      </c>
    </row>
    <row customHeight="1" ht="11.25">
      <c r="A1745" s="7771" t="s">
        <v>2266</v>
      </c>
      <c r="B1745" s="7771" t="s">
        <v>16</v>
      </c>
      <c r="C1745" s="7771" t="s">
        <v>4898</v>
      </c>
      <c r="D1745" s="7771" t="s">
        <v>4899</v>
      </c>
      <c r="E1745" s="7771" t="s">
        <v>4900</v>
      </c>
      <c r="F1745" s="7771" t="s">
        <v>2592</v>
      </c>
      <c r="G1745" s="7771" t="s">
        <v>4901</v>
      </c>
      <c r="H1745" s="7771" t="s">
        <v>28</v>
      </c>
      <c r="I1745" s="7771" t="s">
        <v>921</v>
      </c>
    </row>
    <row customHeight="1" ht="11.25">
      <c r="A1746" s="7771" t="s">
        <v>2266</v>
      </c>
      <c r="B1746" s="7771" t="s">
        <v>16</v>
      </c>
      <c r="C1746" s="7771" t="s">
        <v>5783</v>
      </c>
      <c r="D1746" s="7771" t="s">
        <v>5784</v>
      </c>
      <c r="E1746" s="7771" t="s">
        <v>5785</v>
      </c>
      <c r="F1746" s="7771" t="s">
        <v>4094</v>
      </c>
      <c r="G1746" s="7771" t="s">
        <v>28</v>
      </c>
      <c r="H1746" s="7771" t="s">
        <v>28</v>
      </c>
      <c r="I1746" s="7771" t="s">
        <v>921</v>
      </c>
    </row>
    <row customHeight="1" ht="11.25">
      <c r="A1747" s="7771" t="s">
        <v>2266</v>
      </c>
      <c r="B1747" s="7771" t="s">
        <v>16</v>
      </c>
      <c r="C1747" s="7771" t="s">
        <v>2631</v>
      </c>
      <c r="D1747" s="7771" t="s">
        <v>2632</v>
      </c>
      <c r="E1747" s="7771" t="s">
        <v>2633</v>
      </c>
      <c r="F1747" s="7771" t="s">
        <v>2377</v>
      </c>
      <c r="G1747" s="7771" t="s">
        <v>2634</v>
      </c>
      <c r="H1747" s="7771" t="s">
        <v>28</v>
      </c>
      <c r="I1747" s="7771" t="s">
        <v>921</v>
      </c>
    </row>
    <row customHeight="1" ht="11.25">
      <c r="A1748" s="7771" t="s">
        <v>2266</v>
      </c>
      <c r="B1748" s="7771" t="s">
        <v>16</v>
      </c>
      <c r="C1748" s="7771" t="s">
        <v>2635</v>
      </c>
      <c r="D1748" s="7771" t="s">
        <v>2636</v>
      </c>
      <c r="E1748" s="7771" t="s">
        <v>2637</v>
      </c>
      <c r="F1748" s="7771" t="s">
        <v>2372</v>
      </c>
      <c r="G1748" s="7771" t="s">
        <v>2638</v>
      </c>
      <c r="H1748" s="7771" t="s">
        <v>28</v>
      </c>
      <c r="I1748" s="7771" t="s">
        <v>921</v>
      </c>
    </row>
    <row customHeight="1" ht="11.25">
      <c r="A1749" s="7771" t="s">
        <v>2266</v>
      </c>
      <c r="B1749" s="7771" t="s">
        <v>16</v>
      </c>
      <c r="C1749" s="7771" t="s">
        <v>2648</v>
      </c>
      <c r="D1749" s="7771" t="s">
        <v>2649</v>
      </c>
      <c r="E1749" s="7771" t="s">
        <v>2650</v>
      </c>
      <c r="F1749" s="7771" t="s">
        <v>2280</v>
      </c>
      <c r="G1749" s="7771" t="s">
        <v>2651</v>
      </c>
      <c r="H1749" s="7771" t="s">
        <v>28</v>
      </c>
      <c r="I1749" s="7771" t="s">
        <v>921</v>
      </c>
    </row>
    <row customHeight="1" ht="11.25">
      <c r="A1750" s="7771" t="s">
        <v>2266</v>
      </c>
      <c r="B1750" s="7771" t="s">
        <v>16</v>
      </c>
      <c r="C1750" s="7771" t="s">
        <v>2652</v>
      </c>
      <c r="D1750" s="7771" t="s">
        <v>2653</v>
      </c>
      <c r="E1750" s="7771" t="s">
        <v>2654</v>
      </c>
      <c r="F1750" s="7771" t="s">
        <v>2655</v>
      </c>
      <c r="G1750" s="7771" t="s">
        <v>28</v>
      </c>
      <c r="H1750" s="7771" t="s">
        <v>28</v>
      </c>
      <c r="I1750" s="7771" t="s">
        <v>921</v>
      </c>
    </row>
    <row customHeight="1" ht="11.25">
      <c r="A1751" s="7771" t="s">
        <v>2266</v>
      </c>
      <c r="B1751" s="7771" t="s">
        <v>16</v>
      </c>
      <c r="C1751" s="7771" t="s">
        <v>4906</v>
      </c>
      <c r="D1751" s="7771" t="s">
        <v>4907</v>
      </c>
      <c r="E1751" s="7771" t="s">
        <v>4908</v>
      </c>
      <c r="F1751" s="7771" t="s">
        <v>2360</v>
      </c>
      <c r="G1751" s="7771" t="s">
        <v>4909</v>
      </c>
      <c r="H1751" s="7771" t="s">
        <v>28</v>
      </c>
      <c r="I1751" s="7771" t="s">
        <v>921</v>
      </c>
    </row>
    <row customHeight="1" ht="11.25">
      <c r="A1752" s="7771" t="s">
        <v>2266</v>
      </c>
      <c r="B1752" s="7771" t="s">
        <v>16</v>
      </c>
      <c r="C1752" s="7771" t="s">
        <v>5786</v>
      </c>
      <c r="D1752" s="7771" t="s">
        <v>5787</v>
      </c>
      <c r="E1752" s="7771" t="s">
        <v>5788</v>
      </c>
      <c r="F1752" s="7771" t="s">
        <v>2441</v>
      </c>
      <c r="G1752" s="7771" t="s">
        <v>5789</v>
      </c>
      <c r="H1752" s="7771" t="s">
        <v>28</v>
      </c>
      <c r="I1752" s="7771" t="s">
        <v>921</v>
      </c>
    </row>
    <row customHeight="1" ht="11.25">
      <c r="A1753" s="7771" t="s">
        <v>2266</v>
      </c>
      <c r="B1753" s="7771" t="s">
        <v>16</v>
      </c>
      <c r="C1753" s="7771" t="s">
        <v>2676</v>
      </c>
      <c r="D1753" s="7771" t="s">
        <v>2677</v>
      </c>
      <c r="E1753" s="7771" t="s">
        <v>2678</v>
      </c>
      <c r="F1753" s="7771" t="s">
        <v>2679</v>
      </c>
      <c r="G1753" s="7771" t="s">
        <v>28</v>
      </c>
      <c r="H1753" s="7771" t="s">
        <v>28</v>
      </c>
      <c r="I1753" s="7771" t="s">
        <v>921</v>
      </c>
    </row>
    <row customHeight="1" ht="11.25">
      <c r="A1754" s="7771" t="s">
        <v>2266</v>
      </c>
      <c r="B1754" s="7771" t="s">
        <v>16</v>
      </c>
      <c r="C1754" s="7771" t="s">
        <v>2680</v>
      </c>
      <c r="D1754" s="7771" t="s">
        <v>2681</v>
      </c>
      <c r="E1754" s="7771" t="s">
        <v>2682</v>
      </c>
      <c r="F1754" s="7771" t="s">
        <v>2290</v>
      </c>
      <c r="G1754" s="7771" t="s">
        <v>2683</v>
      </c>
      <c r="H1754" s="7771" t="s">
        <v>28</v>
      </c>
      <c r="I1754" s="7771" t="s">
        <v>921</v>
      </c>
    </row>
    <row customHeight="1" ht="11.25">
      <c r="A1755" s="7771" t="s">
        <v>2266</v>
      </c>
      <c r="B1755" s="7771" t="s">
        <v>16</v>
      </c>
      <c r="C1755" s="7771" t="s">
        <v>2692</v>
      </c>
      <c r="D1755" s="7771" t="s">
        <v>2693</v>
      </c>
      <c r="E1755" s="7771" t="s">
        <v>2694</v>
      </c>
      <c r="F1755" s="7771" t="s">
        <v>2538</v>
      </c>
      <c r="G1755" s="7771" t="s">
        <v>2695</v>
      </c>
      <c r="H1755" s="7771" t="s">
        <v>28</v>
      </c>
      <c r="I1755" s="7771" t="s">
        <v>921</v>
      </c>
    </row>
    <row customHeight="1" ht="11.25">
      <c r="A1756" s="7771" t="s">
        <v>2266</v>
      </c>
      <c r="B1756" s="7771" t="s">
        <v>16</v>
      </c>
      <c r="C1756" s="7771" t="s">
        <v>2696</v>
      </c>
      <c r="D1756" s="7771" t="s">
        <v>2697</v>
      </c>
      <c r="E1756" s="7771" t="s">
        <v>2698</v>
      </c>
      <c r="F1756" s="7771" t="s">
        <v>2699</v>
      </c>
      <c r="G1756" s="7771" t="s">
        <v>2700</v>
      </c>
      <c r="H1756" s="7771" t="s">
        <v>28</v>
      </c>
      <c r="I1756" s="7771" t="s">
        <v>921</v>
      </c>
    </row>
    <row customHeight="1" ht="11.25">
      <c r="A1757" s="7771" t="s">
        <v>2266</v>
      </c>
      <c r="B1757" s="7771" t="s">
        <v>16</v>
      </c>
      <c r="C1757" s="7771" t="s">
        <v>5790</v>
      </c>
      <c r="D1757" s="7771" t="s">
        <v>5791</v>
      </c>
      <c r="E1757" s="7771" t="s">
        <v>5792</v>
      </c>
      <c r="F1757" s="7771" t="s">
        <v>2430</v>
      </c>
      <c r="G1757" s="7771" t="s">
        <v>28</v>
      </c>
      <c r="H1757" s="7771" t="s">
        <v>28</v>
      </c>
      <c r="I1757" s="7771" t="s">
        <v>921</v>
      </c>
    </row>
    <row customHeight="1" ht="11.25">
      <c r="A1758" s="7771" t="s">
        <v>2266</v>
      </c>
      <c r="B1758" s="7771" t="s">
        <v>16</v>
      </c>
      <c r="C1758" s="7771" t="s">
        <v>2701</v>
      </c>
      <c r="D1758" s="7771" t="s">
        <v>2702</v>
      </c>
      <c r="E1758" s="7771" t="s">
        <v>2703</v>
      </c>
      <c r="F1758" s="7771" t="s">
        <v>2285</v>
      </c>
      <c r="G1758" s="7771" t="s">
        <v>2704</v>
      </c>
      <c r="H1758" s="7771" t="s">
        <v>28</v>
      </c>
      <c r="I1758" s="7771" t="s">
        <v>921</v>
      </c>
    </row>
    <row customHeight="1" ht="11.25">
      <c r="A1759" s="7771" t="s">
        <v>2266</v>
      </c>
      <c r="B1759" s="7771" t="s">
        <v>16</v>
      </c>
      <c r="C1759" s="7771" t="s">
        <v>4914</v>
      </c>
      <c r="D1759" s="7771" t="s">
        <v>4915</v>
      </c>
      <c r="E1759" s="7771" t="s">
        <v>4916</v>
      </c>
      <c r="F1759" s="7771" t="s">
        <v>2451</v>
      </c>
      <c r="G1759" s="7771" t="s">
        <v>4917</v>
      </c>
      <c r="H1759" s="7771" t="s">
        <v>28</v>
      </c>
      <c r="I1759" s="7771" t="s">
        <v>921</v>
      </c>
    </row>
    <row customHeight="1" ht="11.25">
      <c r="A1760" s="7771" t="s">
        <v>2266</v>
      </c>
      <c r="B1760" s="7771" t="s">
        <v>16</v>
      </c>
      <c r="C1760" s="7771" t="s">
        <v>4918</v>
      </c>
      <c r="D1760" s="7771" t="s">
        <v>4919</v>
      </c>
      <c r="E1760" s="7771" t="s">
        <v>4920</v>
      </c>
      <c r="F1760" s="7771" t="s">
        <v>2882</v>
      </c>
      <c r="G1760" s="7771" t="s">
        <v>28</v>
      </c>
      <c r="H1760" s="7771" t="s">
        <v>28</v>
      </c>
      <c r="I1760" s="7771" t="s">
        <v>921</v>
      </c>
    </row>
    <row customHeight="1" ht="11.25">
      <c r="A1761" s="7771" t="s">
        <v>2266</v>
      </c>
      <c r="B1761" s="7771" t="s">
        <v>16</v>
      </c>
      <c r="C1761" s="7771" t="s">
        <v>4921</v>
      </c>
      <c r="D1761" s="7771" t="s">
        <v>4922</v>
      </c>
      <c r="E1761" s="7771" t="s">
        <v>4923</v>
      </c>
      <c r="F1761" s="7771" t="s">
        <v>2372</v>
      </c>
      <c r="G1761" s="7771" t="s">
        <v>28</v>
      </c>
      <c r="H1761" s="7771" t="s">
        <v>28</v>
      </c>
      <c r="I1761" s="7771" t="s">
        <v>921</v>
      </c>
    </row>
    <row customHeight="1" ht="11.25">
      <c r="A1762" s="7771" t="s">
        <v>2266</v>
      </c>
      <c r="B1762" s="7771" t="s">
        <v>16</v>
      </c>
      <c r="C1762" s="7771" t="s">
        <v>2716</v>
      </c>
      <c r="D1762" s="7771" t="s">
        <v>2717</v>
      </c>
      <c r="E1762" s="7771" t="s">
        <v>2718</v>
      </c>
      <c r="F1762" s="7771" t="s">
        <v>2592</v>
      </c>
      <c r="G1762" s="7771" t="s">
        <v>2719</v>
      </c>
      <c r="H1762" s="7771" t="s">
        <v>28</v>
      </c>
      <c r="I1762" s="7771" t="s">
        <v>921</v>
      </c>
    </row>
    <row customHeight="1" ht="11.25">
      <c r="A1763" s="7771" t="s">
        <v>2266</v>
      </c>
      <c r="B1763" s="7771" t="s">
        <v>16</v>
      </c>
      <c r="C1763" s="7771" t="s">
        <v>2720</v>
      </c>
      <c r="D1763" s="7771" t="s">
        <v>2721</v>
      </c>
      <c r="E1763" s="7771" t="s">
        <v>2722</v>
      </c>
      <c r="F1763" s="7771" t="s">
        <v>2723</v>
      </c>
      <c r="G1763" s="7771" t="s">
        <v>2724</v>
      </c>
      <c r="H1763" s="7771" t="s">
        <v>28</v>
      </c>
      <c r="I1763" s="7771" t="s">
        <v>921</v>
      </c>
    </row>
    <row customHeight="1" ht="11.25">
      <c r="A1764" s="7771" t="s">
        <v>2266</v>
      </c>
      <c r="B1764" s="7771" t="s">
        <v>16</v>
      </c>
      <c r="C1764" s="7771" t="s">
        <v>2725</v>
      </c>
      <c r="D1764" s="7771" t="s">
        <v>2726</v>
      </c>
      <c r="E1764" s="7771" t="s">
        <v>2727</v>
      </c>
      <c r="F1764" s="7771" t="s">
        <v>2368</v>
      </c>
      <c r="G1764" s="7771" t="s">
        <v>2728</v>
      </c>
      <c r="H1764" s="7771" t="s">
        <v>28</v>
      </c>
      <c r="I1764" s="7771" t="s">
        <v>921</v>
      </c>
    </row>
    <row customHeight="1" ht="11.25">
      <c r="A1765" s="7771" t="s">
        <v>2266</v>
      </c>
      <c r="B1765" s="7771" t="s">
        <v>16</v>
      </c>
      <c r="C1765" s="7771" t="s">
        <v>2729</v>
      </c>
      <c r="D1765" s="7771" t="s">
        <v>2730</v>
      </c>
      <c r="E1765" s="7771" t="s">
        <v>2731</v>
      </c>
      <c r="F1765" s="7771" t="s">
        <v>2280</v>
      </c>
      <c r="G1765" s="7771" t="s">
        <v>2732</v>
      </c>
      <c r="H1765" s="7771" t="s">
        <v>28</v>
      </c>
      <c r="I1765" s="7771" t="s">
        <v>921</v>
      </c>
    </row>
    <row customHeight="1" ht="11.25">
      <c r="A1766" s="7771" t="s">
        <v>2266</v>
      </c>
      <c r="B1766" s="7771" t="s">
        <v>16</v>
      </c>
      <c r="C1766" s="7771" t="s">
        <v>4924</v>
      </c>
      <c r="D1766" s="7771" t="s">
        <v>4925</v>
      </c>
      <c r="E1766" s="7771" t="s">
        <v>4926</v>
      </c>
      <c r="F1766" s="7771" t="s">
        <v>2446</v>
      </c>
      <c r="G1766" s="7771" t="s">
        <v>28</v>
      </c>
      <c r="H1766" s="7771" t="s">
        <v>28</v>
      </c>
      <c r="I1766" s="7771" t="s">
        <v>921</v>
      </c>
    </row>
    <row customHeight="1" ht="11.25">
      <c r="A1767" s="7771" t="s">
        <v>2266</v>
      </c>
      <c r="B1767" s="7771" t="s">
        <v>16</v>
      </c>
      <c r="C1767" s="7771" t="s">
        <v>2750</v>
      </c>
      <c r="D1767" s="7771" t="s">
        <v>2751</v>
      </c>
      <c r="E1767" s="7771" t="s">
        <v>2752</v>
      </c>
      <c r="F1767" s="7771" t="s">
        <v>2753</v>
      </c>
      <c r="G1767" s="7771" t="s">
        <v>28</v>
      </c>
      <c r="H1767" s="7771" t="s">
        <v>28</v>
      </c>
      <c r="I1767" s="7771" t="s">
        <v>921</v>
      </c>
    </row>
    <row customHeight="1" ht="11.25">
      <c r="A1768" s="7771" t="s">
        <v>2266</v>
      </c>
      <c r="B1768" s="7771" t="s">
        <v>16</v>
      </c>
      <c r="C1768" s="7771" t="s">
        <v>2758</v>
      </c>
      <c r="D1768" s="7771" t="s">
        <v>2759</v>
      </c>
      <c r="E1768" s="7771" t="s">
        <v>2760</v>
      </c>
      <c r="F1768" s="7771" t="s">
        <v>2761</v>
      </c>
      <c r="G1768" s="7771" t="s">
        <v>2762</v>
      </c>
      <c r="H1768" s="7771" t="s">
        <v>28</v>
      </c>
      <c r="I1768" s="7771" t="s">
        <v>921</v>
      </c>
    </row>
    <row customHeight="1" ht="11.25">
      <c r="A1769" s="7771" t="s">
        <v>2266</v>
      </c>
      <c r="B1769" s="7771" t="s">
        <v>16</v>
      </c>
      <c r="C1769" s="7771" t="s">
        <v>5793</v>
      </c>
      <c r="D1769" s="7771" t="s">
        <v>5794</v>
      </c>
      <c r="E1769" s="7771" t="s">
        <v>5795</v>
      </c>
      <c r="F1769" s="7771" t="s">
        <v>2518</v>
      </c>
      <c r="G1769" s="7771" t="s">
        <v>5796</v>
      </c>
      <c r="H1769" s="7771" t="s">
        <v>28</v>
      </c>
      <c r="I1769" s="7771" t="s">
        <v>921</v>
      </c>
    </row>
    <row customHeight="1" ht="11.25">
      <c r="A1770" s="7771" t="s">
        <v>2266</v>
      </c>
      <c r="B1770" s="7771" t="s">
        <v>16</v>
      </c>
      <c r="C1770" s="7771" t="s">
        <v>4931</v>
      </c>
      <c r="D1770" s="7771" t="s">
        <v>4932</v>
      </c>
      <c r="E1770" s="7771" t="s">
        <v>4434</v>
      </c>
      <c r="F1770" s="7771" t="s">
        <v>4328</v>
      </c>
      <c r="G1770" s="7771" t="s">
        <v>4933</v>
      </c>
      <c r="H1770" s="7771" t="s">
        <v>28</v>
      </c>
      <c r="I1770" s="7771" t="s">
        <v>921</v>
      </c>
    </row>
    <row customHeight="1" ht="11.25">
      <c r="A1771" s="7771" t="s">
        <v>2266</v>
      </c>
      <c r="B1771" s="7771" t="s">
        <v>16</v>
      </c>
      <c r="C1771" s="7771" t="s">
        <v>2767</v>
      </c>
      <c r="D1771" s="7771" t="s">
        <v>2768</v>
      </c>
      <c r="E1771" s="7771" t="s">
        <v>2769</v>
      </c>
      <c r="F1771" s="7771" t="s">
        <v>2770</v>
      </c>
      <c r="G1771" s="7771" t="s">
        <v>2771</v>
      </c>
      <c r="H1771" s="7771" t="s">
        <v>28</v>
      </c>
      <c r="I1771" s="7771" t="s">
        <v>921</v>
      </c>
    </row>
    <row customHeight="1" ht="11.25">
      <c r="A1772" s="7771" t="s">
        <v>2266</v>
      </c>
      <c r="B1772" s="7771" t="s">
        <v>16</v>
      </c>
      <c r="C1772" s="7771" t="s">
        <v>4934</v>
      </c>
      <c r="D1772" s="7771" t="s">
        <v>4935</v>
      </c>
      <c r="E1772" s="7771" t="s">
        <v>4936</v>
      </c>
      <c r="F1772" s="7771" t="s">
        <v>4937</v>
      </c>
      <c r="G1772" s="7771" t="s">
        <v>28</v>
      </c>
      <c r="H1772" s="7771" t="s">
        <v>28</v>
      </c>
      <c r="I1772" s="7771" t="s">
        <v>921</v>
      </c>
    </row>
    <row customHeight="1" ht="11.25">
      <c r="A1773" s="7771" t="s">
        <v>2266</v>
      </c>
      <c r="B1773" s="7771" t="s">
        <v>16</v>
      </c>
      <c r="C1773" s="7771" t="s">
        <v>2784</v>
      </c>
      <c r="D1773" s="7771" t="s">
        <v>2785</v>
      </c>
      <c r="E1773" s="7771" t="s">
        <v>2786</v>
      </c>
      <c r="F1773" s="7771" t="s">
        <v>2486</v>
      </c>
      <c r="G1773" s="7771" t="s">
        <v>2787</v>
      </c>
      <c r="H1773" s="7771" t="s">
        <v>28</v>
      </c>
      <c r="I1773" s="7771" t="s">
        <v>921</v>
      </c>
    </row>
    <row customHeight="1" ht="11.25">
      <c r="A1774" s="7771" t="s">
        <v>2266</v>
      </c>
      <c r="B1774" s="7771" t="s">
        <v>16</v>
      </c>
      <c r="C1774" s="7771" t="s">
        <v>2806</v>
      </c>
      <c r="D1774" s="7771" t="s">
        <v>2807</v>
      </c>
      <c r="E1774" s="7771" t="s">
        <v>2808</v>
      </c>
      <c r="F1774" s="7771" t="s">
        <v>2486</v>
      </c>
      <c r="G1774" s="7771" t="s">
        <v>2809</v>
      </c>
      <c r="H1774" s="7771" t="s">
        <v>28</v>
      </c>
      <c r="I1774" s="7771" t="s">
        <v>921</v>
      </c>
    </row>
    <row customHeight="1" ht="11.25">
      <c r="A1775" s="7771" t="s">
        <v>2266</v>
      </c>
      <c r="B1775" s="7771" t="s">
        <v>16</v>
      </c>
      <c r="C1775" s="7771" t="s">
        <v>2814</v>
      </c>
      <c r="D1775" s="7771" t="s">
        <v>2815</v>
      </c>
      <c r="E1775" s="7771" t="s">
        <v>2816</v>
      </c>
      <c r="F1775" s="7771" t="s">
        <v>2739</v>
      </c>
      <c r="G1775" s="7771" t="s">
        <v>2817</v>
      </c>
      <c r="H1775" s="7771" t="s">
        <v>28</v>
      </c>
      <c r="I1775" s="7771" t="s">
        <v>921</v>
      </c>
    </row>
    <row customHeight="1" ht="11.25">
      <c r="A1776" s="7771" t="s">
        <v>2266</v>
      </c>
      <c r="B1776" s="7771" t="s">
        <v>16</v>
      </c>
      <c r="C1776" s="7771" t="s">
        <v>2822</v>
      </c>
      <c r="D1776" s="7771" t="s">
        <v>2823</v>
      </c>
      <c r="E1776" s="7771" t="s">
        <v>2824</v>
      </c>
      <c r="F1776" s="7771" t="s">
        <v>2800</v>
      </c>
      <c r="G1776" s="7771" t="s">
        <v>2825</v>
      </c>
      <c r="H1776" s="7771" t="s">
        <v>28</v>
      </c>
      <c r="I1776" s="7771" t="s">
        <v>921</v>
      </c>
    </row>
    <row customHeight="1" ht="11.25">
      <c r="A1777" s="7771" t="s">
        <v>2266</v>
      </c>
      <c r="B1777" s="7771" t="s">
        <v>16</v>
      </c>
      <c r="C1777" s="7771" t="s">
        <v>2826</v>
      </c>
      <c r="D1777" s="7771" t="s">
        <v>2827</v>
      </c>
      <c r="E1777" s="7771" t="s">
        <v>2828</v>
      </c>
      <c r="F1777" s="7771" t="s">
        <v>2829</v>
      </c>
      <c r="G1777" s="7771" t="s">
        <v>2830</v>
      </c>
      <c r="H1777" s="7771" t="s">
        <v>28</v>
      </c>
      <c r="I1777" s="7771" t="s">
        <v>921</v>
      </c>
    </row>
    <row customHeight="1" ht="11.25">
      <c r="A1778" s="7771" t="s">
        <v>2266</v>
      </c>
      <c r="B1778" s="7771" t="s">
        <v>16</v>
      </c>
      <c r="C1778" s="7771" t="s">
        <v>2835</v>
      </c>
      <c r="D1778" s="7771" t="s">
        <v>2836</v>
      </c>
      <c r="E1778" s="7771" t="s">
        <v>2837</v>
      </c>
      <c r="F1778" s="7771" t="s">
        <v>2655</v>
      </c>
      <c r="G1778" s="7771" t="s">
        <v>2838</v>
      </c>
      <c r="H1778" s="7771" t="s">
        <v>28</v>
      </c>
      <c r="I1778" s="7771" t="s">
        <v>921</v>
      </c>
    </row>
    <row customHeight="1" ht="11.25">
      <c r="A1779" s="7771" t="s">
        <v>2266</v>
      </c>
      <c r="B1779" s="7771" t="s">
        <v>16</v>
      </c>
      <c r="C1779" s="7771" t="s">
        <v>2843</v>
      </c>
      <c r="D1779" s="7771" t="s">
        <v>2844</v>
      </c>
      <c r="E1779" s="7771" t="s">
        <v>2845</v>
      </c>
      <c r="F1779" s="7771" t="s">
        <v>2846</v>
      </c>
      <c r="G1779" s="7771" t="s">
        <v>2847</v>
      </c>
      <c r="H1779" s="7771" t="s">
        <v>28</v>
      </c>
      <c r="I1779" s="7771" t="s">
        <v>921</v>
      </c>
    </row>
    <row customHeight="1" ht="11.25">
      <c r="A1780" s="7771" t="s">
        <v>2266</v>
      </c>
      <c r="B1780" s="7771" t="s">
        <v>16</v>
      </c>
      <c r="C1780" s="7771" t="s">
        <v>2848</v>
      </c>
      <c r="D1780" s="7771" t="s">
        <v>2849</v>
      </c>
      <c r="E1780" s="7771" t="s">
        <v>2850</v>
      </c>
      <c r="F1780" s="7771" t="s">
        <v>2723</v>
      </c>
      <c r="G1780" s="7771" t="s">
        <v>28</v>
      </c>
      <c r="H1780" s="7771" t="s">
        <v>28</v>
      </c>
      <c r="I1780" s="7771" t="s">
        <v>921</v>
      </c>
    </row>
    <row customHeight="1" ht="11.25">
      <c r="A1781" s="7771" t="s">
        <v>2266</v>
      </c>
      <c r="B1781" s="7771" t="s">
        <v>16</v>
      </c>
      <c r="C1781" s="7771" t="s">
        <v>2851</v>
      </c>
      <c r="D1781" s="7771" t="s">
        <v>2852</v>
      </c>
      <c r="E1781" s="7771" t="s">
        <v>2853</v>
      </c>
      <c r="F1781" s="7771" t="s">
        <v>2596</v>
      </c>
      <c r="G1781" s="7771" t="s">
        <v>2854</v>
      </c>
      <c r="H1781" s="7771" t="s">
        <v>28</v>
      </c>
      <c r="I1781" s="7771" t="s">
        <v>921</v>
      </c>
    </row>
    <row customHeight="1" ht="11.25">
      <c r="A1782" s="7771" t="s">
        <v>2266</v>
      </c>
      <c r="B1782" s="7771" t="s">
        <v>16</v>
      </c>
      <c r="C1782" s="7771" t="s">
        <v>4941</v>
      </c>
      <c r="D1782" s="7771" t="s">
        <v>4942</v>
      </c>
      <c r="E1782" s="7771" t="s">
        <v>4943</v>
      </c>
      <c r="F1782" s="7771" t="s">
        <v>2347</v>
      </c>
      <c r="G1782" s="7771" t="s">
        <v>28</v>
      </c>
      <c r="H1782" s="7771" t="s">
        <v>28</v>
      </c>
      <c r="I1782" s="7771" t="s">
        <v>921</v>
      </c>
    </row>
    <row customHeight="1" ht="11.25">
      <c r="A1783" s="7771" t="s">
        <v>2266</v>
      </c>
      <c r="B1783" s="7771" t="s">
        <v>16</v>
      </c>
      <c r="C1783" s="7771" t="s">
        <v>2855</v>
      </c>
      <c r="D1783" s="7771" t="s">
        <v>2856</v>
      </c>
      <c r="E1783" s="7771" t="s">
        <v>2857</v>
      </c>
      <c r="F1783" s="7771" t="s">
        <v>2655</v>
      </c>
      <c r="G1783" s="7771" t="s">
        <v>2858</v>
      </c>
      <c r="H1783" s="7771" t="s">
        <v>28</v>
      </c>
      <c r="I1783" s="7771" t="s">
        <v>921</v>
      </c>
    </row>
    <row customHeight="1" ht="11.25">
      <c r="A1784" s="7771" t="s">
        <v>2266</v>
      </c>
      <c r="B1784" s="7771" t="s">
        <v>16</v>
      </c>
      <c r="C1784" s="7771" t="s">
        <v>2859</v>
      </c>
      <c r="D1784" s="7771" t="s">
        <v>2860</v>
      </c>
      <c r="E1784" s="7771" t="s">
        <v>2861</v>
      </c>
      <c r="F1784" s="7771" t="s">
        <v>2430</v>
      </c>
      <c r="G1784" s="7771" t="s">
        <v>28</v>
      </c>
      <c r="H1784" s="7771" t="s">
        <v>28</v>
      </c>
      <c r="I1784" s="7771" t="s">
        <v>921</v>
      </c>
    </row>
    <row customHeight="1" ht="11.25">
      <c r="A1785" s="7771" t="s">
        <v>2266</v>
      </c>
      <c r="B1785" s="7771" t="s">
        <v>16</v>
      </c>
      <c r="C1785" s="7771" t="s">
        <v>2865</v>
      </c>
      <c r="D1785" s="7771" t="s">
        <v>2866</v>
      </c>
      <c r="E1785" s="7771" t="s">
        <v>2867</v>
      </c>
      <c r="F1785" s="7771" t="s">
        <v>2285</v>
      </c>
      <c r="G1785" s="7771" t="s">
        <v>28</v>
      </c>
      <c r="H1785" s="7771" t="s">
        <v>28</v>
      </c>
      <c r="I1785" s="7771" t="s">
        <v>921</v>
      </c>
    </row>
    <row customHeight="1" ht="11.25">
      <c r="A1786" s="7771" t="s">
        <v>2266</v>
      </c>
      <c r="B1786" s="7771" t="s">
        <v>16</v>
      </c>
      <c r="C1786" s="7771" t="s">
        <v>2868</v>
      </c>
      <c r="D1786" s="7771" t="s">
        <v>2869</v>
      </c>
      <c r="E1786" s="7771" t="s">
        <v>2870</v>
      </c>
      <c r="F1786" s="7771" t="s">
        <v>2829</v>
      </c>
      <c r="G1786" s="7771" t="s">
        <v>2871</v>
      </c>
      <c r="H1786" s="7771" t="s">
        <v>28</v>
      </c>
      <c r="I1786" s="7771" t="s">
        <v>921</v>
      </c>
    </row>
    <row customHeight="1" ht="11.25">
      <c r="A1787" s="7771" t="s">
        <v>2266</v>
      </c>
      <c r="B1787" s="7771" t="s">
        <v>16</v>
      </c>
      <c r="C1787" s="7771" t="s">
        <v>4951</v>
      </c>
      <c r="D1787" s="7771" t="s">
        <v>4952</v>
      </c>
      <c r="E1787" s="7771" t="s">
        <v>4953</v>
      </c>
      <c r="F1787" s="7771" t="s">
        <v>2360</v>
      </c>
      <c r="G1787" s="7771" t="s">
        <v>28</v>
      </c>
      <c r="H1787" s="7771" t="s">
        <v>28</v>
      </c>
      <c r="I1787" s="7771" t="s">
        <v>921</v>
      </c>
    </row>
    <row customHeight="1" ht="11.25">
      <c r="A1788" s="7771" t="s">
        <v>2266</v>
      </c>
      <c r="B1788" s="7771" t="s">
        <v>16</v>
      </c>
      <c r="C1788" s="7771" t="s">
        <v>4954</v>
      </c>
      <c r="D1788" s="7771" t="s">
        <v>4955</v>
      </c>
      <c r="E1788" s="7771" t="s">
        <v>4956</v>
      </c>
      <c r="F1788" s="7771" t="s">
        <v>2390</v>
      </c>
      <c r="G1788" s="7771" t="s">
        <v>4957</v>
      </c>
      <c r="H1788" s="7771" t="s">
        <v>28</v>
      </c>
      <c r="I1788" s="7771" t="s">
        <v>921</v>
      </c>
    </row>
    <row customHeight="1" ht="11.25">
      <c r="A1789" s="7771" t="s">
        <v>2266</v>
      </c>
      <c r="B1789" s="7771" t="s">
        <v>16</v>
      </c>
      <c r="C1789" s="7771" t="s">
        <v>2876</v>
      </c>
      <c r="D1789" s="7771" t="s">
        <v>2877</v>
      </c>
      <c r="E1789" s="7771" t="s">
        <v>2878</v>
      </c>
      <c r="F1789" s="7771" t="s">
        <v>2377</v>
      </c>
      <c r="G1789" s="7771" t="s">
        <v>2386</v>
      </c>
      <c r="H1789" s="7771" t="s">
        <v>28</v>
      </c>
      <c r="I1789" s="7771" t="s">
        <v>921</v>
      </c>
    </row>
    <row customHeight="1" ht="11.25">
      <c r="A1790" s="7771" t="s">
        <v>2266</v>
      </c>
      <c r="B1790" s="7771" t="s">
        <v>16</v>
      </c>
      <c r="C1790" s="7771" t="s">
        <v>2879</v>
      </c>
      <c r="D1790" s="7771" t="s">
        <v>2880</v>
      </c>
      <c r="E1790" s="7771" t="s">
        <v>2881</v>
      </c>
      <c r="F1790" s="7771" t="s">
        <v>2882</v>
      </c>
      <c r="G1790" s="7771" t="s">
        <v>2883</v>
      </c>
      <c r="H1790" s="7771" t="s">
        <v>28</v>
      </c>
      <c r="I1790" s="7771" t="s">
        <v>921</v>
      </c>
    </row>
    <row customHeight="1" ht="11.25">
      <c r="A1791" s="7771" t="s">
        <v>2266</v>
      </c>
      <c r="B1791" s="7771" t="s">
        <v>16</v>
      </c>
      <c r="C1791" s="7771" t="s">
        <v>2884</v>
      </c>
      <c r="D1791" s="7771" t="s">
        <v>2885</v>
      </c>
      <c r="E1791" s="7771" t="s">
        <v>2886</v>
      </c>
      <c r="F1791" s="7771" t="s">
        <v>2441</v>
      </c>
      <c r="G1791" s="7771" t="s">
        <v>28</v>
      </c>
      <c r="H1791" s="7771" t="s">
        <v>28</v>
      </c>
      <c r="I1791" s="7771" t="s">
        <v>921</v>
      </c>
    </row>
    <row customHeight="1" ht="11.25">
      <c r="A1792" s="7771" t="s">
        <v>2266</v>
      </c>
      <c r="B1792" s="7771" t="s">
        <v>16</v>
      </c>
      <c r="C1792" s="7771" t="s">
        <v>2891</v>
      </c>
      <c r="D1792" s="7771" t="s">
        <v>2892</v>
      </c>
      <c r="E1792" s="7771" t="s">
        <v>2893</v>
      </c>
      <c r="F1792" s="7771" t="s">
        <v>2894</v>
      </c>
      <c r="G1792" s="7771" t="s">
        <v>2895</v>
      </c>
      <c r="H1792" s="7771" t="s">
        <v>28</v>
      </c>
      <c r="I1792" s="7771" t="s">
        <v>921</v>
      </c>
    </row>
    <row customHeight="1" ht="11.25">
      <c r="A1793" s="7771" t="s">
        <v>2266</v>
      </c>
      <c r="B1793" s="7771" t="s">
        <v>16</v>
      </c>
      <c r="C1793" s="7771" t="s">
        <v>2896</v>
      </c>
      <c r="D1793" s="7771" t="s">
        <v>2897</v>
      </c>
      <c r="E1793" s="7771" t="s">
        <v>2898</v>
      </c>
      <c r="F1793" s="7771" t="s">
        <v>2425</v>
      </c>
      <c r="G1793" s="7771" t="s">
        <v>2899</v>
      </c>
      <c r="H1793" s="7771" t="s">
        <v>28</v>
      </c>
      <c r="I1793" s="7771" t="s">
        <v>921</v>
      </c>
    </row>
    <row customHeight="1" ht="11.25">
      <c r="A1794" s="7771" t="s">
        <v>2266</v>
      </c>
      <c r="B1794" s="7771" t="s">
        <v>16</v>
      </c>
      <c r="C1794" s="7771" t="s">
        <v>2907</v>
      </c>
      <c r="D1794" s="7771" t="s">
        <v>2908</v>
      </c>
      <c r="E1794" s="7771" t="s">
        <v>2909</v>
      </c>
      <c r="F1794" s="7771" t="s">
        <v>2451</v>
      </c>
      <c r="G1794" s="7771" t="s">
        <v>2910</v>
      </c>
      <c r="H1794" s="7771" t="s">
        <v>28</v>
      </c>
      <c r="I1794" s="7771" t="s">
        <v>921</v>
      </c>
    </row>
    <row customHeight="1" ht="11.25">
      <c r="A1795" s="7771" t="s">
        <v>2266</v>
      </c>
      <c r="B1795" s="7771" t="s">
        <v>16</v>
      </c>
      <c r="C1795" s="7771" t="s">
        <v>4965</v>
      </c>
      <c r="D1795" s="7771" t="s">
        <v>4966</v>
      </c>
      <c r="E1795" s="7771" t="s">
        <v>4967</v>
      </c>
      <c r="F1795" s="7771" t="s">
        <v>2441</v>
      </c>
      <c r="G1795" s="7771" t="s">
        <v>28</v>
      </c>
      <c r="H1795" s="7771" t="s">
        <v>28</v>
      </c>
      <c r="I1795" s="7771" t="s">
        <v>921</v>
      </c>
    </row>
    <row customHeight="1" ht="11.25">
      <c r="A1796" s="7771" t="s">
        <v>2266</v>
      </c>
      <c r="B1796" s="7771" t="s">
        <v>16</v>
      </c>
      <c r="C1796" s="7771" t="s">
        <v>4975</v>
      </c>
      <c r="D1796" s="7771" t="s">
        <v>4976</v>
      </c>
      <c r="E1796" s="7771" t="s">
        <v>4977</v>
      </c>
      <c r="F1796" s="7771" t="s">
        <v>2518</v>
      </c>
      <c r="G1796" s="7771" t="s">
        <v>28</v>
      </c>
      <c r="H1796" s="7771" t="s">
        <v>28</v>
      </c>
      <c r="I1796" s="7771" t="s">
        <v>921</v>
      </c>
    </row>
    <row customHeight="1" ht="11.25">
      <c r="A1797" s="7771" t="s">
        <v>2266</v>
      </c>
      <c r="B1797" s="7771" t="s">
        <v>16</v>
      </c>
      <c r="C1797" s="7771" t="s">
        <v>4978</v>
      </c>
      <c r="D1797" s="7771" t="s">
        <v>4979</v>
      </c>
      <c r="E1797" s="7771" t="s">
        <v>4980</v>
      </c>
      <c r="F1797" s="7771" t="s">
        <v>2330</v>
      </c>
      <c r="G1797" s="7771" t="s">
        <v>4981</v>
      </c>
      <c r="H1797" s="7771" t="s">
        <v>28</v>
      </c>
      <c r="I1797" s="7771" t="s">
        <v>921</v>
      </c>
    </row>
    <row customHeight="1" ht="11.25">
      <c r="A1798" s="7771" t="s">
        <v>2266</v>
      </c>
      <c r="B1798" s="7771" t="s">
        <v>16</v>
      </c>
      <c r="C1798" s="7771" t="s">
        <v>4982</v>
      </c>
      <c r="D1798" s="7771" t="s">
        <v>4983</v>
      </c>
      <c r="E1798" s="7771" t="s">
        <v>4984</v>
      </c>
      <c r="F1798" s="7771" t="s">
        <v>3125</v>
      </c>
      <c r="G1798" s="7771" t="s">
        <v>4985</v>
      </c>
      <c r="H1798" s="7771" t="s">
        <v>28</v>
      </c>
      <c r="I1798" s="7771" t="s">
        <v>921</v>
      </c>
    </row>
    <row customHeight="1" ht="11.25">
      <c r="A1799" s="7771" t="s">
        <v>2266</v>
      </c>
      <c r="B1799" s="7771" t="s">
        <v>16</v>
      </c>
      <c r="C1799" s="7771" t="s">
        <v>2930</v>
      </c>
      <c r="D1799" s="7771" t="s">
        <v>2931</v>
      </c>
      <c r="E1799" s="7771" t="s">
        <v>2932</v>
      </c>
      <c r="F1799" s="7771" t="s">
        <v>2933</v>
      </c>
      <c r="G1799" s="7771" t="s">
        <v>28</v>
      </c>
      <c r="H1799" s="7771" t="s">
        <v>28</v>
      </c>
      <c r="I1799" s="7771" t="s">
        <v>921</v>
      </c>
    </row>
    <row customHeight="1" ht="11.25">
      <c r="A1800" s="7771" t="s">
        <v>2266</v>
      </c>
      <c r="B1800" s="7771" t="s">
        <v>16</v>
      </c>
      <c r="C1800" s="7771" t="s">
        <v>2934</v>
      </c>
      <c r="D1800" s="7771" t="s">
        <v>2935</v>
      </c>
      <c r="E1800" s="7771" t="s">
        <v>2936</v>
      </c>
      <c r="F1800" s="7771" t="s">
        <v>2629</v>
      </c>
      <c r="G1800" s="7771" t="s">
        <v>2937</v>
      </c>
      <c r="H1800" s="7771" t="s">
        <v>28</v>
      </c>
      <c r="I1800" s="7771" t="s">
        <v>921</v>
      </c>
    </row>
    <row customHeight="1" ht="11.25">
      <c r="A1801" s="7771" t="s">
        <v>2266</v>
      </c>
      <c r="B1801" s="7771" t="s">
        <v>16</v>
      </c>
      <c r="C1801" s="7771" t="s">
        <v>2942</v>
      </c>
      <c r="D1801" s="7771" t="s">
        <v>2943</v>
      </c>
      <c r="E1801" s="7771" t="s">
        <v>2944</v>
      </c>
      <c r="F1801" s="7771" t="s">
        <v>2945</v>
      </c>
      <c r="G1801" s="7771" t="s">
        <v>28</v>
      </c>
      <c r="H1801" s="7771" t="s">
        <v>28</v>
      </c>
      <c r="I1801" s="7771" t="s">
        <v>921</v>
      </c>
    </row>
    <row customHeight="1" ht="11.25">
      <c r="A1802" s="7771" t="s">
        <v>2266</v>
      </c>
      <c r="B1802" s="7771" t="s">
        <v>16</v>
      </c>
      <c r="C1802" s="7771" t="s">
        <v>4992</v>
      </c>
      <c r="D1802" s="7771" t="s">
        <v>4993</v>
      </c>
      <c r="E1802" s="7771" t="s">
        <v>4994</v>
      </c>
      <c r="F1802" s="7771" t="s">
        <v>2518</v>
      </c>
      <c r="G1802" s="7771" t="s">
        <v>28</v>
      </c>
      <c r="H1802" s="7771" t="s">
        <v>28</v>
      </c>
      <c r="I1802" s="7771" t="s">
        <v>921</v>
      </c>
    </row>
    <row customHeight="1" ht="11.25">
      <c r="A1803" s="7771" t="s">
        <v>2266</v>
      </c>
      <c r="B1803" s="7771" t="s">
        <v>16</v>
      </c>
      <c r="C1803" s="7771" t="s">
        <v>4995</v>
      </c>
      <c r="D1803" s="7771" t="s">
        <v>4996</v>
      </c>
      <c r="E1803" s="7771" t="s">
        <v>4997</v>
      </c>
      <c r="F1803" s="7771" t="s">
        <v>2655</v>
      </c>
      <c r="G1803" s="7771" t="s">
        <v>28</v>
      </c>
      <c r="H1803" s="7771" t="s">
        <v>28</v>
      </c>
      <c r="I1803" s="7771" t="s">
        <v>921</v>
      </c>
    </row>
    <row customHeight="1" ht="11.25">
      <c r="A1804" s="7771" t="s">
        <v>2266</v>
      </c>
      <c r="B1804" s="7771" t="s">
        <v>16</v>
      </c>
      <c r="C1804" s="7771" t="s">
        <v>5797</v>
      </c>
      <c r="D1804" s="7771" t="s">
        <v>5798</v>
      </c>
      <c r="E1804" s="7771" t="s">
        <v>5799</v>
      </c>
      <c r="F1804" s="7771" t="s">
        <v>2468</v>
      </c>
      <c r="G1804" s="7771" t="s">
        <v>28</v>
      </c>
      <c r="H1804" s="7771" t="s">
        <v>28</v>
      </c>
      <c r="I1804" s="7771" t="s">
        <v>921</v>
      </c>
    </row>
    <row customHeight="1" ht="11.25">
      <c r="A1805" s="7771" t="s">
        <v>2266</v>
      </c>
      <c r="B1805" s="7771" t="s">
        <v>16</v>
      </c>
      <c r="C1805" s="7771" t="s">
        <v>2957</v>
      </c>
      <c r="D1805" s="7771" t="s">
        <v>2958</v>
      </c>
      <c r="E1805" s="7771" t="s">
        <v>2959</v>
      </c>
      <c r="F1805" s="7771" t="s">
        <v>2285</v>
      </c>
      <c r="G1805" s="7771" t="s">
        <v>28</v>
      </c>
      <c r="H1805" s="7771" t="s">
        <v>28</v>
      </c>
      <c r="I1805" s="7771" t="s">
        <v>921</v>
      </c>
    </row>
    <row customHeight="1" ht="11.25">
      <c r="A1806" s="7771" t="s">
        <v>2266</v>
      </c>
      <c r="B1806" s="7771" t="s">
        <v>16</v>
      </c>
      <c r="C1806" s="7771" t="s">
        <v>2964</v>
      </c>
      <c r="D1806" s="7771" t="s">
        <v>2965</v>
      </c>
      <c r="E1806" s="7771" t="s">
        <v>2966</v>
      </c>
      <c r="F1806" s="7771" t="s">
        <v>2280</v>
      </c>
      <c r="G1806" s="7771" t="s">
        <v>2967</v>
      </c>
      <c r="H1806" s="7771" t="s">
        <v>28</v>
      </c>
      <c r="I1806" s="7771" t="s">
        <v>921</v>
      </c>
    </row>
    <row customHeight="1" ht="11.25">
      <c r="A1807" s="7771" t="s">
        <v>2266</v>
      </c>
      <c r="B1807" s="7771" t="s">
        <v>16</v>
      </c>
      <c r="C1807" s="7771" t="s">
        <v>2975</v>
      </c>
      <c r="D1807" s="7771" t="s">
        <v>2976</v>
      </c>
      <c r="E1807" s="7771" t="s">
        <v>2977</v>
      </c>
      <c r="F1807" s="7771" t="s">
        <v>2468</v>
      </c>
      <c r="G1807" s="7771" t="s">
        <v>28</v>
      </c>
      <c r="H1807" s="7771" t="s">
        <v>28</v>
      </c>
      <c r="I1807" s="7771" t="s">
        <v>921</v>
      </c>
    </row>
    <row customHeight="1" ht="11.25">
      <c r="A1808" s="7771" t="s">
        <v>2266</v>
      </c>
      <c r="B1808" s="7771" t="s">
        <v>16</v>
      </c>
      <c r="C1808" s="7771" t="s">
        <v>5013</v>
      </c>
      <c r="D1808" s="7771" t="s">
        <v>5014</v>
      </c>
      <c r="E1808" s="7771" t="s">
        <v>5015</v>
      </c>
      <c r="F1808" s="7771" t="s">
        <v>2518</v>
      </c>
      <c r="G1808" s="7771" t="s">
        <v>28</v>
      </c>
      <c r="H1808" s="7771" t="s">
        <v>28</v>
      </c>
      <c r="I1808" s="7771" t="s">
        <v>921</v>
      </c>
    </row>
    <row customHeight="1" ht="11.25">
      <c r="A1809" s="7771" t="s">
        <v>2266</v>
      </c>
      <c r="B1809" s="7771" t="s">
        <v>16</v>
      </c>
      <c r="C1809" s="7771" t="s">
        <v>5800</v>
      </c>
      <c r="D1809" s="7771" t="s">
        <v>5801</v>
      </c>
      <c r="E1809" s="7771" t="s">
        <v>5802</v>
      </c>
      <c r="F1809" s="7771" t="s">
        <v>2829</v>
      </c>
      <c r="G1809" s="7771" t="s">
        <v>5803</v>
      </c>
      <c r="H1809" s="7771" t="s">
        <v>28</v>
      </c>
      <c r="I1809" s="7771" t="s">
        <v>921</v>
      </c>
    </row>
    <row customHeight="1" ht="11.25">
      <c r="A1810" s="7771" t="s">
        <v>2266</v>
      </c>
      <c r="B1810" s="7771" t="s">
        <v>16</v>
      </c>
      <c r="C1810" s="7771" t="s">
        <v>5804</v>
      </c>
      <c r="D1810" s="7771" t="s">
        <v>5805</v>
      </c>
      <c r="E1810" s="7771" t="s">
        <v>5806</v>
      </c>
      <c r="F1810" s="7771" t="s">
        <v>5301</v>
      </c>
      <c r="G1810" s="7771" t="s">
        <v>5807</v>
      </c>
      <c r="H1810" s="7771" t="s">
        <v>28</v>
      </c>
      <c r="I1810" s="7771" t="s">
        <v>921</v>
      </c>
    </row>
    <row customHeight="1" ht="11.25">
      <c r="A1811" s="7771" t="s">
        <v>2266</v>
      </c>
      <c r="B1811" s="7771" t="s">
        <v>16</v>
      </c>
      <c r="C1811" s="7771" t="s">
        <v>5026</v>
      </c>
      <c r="D1811" s="7771" t="s">
        <v>5027</v>
      </c>
      <c r="E1811" s="7771" t="s">
        <v>5028</v>
      </c>
      <c r="F1811" s="7771" t="s">
        <v>2592</v>
      </c>
      <c r="G1811" s="7771" t="s">
        <v>28</v>
      </c>
      <c r="H1811" s="7771" t="s">
        <v>28</v>
      </c>
      <c r="I1811" s="7771" t="s">
        <v>921</v>
      </c>
    </row>
    <row customHeight="1" ht="11.25">
      <c r="A1812" s="7771" t="s">
        <v>2266</v>
      </c>
      <c r="B1812" s="7771" t="s">
        <v>16</v>
      </c>
      <c r="C1812" s="7771" t="s">
        <v>5033</v>
      </c>
      <c r="D1812" s="7771" t="s">
        <v>5034</v>
      </c>
      <c r="E1812" s="7771" t="s">
        <v>5035</v>
      </c>
      <c r="F1812" s="7771" t="s">
        <v>590</v>
      </c>
      <c r="G1812" s="7771" t="s">
        <v>5036</v>
      </c>
      <c r="H1812" s="7771" t="s">
        <v>28</v>
      </c>
      <c r="I1812" s="7771" t="s">
        <v>921</v>
      </c>
    </row>
    <row customHeight="1" ht="11.25">
      <c r="A1813" s="7771" t="s">
        <v>2266</v>
      </c>
      <c r="B1813" s="7771" t="s">
        <v>16</v>
      </c>
      <c r="C1813" s="7771" t="s">
        <v>28</v>
      </c>
      <c r="D1813" s="7771" t="s">
        <v>3011</v>
      </c>
      <c r="E1813" s="7771" t="s">
        <v>3012</v>
      </c>
      <c r="F1813" s="7771" t="s">
        <v>2285</v>
      </c>
      <c r="G1813" s="7771" t="s">
        <v>28</v>
      </c>
      <c r="H1813" s="7771" t="s">
        <v>28</v>
      </c>
      <c r="I1813" s="7771" t="s">
        <v>921</v>
      </c>
    </row>
    <row customHeight="1" ht="11.25">
      <c r="A1814" s="7771" t="s">
        <v>2266</v>
      </c>
      <c r="B1814" s="7771" t="s">
        <v>16</v>
      </c>
      <c r="C1814" s="7771" t="s">
        <v>5037</v>
      </c>
      <c r="D1814" s="7771" t="s">
        <v>5038</v>
      </c>
      <c r="E1814" s="7771" t="s">
        <v>5039</v>
      </c>
      <c r="F1814" s="7771" t="s">
        <v>5040</v>
      </c>
      <c r="G1814" s="7771" t="s">
        <v>28</v>
      </c>
      <c r="H1814" s="7771" t="s">
        <v>28</v>
      </c>
      <c r="I1814" s="7771" t="s">
        <v>921</v>
      </c>
    </row>
    <row customHeight="1" ht="11.25">
      <c r="A1815" s="7771" t="s">
        <v>2266</v>
      </c>
      <c r="B1815" s="7771" t="s">
        <v>16</v>
      </c>
      <c r="C1815" s="7771" t="s">
        <v>3013</v>
      </c>
      <c r="D1815" s="7771" t="s">
        <v>3014</v>
      </c>
      <c r="E1815" s="7771" t="s">
        <v>3015</v>
      </c>
      <c r="F1815" s="7771" t="s">
        <v>3016</v>
      </c>
      <c r="G1815" s="7771" t="s">
        <v>3017</v>
      </c>
      <c r="H1815" s="7771" t="s">
        <v>28</v>
      </c>
      <c r="I1815" s="7771" t="s">
        <v>921</v>
      </c>
    </row>
    <row customHeight="1" ht="11.25">
      <c r="A1816" s="7771" t="s">
        <v>2266</v>
      </c>
      <c r="B1816" s="7771" t="s">
        <v>16</v>
      </c>
      <c r="C1816" s="7771" t="s">
        <v>3018</v>
      </c>
      <c r="D1816" s="7771" t="s">
        <v>3019</v>
      </c>
      <c r="E1816" s="7771" t="s">
        <v>3020</v>
      </c>
      <c r="F1816" s="7771" t="s">
        <v>2377</v>
      </c>
      <c r="G1816" s="7771" t="s">
        <v>28</v>
      </c>
      <c r="H1816" s="7771" t="s">
        <v>28</v>
      </c>
      <c r="I1816" s="7771" t="s">
        <v>921</v>
      </c>
    </row>
    <row customHeight="1" ht="11.25">
      <c r="A1817" s="7771" t="s">
        <v>2266</v>
      </c>
      <c r="B1817" s="7771" t="s">
        <v>16</v>
      </c>
      <c r="C1817" s="7771" t="s">
        <v>5808</v>
      </c>
      <c r="D1817" s="7771" t="s">
        <v>5809</v>
      </c>
      <c r="E1817" s="7771" t="s">
        <v>5810</v>
      </c>
      <c r="F1817" s="7771" t="s">
        <v>2518</v>
      </c>
      <c r="G1817" s="7771" t="s">
        <v>5811</v>
      </c>
      <c r="H1817" s="7771" t="s">
        <v>28</v>
      </c>
      <c r="I1817" s="7771" t="s">
        <v>921</v>
      </c>
    </row>
    <row customHeight="1" ht="11.25">
      <c r="A1818" s="7771" t="s">
        <v>2266</v>
      </c>
      <c r="B1818" s="7771" t="s">
        <v>16</v>
      </c>
      <c r="C1818" s="7771" t="s">
        <v>5812</v>
      </c>
      <c r="D1818" s="7771" t="s">
        <v>5813</v>
      </c>
      <c r="E1818" s="7771" t="s">
        <v>5814</v>
      </c>
      <c r="F1818" s="7771" t="s">
        <v>2280</v>
      </c>
      <c r="G1818" s="7771" t="s">
        <v>5815</v>
      </c>
      <c r="H1818" s="7771" t="s">
        <v>28</v>
      </c>
      <c r="I1818" s="7771" t="s">
        <v>921</v>
      </c>
    </row>
    <row customHeight="1" ht="11.25">
      <c r="A1819" s="7771" t="s">
        <v>2266</v>
      </c>
      <c r="B1819" s="7771" t="s">
        <v>16</v>
      </c>
      <c r="C1819" s="7771" t="s">
        <v>3029</v>
      </c>
      <c r="D1819" s="7771" t="s">
        <v>3030</v>
      </c>
      <c r="E1819" s="7771" t="s">
        <v>3031</v>
      </c>
      <c r="F1819" s="7771" t="s">
        <v>2441</v>
      </c>
      <c r="G1819" s="7771" t="s">
        <v>3032</v>
      </c>
      <c r="H1819" s="7771" t="s">
        <v>28</v>
      </c>
      <c r="I1819" s="7771" t="s">
        <v>921</v>
      </c>
    </row>
    <row customHeight="1" ht="11.25">
      <c r="A1820" s="7771" t="s">
        <v>2266</v>
      </c>
      <c r="B1820" s="7771" t="s">
        <v>16</v>
      </c>
      <c r="C1820" s="7771" t="s">
        <v>3033</v>
      </c>
      <c r="D1820" s="7771" t="s">
        <v>3034</v>
      </c>
      <c r="E1820" s="7771" t="s">
        <v>3035</v>
      </c>
      <c r="F1820" s="7771" t="s">
        <v>3036</v>
      </c>
      <c r="G1820" s="7771" t="s">
        <v>28</v>
      </c>
      <c r="H1820" s="7771" t="s">
        <v>28</v>
      </c>
      <c r="I1820" s="7771" t="s">
        <v>921</v>
      </c>
    </row>
    <row customHeight="1" ht="11.25">
      <c r="A1821" s="7771" t="s">
        <v>2266</v>
      </c>
      <c r="B1821" s="7771" t="s">
        <v>16</v>
      </c>
      <c r="C1821" s="7771" t="s">
        <v>5816</v>
      </c>
      <c r="D1821" s="7771" t="s">
        <v>5817</v>
      </c>
      <c r="E1821" s="7771" t="s">
        <v>5818</v>
      </c>
      <c r="F1821" s="7771" t="s">
        <v>2592</v>
      </c>
      <c r="G1821" s="7771" t="s">
        <v>5819</v>
      </c>
      <c r="H1821" s="7771" t="s">
        <v>28</v>
      </c>
      <c r="I1821" s="7771" t="s">
        <v>921</v>
      </c>
    </row>
    <row customHeight="1" ht="11.25">
      <c r="A1822" s="7771" t="s">
        <v>2266</v>
      </c>
      <c r="B1822" s="7771" t="s">
        <v>16</v>
      </c>
      <c r="C1822" s="7771" t="s">
        <v>5041</v>
      </c>
      <c r="D1822" s="7771" t="s">
        <v>5042</v>
      </c>
      <c r="E1822" s="7771" t="s">
        <v>5043</v>
      </c>
      <c r="F1822" s="7771" t="s">
        <v>2451</v>
      </c>
      <c r="G1822" s="7771" t="s">
        <v>3051</v>
      </c>
      <c r="H1822" s="7771" t="s">
        <v>28</v>
      </c>
      <c r="I1822" s="7771" t="s">
        <v>921</v>
      </c>
    </row>
    <row customHeight="1" ht="11.25">
      <c r="A1823" s="7771" t="s">
        <v>2266</v>
      </c>
      <c r="B1823" s="7771" t="s">
        <v>16</v>
      </c>
      <c r="C1823" s="7771" t="s">
        <v>3037</v>
      </c>
      <c r="D1823" s="7771" t="s">
        <v>3038</v>
      </c>
      <c r="E1823" s="7771" t="s">
        <v>3039</v>
      </c>
      <c r="F1823" s="7771" t="s">
        <v>2829</v>
      </c>
      <c r="G1823" s="7771" t="s">
        <v>3040</v>
      </c>
      <c r="H1823" s="7771" t="s">
        <v>28</v>
      </c>
      <c r="I1823" s="7771" t="s">
        <v>921</v>
      </c>
    </row>
    <row customHeight="1" ht="11.25">
      <c r="A1824" s="7771" t="s">
        <v>2266</v>
      </c>
      <c r="B1824" s="7771" t="s">
        <v>16</v>
      </c>
      <c r="C1824" s="7771" t="s">
        <v>5044</v>
      </c>
      <c r="D1824" s="7771" t="s">
        <v>5045</v>
      </c>
      <c r="E1824" s="7771" t="s">
        <v>5046</v>
      </c>
      <c r="F1824" s="7771" t="s">
        <v>2592</v>
      </c>
      <c r="G1824" s="7771" t="s">
        <v>5047</v>
      </c>
      <c r="H1824" s="7771" t="s">
        <v>28</v>
      </c>
      <c r="I1824" s="7771" t="s">
        <v>921</v>
      </c>
    </row>
    <row customHeight="1" ht="11.25">
      <c r="A1825" s="7771" t="s">
        <v>2266</v>
      </c>
      <c r="B1825" s="7771" t="s">
        <v>16</v>
      </c>
      <c r="C1825" s="7771" t="s">
        <v>3044</v>
      </c>
      <c r="D1825" s="7771" t="s">
        <v>3045</v>
      </c>
      <c r="E1825" s="7771" t="s">
        <v>3046</v>
      </c>
      <c r="F1825" s="7771" t="s">
        <v>2360</v>
      </c>
      <c r="G1825" s="7771" t="s">
        <v>3047</v>
      </c>
      <c r="H1825" s="7771" t="s">
        <v>28</v>
      </c>
      <c r="I1825" s="7771" t="s">
        <v>921</v>
      </c>
    </row>
    <row customHeight="1" ht="11.25">
      <c r="A1826" s="7771" t="s">
        <v>2266</v>
      </c>
      <c r="B1826" s="7771" t="s">
        <v>16</v>
      </c>
      <c r="C1826" s="7771" t="s">
        <v>3059</v>
      </c>
      <c r="D1826" s="7771" t="s">
        <v>3060</v>
      </c>
      <c r="E1826" s="7771" t="s">
        <v>3061</v>
      </c>
      <c r="F1826" s="7771" t="s">
        <v>2360</v>
      </c>
      <c r="G1826" s="7771" t="s">
        <v>3062</v>
      </c>
      <c r="H1826" s="7771" t="s">
        <v>28</v>
      </c>
      <c r="I1826" s="7771" t="s">
        <v>921</v>
      </c>
    </row>
    <row customHeight="1" ht="11.25">
      <c r="A1827" s="7771" t="s">
        <v>2266</v>
      </c>
      <c r="B1827" s="7771" t="s">
        <v>16</v>
      </c>
      <c r="C1827" s="7771" t="s">
        <v>3063</v>
      </c>
      <c r="D1827" s="7771" t="s">
        <v>3064</v>
      </c>
      <c r="E1827" s="7771" t="s">
        <v>3065</v>
      </c>
      <c r="F1827" s="7771" t="s">
        <v>3066</v>
      </c>
      <c r="G1827" s="7771" t="s">
        <v>28</v>
      </c>
      <c r="H1827" s="7771" t="s">
        <v>28</v>
      </c>
      <c r="I1827" s="7771" t="s">
        <v>921</v>
      </c>
    </row>
    <row customHeight="1" ht="11.25">
      <c r="A1828" s="7771" t="s">
        <v>2266</v>
      </c>
      <c r="B1828" s="7771" t="s">
        <v>16</v>
      </c>
      <c r="C1828" s="7771" t="s">
        <v>3067</v>
      </c>
      <c r="D1828" s="7771" t="s">
        <v>3068</v>
      </c>
      <c r="E1828" s="7771" t="s">
        <v>3069</v>
      </c>
      <c r="F1828" s="7771" t="s">
        <v>2451</v>
      </c>
      <c r="G1828" s="7771" t="s">
        <v>2825</v>
      </c>
      <c r="H1828" s="7771" t="s">
        <v>28</v>
      </c>
      <c r="I1828" s="7771" t="s">
        <v>921</v>
      </c>
    </row>
    <row customHeight="1" ht="11.25">
      <c r="A1829" s="7771" t="s">
        <v>2266</v>
      </c>
      <c r="B1829" s="7771" t="s">
        <v>16</v>
      </c>
      <c r="C1829" s="7771" t="s">
        <v>3070</v>
      </c>
      <c r="D1829" s="7771" t="s">
        <v>3071</v>
      </c>
      <c r="E1829" s="7771" t="s">
        <v>3072</v>
      </c>
      <c r="F1829" s="7771" t="s">
        <v>2473</v>
      </c>
      <c r="G1829" s="7771" t="s">
        <v>3073</v>
      </c>
      <c r="H1829" s="7771" t="s">
        <v>28</v>
      </c>
      <c r="I1829" s="7771" t="s">
        <v>921</v>
      </c>
    </row>
    <row customHeight="1" ht="11.25">
      <c r="A1830" s="7771" t="s">
        <v>2266</v>
      </c>
      <c r="B1830" s="7771" t="s">
        <v>16</v>
      </c>
      <c r="C1830" s="7771" t="s">
        <v>3074</v>
      </c>
      <c r="D1830" s="7771" t="s">
        <v>3075</v>
      </c>
      <c r="E1830" s="7771" t="s">
        <v>3076</v>
      </c>
      <c r="F1830" s="7771" t="s">
        <v>2330</v>
      </c>
      <c r="G1830" s="7771" t="s">
        <v>3077</v>
      </c>
      <c r="H1830" s="7771" t="s">
        <v>28</v>
      </c>
      <c r="I1830" s="7771" t="s">
        <v>921</v>
      </c>
    </row>
    <row customHeight="1" ht="11.25">
      <c r="A1831" s="7771" t="s">
        <v>2266</v>
      </c>
      <c r="B1831" s="7771" t="s">
        <v>16</v>
      </c>
      <c r="C1831" s="7771" t="s">
        <v>3078</v>
      </c>
      <c r="D1831" s="7771" t="s">
        <v>3079</v>
      </c>
      <c r="E1831" s="7771" t="s">
        <v>3080</v>
      </c>
      <c r="F1831" s="7771" t="s">
        <v>2280</v>
      </c>
      <c r="G1831" s="7771" t="s">
        <v>3081</v>
      </c>
      <c r="H1831" s="7771" t="s">
        <v>28</v>
      </c>
      <c r="I1831" s="7771" t="s">
        <v>921</v>
      </c>
    </row>
    <row customHeight="1" ht="11.25">
      <c r="A1832" s="7771" t="s">
        <v>2266</v>
      </c>
      <c r="B1832" s="7771" t="s">
        <v>16</v>
      </c>
      <c r="C1832" s="7771" t="s">
        <v>3082</v>
      </c>
      <c r="D1832" s="7771" t="s">
        <v>3083</v>
      </c>
      <c r="E1832" s="7771" t="s">
        <v>3084</v>
      </c>
      <c r="F1832" s="7771" t="s">
        <v>2280</v>
      </c>
      <c r="G1832" s="7771" t="s">
        <v>28</v>
      </c>
      <c r="H1832" s="7771" t="s">
        <v>28</v>
      </c>
      <c r="I1832" s="7771" t="s">
        <v>921</v>
      </c>
    </row>
    <row customHeight="1" ht="11.25">
      <c r="A1833" s="7771" t="s">
        <v>2266</v>
      </c>
      <c r="B1833" s="7771" t="s">
        <v>16</v>
      </c>
      <c r="C1833" s="7771" t="s">
        <v>3085</v>
      </c>
      <c r="D1833" s="7771" t="s">
        <v>3086</v>
      </c>
      <c r="E1833" s="7771" t="s">
        <v>3087</v>
      </c>
      <c r="F1833" s="7771" t="s">
        <v>2468</v>
      </c>
      <c r="G1833" s="7771" t="s">
        <v>3088</v>
      </c>
      <c r="H1833" s="7771" t="s">
        <v>28</v>
      </c>
      <c r="I1833" s="7771" t="s">
        <v>921</v>
      </c>
    </row>
    <row customHeight="1" ht="11.25">
      <c r="A1834" s="7771" t="s">
        <v>2266</v>
      </c>
      <c r="B1834" s="7771" t="s">
        <v>16</v>
      </c>
      <c r="C1834" s="7771" t="s">
        <v>3089</v>
      </c>
      <c r="D1834" s="7771" t="s">
        <v>3090</v>
      </c>
      <c r="E1834" s="7771" t="s">
        <v>3091</v>
      </c>
      <c r="F1834" s="7771" t="s">
        <v>2425</v>
      </c>
      <c r="G1834" s="7771" t="s">
        <v>3092</v>
      </c>
      <c r="H1834" s="7771" t="s">
        <v>28</v>
      </c>
      <c r="I1834" s="7771" t="s">
        <v>921</v>
      </c>
    </row>
    <row customHeight="1" ht="11.25">
      <c r="A1835" s="7771" t="s">
        <v>2266</v>
      </c>
      <c r="B1835" s="7771" t="s">
        <v>16</v>
      </c>
      <c r="C1835" s="7771" t="s">
        <v>5048</v>
      </c>
      <c r="D1835" s="7771" t="s">
        <v>5049</v>
      </c>
      <c r="E1835" s="7771" t="s">
        <v>5050</v>
      </c>
      <c r="F1835" s="7771" t="s">
        <v>2503</v>
      </c>
      <c r="G1835" s="7771" t="s">
        <v>28</v>
      </c>
      <c r="H1835" s="7771" t="s">
        <v>28</v>
      </c>
      <c r="I1835" s="7771" t="s">
        <v>921</v>
      </c>
    </row>
    <row customHeight="1" ht="11.25">
      <c r="A1836" s="7771" t="s">
        <v>2266</v>
      </c>
      <c r="B1836" s="7771" t="s">
        <v>16</v>
      </c>
      <c r="C1836" s="7771" t="s">
        <v>3093</v>
      </c>
      <c r="D1836" s="7771" t="s">
        <v>3094</v>
      </c>
      <c r="E1836" s="7771" t="s">
        <v>3095</v>
      </c>
      <c r="F1836" s="7771" t="s">
        <v>2412</v>
      </c>
      <c r="G1836" s="7771" t="s">
        <v>3096</v>
      </c>
      <c r="H1836" s="7771" t="s">
        <v>28</v>
      </c>
      <c r="I1836" s="7771" t="s">
        <v>921</v>
      </c>
    </row>
    <row customHeight="1" ht="11.25">
      <c r="A1837" s="7771" t="s">
        <v>2266</v>
      </c>
      <c r="B1837" s="7771" t="s">
        <v>16</v>
      </c>
      <c r="C1837" s="7771" t="s">
        <v>5051</v>
      </c>
      <c r="D1837" s="7771" t="s">
        <v>3094</v>
      </c>
      <c r="E1837" s="7771" t="s">
        <v>5052</v>
      </c>
      <c r="F1837" s="7771" t="s">
        <v>2791</v>
      </c>
      <c r="G1837" s="7771" t="s">
        <v>28</v>
      </c>
      <c r="H1837" s="7771" t="s">
        <v>28</v>
      </c>
      <c r="I1837" s="7771" t="s">
        <v>921</v>
      </c>
    </row>
    <row customHeight="1" ht="11.25">
      <c r="A1838" s="7771" t="s">
        <v>2266</v>
      </c>
      <c r="B1838" s="7771" t="s">
        <v>16</v>
      </c>
      <c r="C1838" s="7771" t="s">
        <v>5053</v>
      </c>
      <c r="D1838" s="7771" t="s">
        <v>3094</v>
      </c>
      <c r="E1838" s="7771" t="s">
        <v>5054</v>
      </c>
      <c r="F1838" s="7771" t="s">
        <v>2451</v>
      </c>
      <c r="G1838" s="7771" t="s">
        <v>28</v>
      </c>
      <c r="H1838" s="7771" t="s">
        <v>28</v>
      </c>
      <c r="I1838" s="7771" t="s">
        <v>921</v>
      </c>
    </row>
    <row customHeight="1" ht="11.25">
      <c r="A1839" s="7771" t="s">
        <v>2266</v>
      </c>
      <c r="B1839" s="7771" t="s">
        <v>16</v>
      </c>
      <c r="C1839" s="7771" t="s">
        <v>5055</v>
      </c>
      <c r="D1839" s="7771" t="s">
        <v>3094</v>
      </c>
      <c r="E1839" s="7771" t="s">
        <v>5056</v>
      </c>
      <c r="F1839" s="7771" t="s">
        <v>2629</v>
      </c>
      <c r="G1839" s="7771" t="s">
        <v>5057</v>
      </c>
      <c r="H1839" s="7771" t="s">
        <v>28</v>
      </c>
      <c r="I1839" s="7771" t="s">
        <v>921</v>
      </c>
    </row>
    <row customHeight="1" ht="11.25">
      <c r="A1840" s="7771" t="s">
        <v>2266</v>
      </c>
      <c r="B1840" s="7771" t="s">
        <v>16</v>
      </c>
      <c r="C1840" s="7771" t="s">
        <v>3097</v>
      </c>
      <c r="D1840" s="7771" t="s">
        <v>3098</v>
      </c>
      <c r="E1840" s="7771" t="s">
        <v>3099</v>
      </c>
      <c r="F1840" s="7771" t="s">
        <v>2399</v>
      </c>
      <c r="G1840" s="7771" t="s">
        <v>28</v>
      </c>
      <c r="H1840" s="7771" t="s">
        <v>28</v>
      </c>
      <c r="I1840" s="7771" t="s">
        <v>921</v>
      </c>
    </row>
    <row customHeight="1" ht="11.25">
      <c r="A1841" s="7771" t="s">
        <v>2266</v>
      </c>
      <c r="B1841" s="7771" t="s">
        <v>16</v>
      </c>
      <c r="C1841" s="7771" t="s">
        <v>4786</v>
      </c>
      <c r="D1841" s="7771" t="s">
        <v>4787</v>
      </c>
      <c r="E1841" s="7771" t="s">
        <v>4788</v>
      </c>
      <c r="F1841" s="7771" t="s">
        <v>2642</v>
      </c>
      <c r="G1841" s="7771" t="s">
        <v>4789</v>
      </c>
      <c r="H1841" s="7771" t="s">
        <v>28</v>
      </c>
      <c r="I1841" s="7771" t="s">
        <v>921</v>
      </c>
    </row>
    <row customHeight="1" ht="11.25">
      <c r="A1842" s="7771" t="s">
        <v>2266</v>
      </c>
      <c r="B1842" s="7771" t="s">
        <v>16</v>
      </c>
      <c r="C1842" s="7771" t="s">
        <v>3100</v>
      </c>
      <c r="D1842" s="7771" t="s">
        <v>3101</v>
      </c>
      <c r="E1842" s="7771" t="s">
        <v>3102</v>
      </c>
      <c r="F1842" s="7771" t="s">
        <v>2372</v>
      </c>
      <c r="G1842" s="7771" t="s">
        <v>3103</v>
      </c>
      <c r="H1842" s="7771" t="s">
        <v>28</v>
      </c>
      <c r="I1842" s="7771" t="s">
        <v>921</v>
      </c>
    </row>
    <row customHeight="1" ht="11.25">
      <c r="A1843" s="7771" t="s">
        <v>2266</v>
      </c>
      <c r="B1843" s="7771" t="s">
        <v>16</v>
      </c>
      <c r="C1843" s="7771" t="s">
        <v>5058</v>
      </c>
      <c r="D1843" s="7771" t="s">
        <v>5059</v>
      </c>
      <c r="E1843" s="7771" t="s">
        <v>5060</v>
      </c>
      <c r="F1843" s="7771" t="s">
        <v>2385</v>
      </c>
      <c r="G1843" s="7771" t="s">
        <v>5061</v>
      </c>
      <c r="H1843" s="7771" t="s">
        <v>28</v>
      </c>
      <c r="I1843" s="7771" t="s">
        <v>921</v>
      </c>
    </row>
    <row customHeight="1" ht="11.25">
      <c r="A1844" s="7771" t="s">
        <v>2266</v>
      </c>
      <c r="B1844" s="7771" t="s">
        <v>16</v>
      </c>
      <c r="C1844" s="7771" t="s">
        <v>3108</v>
      </c>
      <c r="D1844" s="7771" t="s">
        <v>3109</v>
      </c>
      <c r="E1844" s="7771" t="s">
        <v>3110</v>
      </c>
      <c r="F1844" s="7771" t="s">
        <v>3111</v>
      </c>
      <c r="G1844" s="7771" t="s">
        <v>3112</v>
      </c>
      <c r="H1844" s="7771" t="s">
        <v>28</v>
      </c>
      <c r="I1844" s="7771" t="s">
        <v>921</v>
      </c>
    </row>
    <row customHeight="1" ht="11.25">
      <c r="A1845" s="7771" t="s">
        <v>2266</v>
      </c>
      <c r="B1845" s="7771" t="s">
        <v>16</v>
      </c>
      <c r="C1845" s="7771" t="s">
        <v>3113</v>
      </c>
      <c r="D1845" s="7771" t="s">
        <v>3114</v>
      </c>
      <c r="E1845" s="7771" t="s">
        <v>3115</v>
      </c>
      <c r="F1845" s="7771" t="s">
        <v>2280</v>
      </c>
      <c r="G1845" s="7771" t="s">
        <v>3116</v>
      </c>
      <c r="H1845" s="7771" t="s">
        <v>28</v>
      </c>
      <c r="I1845" s="7771" t="s">
        <v>921</v>
      </c>
    </row>
    <row customHeight="1" ht="11.25">
      <c r="A1846" s="7771" t="s">
        <v>2266</v>
      </c>
      <c r="B1846" s="7771" t="s">
        <v>16</v>
      </c>
      <c r="C1846" s="7771" t="s">
        <v>3117</v>
      </c>
      <c r="D1846" s="7771" t="s">
        <v>3118</v>
      </c>
      <c r="E1846" s="7771" t="s">
        <v>3119</v>
      </c>
      <c r="F1846" s="7771" t="s">
        <v>3120</v>
      </c>
      <c r="G1846" s="7771" t="s">
        <v>3121</v>
      </c>
      <c r="H1846" s="7771" t="s">
        <v>28</v>
      </c>
      <c r="I1846" s="7771" t="s">
        <v>921</v>
      </c>
    </row>
    <row customHeight="1" ht="11.25">
      <c r="A1847" s="7771" t="s">
        <v>2266</v>
      </c>
      <c r="B1847" s="7771" t="s">
        <v>16</v>
      </c>
      <c r="C1847" s="7771" t="s">
        <v>5062</v>
      </c>
      <c r="D1847" s="7771" t="s">
        <v>5063</v>
      </c>
      <c r="E1847" s="7771" t="s">
        <v>5064</v>
      </c>
      <c r="F1847" s="7771" t="s">
        <v>2372</v>
      </c>
      <c r="G1847" s="7771" t="s">
        <v>5065</v>
      </c>
      <c r="H1847" s="7771" t="s">
        <v>28</v>
      </c>
      <c r="I1847" s="7771" t="s">
        <v>921</v>
      </c>
    </row>
    <row customHeight="1" ht="11.25">
      <c r="A1848" s="7771" t="s">
        <v>2266</v>
      </c>
      <c r="B1848" s="7771" t="s">
        <v>16</v>
      </c>
      <c r="C1848" s="7771" t="s">
        <v>5066</v>
      </c>
      <c r="D1848" s="7771" t="s">
        <v>5067</v>
      </c>
      <c r="E1848" s="7771" t="s">
        <v>5068</v>
      </c>
      <c r="F1848" s="7771" t="s">
        <v>2723</v>
      </c>
      <c r="G1848" s="7771" t="s">
        <v>5069</v>
      </c>
      <c r="H1848" s="7771" t="s">
        <v>28</v>
      </c>
      <c r="I1848" s="7771" t="s">
        <v>921</v>
      </c>
    </row>
    <row customHeight="1" ht="11.25">
      <c r="A1849" s="7771" t="s">
        <v>2266</v>
      </c>
      <c r="B1849" s="7771" t="s">
        <v>16</v>
      </c>
      <c r="C1849" s="7771" t="s">
        <v>5070</v>
      </c>
      <c r="D1849" s="7771" t="s">
        <v>5071</v>
      </c>
      <c r="E1849" s="7771" t="s">
        <v>5072</v>
      </c>
      <c r="F1849" s="7771" t="s">
        <v>2629</v>
      </c>
      <c r="G1849" s="7771" t="s">
        <v>5073</v>
      </c>
      <c r="H1849" s="7771" t="s">
        <v>28</v>
      </c>
      <c r="I1849" s="7771" t="s">
        <v>921</v>
      </c>
    </row>
    <row customHeight="1" ht="11.25">
      <c r="A1850" s="7771" t="s">
        <v>2266</v>
      </c>
      <c r="B1850" s="7771" t="s">
        <v>16</v>
      </c>
      <c r="C1850" s="7771" t="s">
        <v>3127</v>
      </c>
      <c r="D1850" s="7771" t="s">
        <v>3128</v>
      </c>
      <c r="E1850" s="7771" t="s">
        <v>3129</v>
      </c>
      <c r="F1850" s="7771" t="s">
        <v>2655</v>
      </c>
      <c r="G1850" s="7771" t="s">
        <v>3130</v>
      </c>
      <c r="H1850" s="7771" t="s">
        <v>28</v>
      </c>
      <c r="I1850" s="7771" t="s">
        <v>921</v>
      </c>
    </row>
    <row customHeight="1" ht="11.25">
      <c r="A1851" s="7771" t="s">
        <v>2266</v>
      </c>
      <c r="B1851" s="7771" t="s">
        <v>16</v>
      </c>
      <c r="C1851" s="7771" t="s">
        <v>3131</v>
      </c>
      <c r="D1851" s="7771" t="s">
        <v>3132</v>
      </c>
      <c r="E1851" s="7771" t="s">
        <v>3133</v>
      </c>
      <c r="F1851" s="7771" t="s">
        <v>2377</v>
      </c>
      <c r="G1851" s="7771" t="s">
        <v>3134</v>
      </c>
      <c r="H1851" s="7771" t="s">
        <v>28</v>
      </c>
      <c r="I1851" s="7771" t="s">
        <v>921</v>
      </c>
    </row>
    <row customHeight="1" ht="11.25">
      <c r="A1852" s="7771" t="s">
        <v>2266</v>
      </c>
      <c r="B1852" s="7771" t="s">
        <v>16</v>
      </c>
      <c r="C1852" s="7771" t="s">
        <v>5074</v>
      </c>
      <c r="D1852" s="7771" t="s">
        <v>5075</v>
      </c>
      <c r="E1852" s="7771" t="s">
        <v>5076</v>
      </c>
      <c r="F1852" s="7771" t="s">
        <v>2347</v>
      </c>
      <c r="G1852" s="7771" t="s">
        <v>5077</v>
      </c>
      <c r="H1852" s="7771" t="s">
        <v>28</v>
      </c>
      <c r="I1852" s="7771" t="s">
        <v>921</v>
      </c>
    </row>
    <row customHeight="1" ht="11.25">
      <c r="A1853" s="7771" t="s">
        <v>2266</v>
      </c>
      <c r="B1853" s="7771" t="s">
        <v>16</v>
      </c>
      <c r="C1853" s="7771" t="s">
        <v>5078</v>
      </c>
      <c r="D1853" s="7771" t="s">
        <v>5079</v>
      </c>
      <c r="E1853" s="7771" t="s">
        <v>5080</v>
      </c>
      <c r="F1853" s="7771" t="s">
        <v>2412</v>
      </c>
      <c r="G1853" s="7771" t="s">
        <v>5081</v>
      </c>
      <c r="H1853" s="7771" t="s">
        <v>28</v>
      </c>
      <c r="I1853" s="7771" t="s">
        <v>921</v>
      </c>
    </row>
    <row customHeight="1" ht="11.25">
      <c r="A1854" s="7771" t="s">
        <v>2266</v>
      </c>
      <c r="B1854" s="7771" t="s">
        <v>16</v>
      </c>
      <c r="C1854" s="7771" t="s">
        <v>3135</v>
      </c>
      <c r="D1854" s="7771" t="s">
        <v>3136</v>
      </c>
      <c r="E1854" s="7771" t="s">
        <v>3137</v>
      </c>
      <c r="F1854" s="7771" t="s">
        <v>2655</v>
      </c>
      <c r="G1854" s="7771" t="s">
        <v>3138</v>
      </c>
      <c r="H1854" s="7771" t="s">
        <v>28</v>
      </c>
      <c r="I1854" s="7771" t="s">
        <v>921</v>
      </c>
    </row>
    <row customHeight="1" ht="11.25">
      <c r="A1855" s="7771" t="s">
        <v>2266</v>
      </c>
      <c r="B1855" s="7771" t="s">
        <v>16</v>
      </c>
      <c r="C1855" s="7771" t="s">
        <v>3139</v>
      </c>
      <c r="D1855" s="7771" t="s">
        <v>3140</v>
      </c>
      <c r="E1855" s="7771" t="s">
        <v>3141</v>
      </c>
      <c r="F1855" s="7771" t="s">
        <v>2320</v>
      </c>
      <c r="G1855" s="7771" t="s">
        <v>28</v>
      </c>
      <c r="H1855" s="7771" t="s">
        <v>28</v>
      </c>
      <c r="I1855" s="7771" t="s">
        <v>921</v>
      </c>
    </row>
    <row customHeight="1" ht="11.25">
      <c r="A1856" s="7771" t="s">
        <v>2266</v>
      </c>
      <c r="B1856" s="7771" t="s">
        <v>16</v>
      </c>
      <c r="C1856" s="7771" t="s">
        <v>5082</v>
      </c>
      <c r="D1856" s="7771" t="s">
        <v>5083</v>
      </c>
      <c r="E1856" s="7771" t="s">
        <v>5084</v>
      </c>
      <c r="F1856" s="7771" t="s">
        <v>2377</v>
      </c>
      <c r="G1856" s="7771" t="s">
        <v>28</v>
      </c>
      <c r="H1856" s="7771" t="s">
        <v>28</v>
      </c>
      <c r="I1856" s="7771" t="s">
        <v>921</v>
      </c>
    </row>
    <row customHeight="1" ht="11.25">
      <c r="A1857" s="7771" t="s">
        <v>2266</v>
      </c>
      <c r="B1857" s="7771" t="s">
        <v>16</v>
      </c>
      <c r="C1857" s="7771" t="s">
        <v>3146</v>
      </c>
      <c r="D1857" s="7771" t="s">
        <v>3147</v>
      </c>
      <c r="E1857" s="7771" t="s">
        <v>3148</v>
      </c>
      <c r="F1857" s="7771" t="s">
        <v>2629</v>
      </c>
      <c r="G1857" s="7771" t="s">
        <v>3149</v>
      </c>
      <c r="H1857" s="7771" t="s">
        <v>28</v>
      </c>
      <c r="I1857" s="7771" t="s">
        <v>921</v>
      </c>
    </row>
    <row customHeight="1" ht="11.25">
      <c r="A1858" s="7771" t="s">
        <v>2266</v>
      </c>
      <c r="B1858" s="7771" t="s">
        <v>16</v>
      </c>
      <c r="C1858" s="7771" t="s">
        <v>3150</v>
      </c>
      <c r="D1858" s="7771" t="s">
        <v>3151</v>
      </c>
      <c r="E1858" s="7771" t="s">
        <v>3152</v>
      </c>
      <c r="F1858" s="7771" t="s">
        <v>2412</v>
      </c>
      <c r="G1858" s="7771" t="s">
        <v>3153</v>
      </c>
      <c r="H1858" s="7771" t="s">
        <v>28</v>
      </c>
      <c r="I1858" s="7771" t="s">
        <v>921</v>
      </c>
    </row>
    <row customHeight="1" ht="11.25">
      <c r="A1859" s="7771" t="s">
        <v>2266</v>
      </c>
      <c r="B1859" s="7771" t="s">
        <v>16</v>
      </c>
      <c r="C1859" s="7771" t="s">
        <v>5085</v>
      </c>
      <c r="D1859" s="7771" t="s">
        <v>5086</v>
      </c>
      <c r="E1859" s="7771" t="s">
        <v>5087</v>
      </c>
      <c r="F1859" s="7771" t="s">
        <v>2325</v>
      </c>
      <c r="G1859" s="7771" t="s">
        <v>5088</v>
      </c>
      <c r="H1859" s="7771" t="s">
        <v>28</v>
      </c>
      <c r="I1859" s="7771" t="s">
        <v>921</v>
      </c>
    </row>
    <row customHeight="1" ht="11.25">
      <c r="A1860" s="7771" t="s">
        <v>2266</v>
      </c>
      <c r="B1860" s="7771" t="s">
        <v>16</v>
      </c>
      <c r="C1860" s="7771" t="s">
        <v>3154</v>
      </c>
      <c r="D1860" s="7771" t="s">
        <v>3155</v>
      </c>
      <c r="E1860" s="7771" t="s">
        <v>3156</v>
      </c>
      <c r="F1860" s="7771" t="s">
        <v>3157</v>
      </c>
      <c r="G1860" s="7771" t="s">
        <v>3158</v>
      </c>
      <c r="H1860" s="7771" t="s">
        <v>28</v>
      </c>
      <c r="I1860" s="7771" t="s">
        <v>921</v>
      </c>
    </row>
    <row customHeight="1" ht="11.25">
      <c r="A1861" s="7771" t="s">
        <v>2266</v>
      </c>
      <c r="B1861" s="7771" t="s">
        <v>16</v>
      </c>
      <c r="C1861" s="7771" t="s">
        <v>3159</v>
      </c>
      <c r="D1861" s="7771" t="s">
        <v>3160</v>
      </c>
      <c r="E1861" s="7771" t="s">
        <v>3161</v>
      </c>
      <c r="F1861" s="7771" t="s">
        <v>2655</v>
      </c>
      <c r="G1861" s="7771" t="s">
        <v>3162</v>
      </c>
      <c r="H1861" s="7771" t="s">
        <v>28</v>
      </c>
      <c r="I1861" s="7771" t="s">
        <v>921</v>
      </c>
    </row>
    <row customHeight="1" ht="11.25">
      <c r="A1862" s="7771" t="s">
        <v>2266</v>
      </c>
      <c r="B1862" s="7771" t="s">
        <v>16</v>
      </c>
      <c r="C1862" s="7771" t="s">
        <v>3167</v>
      </c>
      <c r="D1862" s="7771" t="s">
        <v>3168</v>
      </c>
      <c r="E1862" s="7771" t="s">
        <v>3169</v>
      </c>
      <c r="F1862" s="7771" t="s">
        <v>3170</v>
      </c>
      <c r="G1862" s="7771" t="s">
        <v>3171</v>
      </c>
      <c r="H1862" s="7771" t="s">
        <v>28</v>
      </c>
      <c r="I1862" s="7771" t="s">
        <v>921</v>
      </c>
    </row>
    <row customHeight="1" ht="11.25">
      <c r="A1863" s="7771" t="s">
        <v>2266</v>
      </c>
      <c r="B1863" s="7771" t="s">
        <v>16</v>
      </c>
      <c r="C1863" s="7771" t="s">
        <v>3172</v>
      </c>
      <c r="D1863" s="7771" t="s">
        <v>3173</v>
      </c>
      <c r="E1863" s="7771" t="s">
        <v>3174</v>
      </c>
      <c r="F1863" s="7771" t="s">
        <v>2486</v>
      </c>
      <c r="G1863" s="7771" t="s">
        <v>3175</v>
      </c>
      <c r="H1863" s="7771" t="s">
        <v>28</v>
      </c>
      <c r="I1863" s="7771" t="s">
        <v>921</v>
      </c>
    </row>
    <row customHeight="1" ht="11.25">
      <c r="A1864" s="7771" t="s">
        <v>2266</v>
      </c>
      <c r="B1864" s="7771" t="s">
        <v>16</v>
      </c>
      <c r="C1864" s="7771" t="s">
        <v>3176</v>
      </c>
      <c r="D1864" s="7771" t="s">
        <v>3177</v>
      </c>
      <c r="E1864" s="7771" t="s">
        <v>3178</v>
      </c>
      <c r="F1864" s="7771" t="s">
        <v>3179</v>
      </c>
      <c r="G1864" s="7771" t="s">
        <v>28</v>
      </c>
      <c r="H1864" s="7771" t="s">
        <v>28</v>
      </c>
      <c r="I1864" s="7771" t="s">
        <v>921</v>
      </c>
    </row>
    <row customHeight="1" ht="11.25">
      <c r="A1865" s="7771" t="s">
        <v>2266</v>
      </c>
      <c r="B1865" s="7771" t="s">
        <v>16</v>
      </c>
      <c r="C1865" s="7771" t="s">
        <v>3191</v>
      </c>
      <c r="D1865" s="7771" t="s">
        <v>3192</v>
      </c>
      <c r="E1865" s="7771" t="s">
        <v>3193</v>
      </c>
      <c r="F1865" s="7771" t="s">
        <v>2295</v>
      </c>
      <c r="G1865" s="7771" t="s">
        <v>28</v>
      </c>
      <c r="H1865" s="7771" t="s">
        <v>28</v>
      </c>
      <c r="I1865" s="7771" t="s">
        <v>921</v>
      </c>
    </row>
    <row customHeight="1" ht="11.25">
      <c r="A1866" s="7771" t="s">
        <v>2266</v>
      </c>
      <c r="B1866" s="7771" t="s">
        <v>16</v>
      </c>
      <c r="C1866" s="7771" t="s">
        <v>3194</v>
      </c>
      <c r="D1866" s="7771" t="s">
        <v>3195</v>
      </c>
      <c r="E1866" s="7771" t="s">
        <v>3196</v>
      </c>
      <c r="F1866" s="7771" t="s">
        <v>2320</v>
      </c>
      <c r="G1866" s="7771" t="s">
        <v>3197</v>
      </c>
      <c r="H1866" s="7771" t="s">
        <v>28</v>
      </c>
      <c r="I1866" s="7771" t="s">
        <v>921</v>
      </c>
    </row>
    <row customHeight="1" ht="11.25">
      <c r="A1867" s="7771" t="s">
        <v>2266</v>
      </c>
      <c r="B1867" s="7771" t="s">
        <v>16</v>
      </c>
      <c r="C1867" s="7771" t="s">
        <v>5820</v>
      </c>
      <c r="D1867" s="7771" t="s">
        <v>5821</v>
      </c>
      <c r="E1867" s="7771" t="s">
        <v>5822</v>
      </c>
      <c r="F1867" s="7771" t="s">
        <v>2446</v>
      </c>
      <c r="G1867" s="7771" t="s">
        <v>5823</v>
      </c>
      <c r="H1867" s="7771" t="s">
        <v>28</v>
      </c>
      <c r="I1867" s="7771" t="s">
        <v>921</v>
      </c>
    </row>
    <row customHeight="1" ht="11.25">
      <c r="A1868" s="7771" t="s">
        <v>2266</v>
      </c>
      <c r="B1868" s="7771" t="s">
        <v>16</v>
      </c>
      <c r="C1868" s="7771" t="s">
        <v>5089</v>
      </c>
      <c r="D1868" s="7771" t="s">
        <v>5090</v>
      </c>
      <c r="E1868" s="7771" t="s">
        <v>5091</v>
      </c>
      <c r="F1868" s="7771" t="s">
        <v>3211</v>
      </c>
      <c r="G1868" s="7771" t="s">
        <v>5092</v>
      </c>
      <c r="H1868" s="7771" t="s">
        <v>28</v>
      </c>
      <c r="I1868" s="7771" t="s">
        <v>921</v>
      </c>
    </row>
    <row customHeight="1" ht="11.25">
      <c r="A1869" s="7771" t="s">
        <v>2266</v>
      </c>
      <c r="B1869" s="7771" t="s">
        <v>16</v>
      </c>
      <c r="C1869" s="7771" t="s">
        <v>3198</v>
      </c>
      <c r="D1869" s="7771" t="s">
        <v>3199</v>
      </c>
      <c r="E1869" s="7771" t="s">
        <v>3200</v>
      </c>
      <c r="F1869" s="7771" t="s">
        <v>2451</v>
      </c>
      <c r="G1869" s="7771" t="s">
        <v>28</v>
      </c>
      <c r="H1869" s="7771" t="s">
        <v>28</v>
      </c>
      <c r="I1869" s="7771" t="s">
        <v>921</v>
      </c>
    </row>
    <row customHeight="1" ht="11.25">
      <c r="A1870" s="7771" t="s">
        <v>2266</v>
      </c>
      <c r="B1870" s="7771" t="s">
        <v>16</v>
      </c>
      <c r="C1870" s="7771" t="s">
        <v>3201</v>
      </c>
      <c r="D1870" s="7771" t="s">
        <v>3202</v>
      </c>
      <c r="E1870" s="7771" t="s">
        <v>3203</v>
      </c>
      <c r="F1870" s="7771" t="s">
        <v>2800</v>
      </c>
      <c r="G1870" s="7771" t="s">
        <v>28</v>
      </c>
      <c r="H1870" s="7771" t="s">
        <v>28</v>
      </c>
      <c r="I1870" s="7771" t="s">
        <v>921</v>
      </c>
    </row>
    <row customHeight="1" ht="11.25">
      <c r="A1871" s="7771" t="s">
        <v>2266</v>
      </c>
      <c r="B1871" s="7771" t="s">
        <v>16</v>
      </c>
      <c r="C1871" s="7771" t="s">
        <v>3204</v>
      </c>
      <c r="D1871" s="7771" t="s">
        <v>3205</v>
      </c>
      <c r="E1871" s="7771" t="s">
        <v>3206</v>
      </c>
      <c r="F1871" s="7771" t="s">
        <v>3207</v>
      </c>
      <c r="G1871" s="7771" t="s">
        <v>28</v>
      </c>
      <c r="H1871" s="7771" t="s">
        <v>28</v>
      </c>
      <c r="I1871" s="7771" t="s">
        <v>921</v>
      </c>
    </row>
    <row customHeight="1" ht="11.25">
      <c r="A1872" s="7771" t="s">
        <v>2266</v>
      </c>
      <c r="B1872" s="7771" t="s">
        <v>16</v>
      </c>
      <c r="C1872" s="7771" t="s">
        <v>3212</v>
      </c>
      <c r="D1872" s="7771" t="s">
        <v>3213</v>
      </c>
      <c r="E1872" s="7771" t="s">
        <v>3214</v>
      </c>
      <c r="F1872" s="7771" t="s">
        <v>2360</v>
      </c>
      <c r="G1872" s="7771" t="s">
        <v>28</v>
      </c>
      <c r="H1872" s="7771" t="s">
        <v>28</v>
      </c>
      <c r="I1872" s="7771" t="s">
        <v>921</v>
      </c>
    </row>
    <row customHeight="1" ht="11.25">
      <c r="A1873" s="7771" t="s">
        <v>2266</v>
      </c>
      <c r="B1873" s="7771" t="s">
        <v>16</v>
      </c>
      <c r="C1873" s="7771" t="s">
        <v>3223</v>
      </c>
      <c r="D1873" s="7771" t="s">
        <v>3224</v>
      </c>
      <c r="E1873" s="7771" t="s">
        <v>3225</v>
      </c>
      <c r="F1873" s="7771" t="s">
        <v>3226</v>
      </c>
      <c r="G1873" s="7771" t="s">
        <v>28</v>
      </c>
      <c r="H1873" s="7771" t="s">
        <v>28</v>
      </c>
      <c r="I1873" s="7771" t="s">
        <v>921</v>
      </c>
    </row>
    <row customHeight="1" ht="11.25">
      <c r="A1874" s="7771" t="s">
        <v>2266</v>
      </c>
      <c r="B1874" s="7771" t="s">
        <v>16</v>
      </c>
      <c r="C1874" s="7771" t="s">
        <v>3227</v>
      </c>
      <c r="D1874" s="7771" t="s">
        <v>3228</v>
      </c>
      <c r="E1874" s="7771" t="s">
        <v>2913</v>
      </c>
      <c r="F1874" s="7771" t="s">
        <v>3229</v>
      </c>
      <c r="G1874" s="7771" t="s">
        <v>28</v>
      </c>
      <c r="H1874" s="7771" t="s">
        <v>28</v>
      </c>
      <c r="I1874" s="7771" t="s">
        <v>921</v>
      </c>
    </row>
    <row customHeight="1" ht="11.25">
      <c r="A1875" s="7771" t="s">
        <v>2266</v>
      </c>
      <c r="B1875" s="7771" t="s">
        <v>16</v>
      </c>
      <c r="C1875" s="7771" t="s">
        <v>3230</v>
      </c>
      <c r="D1875" s="7771" t="s">
        <v>3231</v>
      </c>
      <c r="E1875" s="7771" t="s">
        <v>2913</v>
      </c>
      <c r="F1875" s="7771" t="s">
        <v>3232</v>
      </c>
      <c r="G1875" s="7771" t="s">
        <v>3233</v>
      </c>
      <c r="H1875" s="7771" t="s">
        <v>28</v>
      </c>
      <c r="I1875" s="7771" t="s">
        <v>921</v>
      </c>
    </row>
    <row customHeight="1" ht="11.25">
      <c r="A1876" s="7771" t="s">
        <v>2266</v>
      </c>
      <c r="B1876" s="7771" t="s">
        <v>16</v>
      </c>
      <c r="C1876" s="7771" t="s">
        <v>5098</v>
      </c>
      <c r="D1876" s="7771" t="s">
        <v>5099</v>
      </c>
      <c r="E1876" s="7771" t="s">
        <v>5100</v>
      </c>
      <c r="F1876" s="7771" t="s">
        <v>5101</v>
      </c>
      <c r="G1876" s="7771" t="s">
        <v>5102</v>
      </c>
      <c r="H1876" s="7771" t="s">
        <v>28</v>
      </c>
      <c r="I1876" s="7771" t="s">
        <v>921</v>
      </c>
    </row>
    <row customHeight="1" ht="11.25">
      <c r="A1877" s="7771" t="s">
        <v>2266</v>
      </c>
      <c r="B1877" s="7771" t="s">
        <v>16</v>
      </c>
      <c r="C1877" s="7771" t="s">
        <v>5103</v>
      </c>
      <c r="D1877" s="7771" t="s">
        <v>5104</v>
      </c>
      <c r="E1877" s="7771" t="s">
        <v>2913</v>
      </c>
      <c r="F1877" s="7771" t="s">
        <v>5105</v>
      </c>
      <c r="G1877" s="7771" t="s">
        <v>28</v>
      </c>
      <c r="H1877" s="7771" t="s">
        <v>28</v>
      </c>
      <c r="I1877" s="7771" t="s">
        <v>921</v>
      </c>
    </row>
    <row customHeight="1" ht="11.25">
      <c r="A1878" s="7771" t="s">
        <v>2266</v>
      </c>
      <c r="B1878" s="7771" t="s">
        <v>16</v>
      </c>
      <c r="C1878" s="7771" t="s">
        <v>3238</v>
      </c>
      <c r="D1878" s="7771" t="s">
        <v>3239</v>
      </c>
      <c r="E1878" s="7771" t="s">
        <v>3240</v>
      </c>
      <c r="F1878" s="7771" t="s">
        <v>2578</v>
      </c>
      <c r="G1878" s="7771" t="s">
        <v>3241</v>
      </c>
      <c r="H1878" s="7771" t="s">
        <v>28</v>
      </c>
      <c r="I1878" s="7771" t="s">
        <v>921</v>
      </c>
    </row>
    <row customHeight="1" ht="11.25">
      <c r="A1879" s="7771" t="s">
        <v>2266</v>
      </c>
      <c r="B1879" s="7771" t="s">
        <v>16</v>
      </c>
      <c r="C1879" s="7771" t="s">
        <v>5109</v>
      </c>
      <c r="D1879" s="7771" t="s">
        <v>5110</v>
      </c>
      <c r="E1879" s="7771" t="s">
        <v>5111</v>
      </c>
      <c r="F1879" s="7771" t="s">
        <v>2430</v>
      </c>
      <c r="G1879" s="7771" t="s">
        <v>28</v>
      </c>
      <c r="H1879" s="7771" t="s">
        <v>28</v>
      </c>
      <c r="I1879" s="7771" t="s">
        <v>921</v>
      </c>
    </row>
    <row customHeight="1" ht="11.25">
      <c r="A1880" s="7771" t="s">
        <v>2266</v>
      </c>
      <c r="B1880" s="7771" t="s">
        <v>16</v>
      </c>
      <c r="C1880" s="7771" t="s">
        <v>5112</v>
      </c>
      <c r="D1880" s="7771" t="s">
        <v>5113</v>
      </c>
      <c r="E1880" s="7771" t="s">
        <v>5114</v>
      </c>
      <c r="F1880" s="7771" t="s">
        <v>2372</v>
      </c>
      <c r="G1880" s="7771" t="s">
        <v>28</v>
      </c>
      <c r="H1880" s="7771" t="s">
        <v>28</v>
      </c>
      <c r="I1880" s="7771" t="s">
        <v>921</v>
      </c>
    </row>
    <row customHeight="1" ht="11.25">
      <c r="A1881" s="7771" t="s">
        <v>2266</v>
      </c>
      <c r="B1881" s="7771" t="s">
        <v>16</v>
      </c>
      <c r="C1881" s="7771" t="s">
        <v>5115</v>
      </c>
      <c r="D1881" s="7771" t="s">
        <v>5116</v>
      </c>
      <c r="E1881" s="7771" t="s">
        <v>5117</v>
      </c>
      <c r="F1881" s="7771" t="s">
        <v>2441</v>
      </c>
      <c r="G1881" s="7771" t="s">
        <v>28</v>
      </c>
      <c r="H1881" s="7771" t="s">
        <v>28</v>
      </c>
      <c r="I1881" s="7771" t="s">
        <v>921</v>
      </c>
    </row>
    <row customHeight="1" ht="11.25">
      <c r="A1882" s="7771" t="s">
        <v>2266</v>
      </c>
      <c r="B1882" s="7771" t="s">
        <v>16</v>
      </c>
      <c r="C1882" s="7771" t="s">
        <v>5121</v>
      </c>
      <c r="D1882" s="7771" t="s">
        <v>5122</v>
      </c>
      <c r="E1882" s="7771" t="s">
        <v>5123</v>
      </c>
      <c r="F1882" s="7771" t="s">
        <v>5101</v>
      </c>
      <c r="G1882" s="7771" t="s">
        <v>28</v>
      </c>
      <c r="H1882" s="7771" t="s">
        <v>28</v>
      </c>
      <c r="I1882" s="7771" t="s">
        <v>921</v>
      </c>
    </row>
    <row customHeight="1" ht="11.25">
      <c r="A1883" s="7771" t="s">
        <v>2266</v>
      </c>
      <c r="B1883" s="7771" t="s">
        <v>16</v>
      </c>
      <c r="C1883" s="7771" t="s">
        <v>3258</v>
      </c>
      <c r="D1883" s="7771" t="s">
        <v>3259</v>
      </c>
      <c r="E1883" s="7771" t="s">
        <v>3260</v>
      </c>
      <c r="F1883" s="7771" t="s">
        <v>2518</v>
      </c>
      <c r="G1883" s="7771" t="s">
        <v>28</v>
      </c>
      <c r="H1883" s="7771" t="s">
        <v>28</v>
      </c>
      <c r="I1883" s="7771" t="s">
        <v>921</v>
      </c>
    </row>
    <row customHeight="1" ht="11.25">
      <c r="A1884" s="7771" t="s">
        <v>2266</v>
      </c>
      <c r="B1884" s="7771" t="s">
        <v>16</v>
      </c>
      <c r="C1884" s="7771" t="s">
        <v>5130</v>
      </c>
      <c r="D1884" s="7771" t="s">
        <v>5131</v>
      </c>
      <c r="E1884" s="7771" t="s">
        <v>5132</v>
      </c>
      <c r="F1884" s="7771" t="s">
        <v>5133</v>
      </c>
      <c r="G1884" s="7771" t="s">
        <v>28</v>
      </c>
      <c r="H1884" s="7771" t="s">
        <v>28</v>
      </c>
      <c r="I1884" s="7771" t="s">
        <v>921</v>
      </c>
    </row>
    <row customHeight="1" ht="11.25">
      <c r="A1885" s="7771" t="s">
        <v>2266</v>
      </c>
      <c r="B1885" s="7771" t="s">
        <v>16</v>
      </c>
      <c r="C1885" s="7771" t="s">
        <v>5824</v>
      </c>
      <c r="D1885" s="7771" t="s">
        <v>5825</v>
      </c>
      <c r="E1885" s="7771" t="s">
        <v>5826</v>
      </c>
      <c r="F1885" s="7771" t="s">
        <v>2342</v>
      </c>
      <c r="G1885" s="7771" t="s">
        <v>5827</v>
      </c>
      <c r="H1885" s="7771" t="s">
        <v>28</v>
      </c>
      <c r="I1885" s="7771" t="s">
        <v>921</v>
      </c>
    </row>
    <row customHeight="1" ht="11.25">
      <c r="A1886" s="7771" t="s">
        <v>2266</v>
      </c>
      <c r="B1886" s="7771" t="s">
        <v>16</v>
      </c>
      <c r="C1886" s="7771" t="s">
        <v>3264</v>
      </c>
      <c r="D1886" s="7771" t="s">
        <v>3265</v>
      </c>
      <c r="E1886" s="7771" t="s">
        <v>3266</v>
      </c>
      <c r="F1886" s="7771" t="s">
        <v>2280</v>
      </c>
      <c r="G1886" s="7771" t="s">
        <v>3267</v>
      </c>
      <c r="H1886" s="7771" t="s">
        <v>28</v>
      </c>
      <c r="I1886" s="7771" t="s">
        <v>921</v>
      </c>
    </row>
    <row customHeight="1" ht="11.25">
      <c r="A1887" s="7771" t="s">
        <v>2266</v>
      </c>
      <c r="B1887" s="7771" t="s">
        <v>16</v>
      </c>
      <c r="C1887" s="7771" t="s">
        <v>5134</v>
      </c>
      <c r="D1887" s="7771" t="s">
        <v>5135</v>
      </c>
      <c r="E1887" s="7771" t="s">
        <v>5136</v>
      </c>
      <c r="F1887" s="7771" t="s">
        <v>2280</v>
      </c>
      <c r="G1887" s="7771" t="s">
        <v>28</v>
      </c>
      <c r="H1887" s="7771" t="s">
        <v>28</v>
      </c>
      <c r="I1887" s="7771" t="s">
        <v>921</v>
      </c>
    </row>
    <row customHeight="1" ht="11.25">
      <c r="A1888" s="7771" t="s">
        <v>2266</v>
      </c>
      <c r="B1888" s="7771" t="s">
        <v>16</v>
      </c>
      <c r="C1888" s="7771" t="s">
        <v>3275</v>
      </c>
      <c r="D1888" s="7771" t="s">
        <v>3276</v>
      </c>
      <c r="E1888" s="7771" t="s">
        <v>3277</v>
      </c>
      <c r="F1888" s="7771" t="s">
        <v>2723</v>
      </c>
      <c r="G1888" s="7771" t="s">
        <v>28</v>
      </c>
      <c r="H1888" s="7771" t="s">
        <v>28</v>
      </c>
      <c r="I1888" s="7771" t="s">
        <v>921</v>
      </c>
    </row>
    <row customHeight="1" ht="11.25">
      <c r="A1889" s="7771" t="s">
        <v>2266</v>
      </c>
      <c r="B1889" s="7771" t="s">
        <v>16</v>
      </c>
      <c r="C1889" s="7771" t="s">
        <v>5828</v>
      </c>
      <c r="D1889" s="7771" t="s">
        <v>5829</v>
      </c>
      <c r="E1889" s="7771" t="s">
        <v>5830</v>
      </c>
      <c r="F1889" s="7771" t="s">
        <v>2699</v>
      </c>
      <c r="G1889" s="7771" t="s">
        <v>28</v>
      </c>
      <c r="H1889" s="7771" t="s">
        <v>28</v>
      </c>
      <c r="I1889" s="7771" t="s">
        <v>921</v>
      </c>
    </row>
    <row customHeight="1" ht="11.25">
      <c r="A1890" s="7771" t="s">
        <v>2266</v>
      </c>
      <c r="B1890" s="7771" t="s">
        <v>16</v>
      </c>
      <c r="C1890" s="7771" t="s">
        <v>3278</v>
      </c>
      <c r="D1890" s="7771" t="s">
        <v>3279</v>
      </c>
      <c r="E1890" s="7771" t="s">
        <v>3280</v>
      </c>
      <c r="F1890" s="7771" t="s">
        <v>2295</v>
      </c>
      <c r="G1890" s="7771" t="s">
        <v>28</v>
      </c>
      <c r="H1890" s="7771" t="s">
        <v>28</v>
      </c>
      <c r="I1890" s="7771" t="s">
        <v>921</v>
      </c>
    </row>
    <row customHeight="1" ht="11.25">
      <c r="A1891" s="7771" t="s">
        <v>2266</v>
      </c>
      <c r="B1891" s="7771" t="s">
        <v>16</v>
      </c>
      <c r="C1891" s="7771" t="s">
        <v>5140</v>
      </c>
      <c r="D1891" s="7771" t="s">
        <v>5141</v>
      </c>
      <c r="E1891" s="7771" t="s">
        <v>5142</v>
      </c>
      <c r="F1891" s="7771" t="s">
        <v>2430</v>
      </c>
      <c r="G1891" s="7771" t="s">
        <v>28</v>
      </c>
      <c r="H1891" s="7771" t="s">
        <v>28</v>
      </c>
      <c r="I1891" s="7771" t="s">
        <v>921</v>
      </c>
    </row>
    <row customHeight="1" ht="11.25">
      <c r="A1892" s="7771" t="s">
        <v>2266</v>
      </c>
      <c r="B1892" s="7771" t="s">
        <v>16</v>
      </c>
      <c r="C1892" s="7771" t="s">
        <v>5831</v>
      </c>
      <c r="D1892" s="7771" t="s">
        <v>5832</v>
      </c>
      <c r="E1892" s="7771" t="s">
        <v>5833</v>
      </c>
      <c r="F1892" s="7771" t="s">
        <v>2813</v>
      </c>
      <c r="G1892" s="7771" t="s">
        <v>28</v>
      </c>
      <c r="H1892" s="7771" t="s">
        <v>28</v>
      </c>
      <c r="I1892" s="7771" t="s">
        <v>921</v>
      </c>
    </row>
    <row customHeight="1" ht="11.25">
      <c r="A1893" s="7771" t="s">
        <v>2266</v>
      </c>
      <c r="B1893" s="7771" t="s">
        <v>16</v>
      </c>
      <c r="C1893" s="7771" t="s">
        <v>5834</v>
      </c>
      <c r="D1893" s="7771" t="s">
        <v>5835</v>
      </c>
      <c r="E1893" s="7771" t="s">
        <v>5836</v>
      </c>
      <c r="F1893" s="7771" t="s">
        <v>2295</v>
      </c>
      <c r="G1893" s="7771" t="s">
        <v>28</v>
      </c>
      <c r="H1893" s="7771" t="s">
        <v>28</v>
      </c>
      <c r="I1893" s="7771" t="s">
        <v>921</v>
      </c>
    </row>
    <row customHeight="1" ht="11.25">
      <c r="A1894" s="7771" t="s">
        <v>2266</v>
      </c>
      <c r="B1894" s="7771" t="s">
        <v>16</v>
      </c>
      <c r="C1894" s="7771" t="s">
        <v>3289</v>
      </c>
      <c r="D1894" s="7771" t="s">
        <v>3290</v>
      </c>
      <c r="E1894" s="7771" t="s">
        <v>3291</v>
      </c>
      <c r="F1894" s="7771" t="s">
        <v>2451</v>
      </c>
      <c r="G1894" s="7771" t="s">
        <v>3292</v>
      </c>
      <c r="H1894" s="7771" t="s">
        <v>28</v>
      </c>
      <c r="I1894" s="7771" t="s">
        <v>921</v>
      </c>
    </row>
    <row customHeight="1" ht="11.25">
      <c r="A1895" s="7771" t="s">
        <v>2266</v>
      </c>
      <c r="B1895" s="7771" t="s">
        <v>16</v>
      </c>
      <c r="C1895" s="7771" t="s">
        <v>5837</v>
      </c>
      <c r="D1895" s="7771" t="s">
        <v>5838</v>
      </c>
      <c r="E1895" s="7771" t="s">
        <v>5839</v>
      </c>
      <c r="F1895" s="7771" t="s">
        <v>2468</v>
      </c>
      <c r="G1895" s="7771" t="s">
        <v>5840</v>
      </c>
      <c r="H1895" s="7771" t="s">
        <v>28</v>
      </c>
      <c r="I1895" s="7771" t="s">
        <v>921</v>
      </c>
    </row>
    <row customHeight="1" ht="11.25">
      <c r="A1896" s="7771" t="s">
        <v>2266</v>
      </c>
      <c r="B1896" s="7771" t="s">
        <v>16</v>
      </c>
      <c r="C1896" s="7771" t="s">
        <v>3297</v>
      </c>
      <c r="D1896" s="7771" t="s">
        <v>3298</v>
      </c>
      <c r="E1896" s="7771" t="s">
        <v>3299</v>
      </c>
      <c r="F1896" s="7771" t="s">
        <v>3300</v>
      </c>
      <c r="G1896" s="7771" t="s">
        <v>28</v>
      </c>
      <c r="H1896" s="7771" t="s">
        <v>28</v>
      </c>
      <c r="I1896" s="7771" t="s">
        <v>921</v>
      </c>
    </row>
    <row customHeight="1" ht="11.25">
      <c r="A1897" s="7771" t="s">
        <v>2266</v>
      </c>
      <c r="B1897" s="7771" t="s">
        <v>16</v>
      </c>
      <c r="C1897" s="7771" t="s">
        <v>3301</v>
      </c>
      <c r="D1897" s="7771" t="s">
        <v>3302</v>
      </c>
      <c r="E1897" s="7771" t="s">
        <v>3303</v>
      </c>
      <c r="F1897" s="7771" t="s">
        <v>2629</v>
      </c>
      <c r="G1897" s="7771" t="s">
        <v>3304</v>
      </c>
      <c r="H1897" s="7771" t="s">
        <v>28</v>
      </c>
      <c r="I1897" s="7771" t="s">
        <v>921</v>
      </c>
    </row>
    <row customHeight="1" ht="11.25">
      <c r="A1898" s="7771" t="s">
        <v>2266</v>
      </c>
      <c r="B1898" s="7771" t="s">
        <v>16</v>
      </c>
      <c r="C1898" s="7771" t="s">
        <v>3305</v>
      </c>
      <c r="D1898" s="7771" t="s">
        <v>3306</v>
      </c>
      <c r="E1898" s="7771" t="s">
        <v>3307</v>
      </c>
      <c r="F1898" s="7771" t="s">
        <v>2295</v>
      </c>
      <c r="G1898" s="7771" t="s">
        <v>28</v>
      </c>
      <c r="H1898" s="7771" t="s">
        <v>28</v>
      </c>
      <c r="I1898" s="7771" t="s">
        <v>921</v>
      </c>
    </row>
    <row customHeight="1" ht="11.25">
      <c r="A1899" s="7771" t="s">
        <v>2266</v>
      </c>
      <c r="B1899" s="7771" t="s">
        <v>16</v>
      </c>
      <c r="C1899" s="7771" t="s">
        <v>3311</v>
      </c>
      <c r="D1899" s="7771" t="s">
        <v>3312</v>
      </c>
      <c r="E1899" s="7771" t="s">
        <v>3313</v>
      </c>
      <c r="F1899" s="7771" t="s">
        <v>2468</v>
      </c>
      <c r="G1899" s="7771" t="s">
        <v>28</v>
      </c>
      <c r="H1899" s="7771" t="s">
        <v>28</v>
      </c>
      <c r="I1899" s="7771" t="s">
        <v>921</v>
      </c>
    </row>
    <row customHeight="1" ht="11.25">
      <c r="A1900" s="7771" t="s">
        <v>2266</v>
      </c>
      <c r="B1900" s="7771" t="s">
        <v>16</v>
      </c>
      <c r="C1900" s="7771" t="s">
        <v>3317</v>
      </c>
      <c r="D1900" s="7771" t="s">
        <v>3318</v>
      </c>
      <c r="E1900" s="7771" t="s">
        <v>3319</v>
      </c>
      <c r="F1900" s="7771" t="s">
        <v>2372</v>
      </c>
      <c r="G1900" s="7771" t="s">
        <v>3320</v>
      </c>
      <c r="H1900" s="7771" t="s">
        <v>28</v>
      </c>
      <c r="I1900" s="7771" t="s">
        <v>921</v>
      </c>
    </row>
    <row customHeight="1" ht="11.25">
      <c r="A1901" s="7771" t="s">
        <v>2266</v>
      </c>
      <c r="B1901" s="7771" t="s">
        <v>16</v>
      </c>
      <c r="C1901" s="7771" t="s">
        <v>5149</v>
      </c>
      <c r="D1901" s="7771" t="s">
        <v>5150</v>
      </c>
      <c r="E1901" s="7771" t="s">
        <v>5151</v>
      </c>
      <c r="F1901" s="7771" t="s">
        <v>2280</v>
      </c>
      <c r="G1901" s="7771" t="s">
        <v>2732</v>
      </c>
      <c r="H1901" s="7771" t="s">
        <v>28</v>
      </c>
      <c r="I1901" s="7771" t="s">
        <v>921</v>
      </c>
    </row>
    <row customHeight="1" ht="11.25">
      <c r="A1902" s="7771" t="s">
        <v>2266</v>
      </c>
      <c r="B1902" s="7771" t="s">
        <v>16</v>
      </c>
      <c r="C1902" s="7771" t="s">
        <v>5152</v>
      </c>
      <c r="D1902" s="7771" t="s">
        <v>5153</v>
      </c>
      <c r="E1902" s="7771" t="s">
        <v>5154</v>
      </c>
      <c r="F1902" s="7771" t="s">
        <v>2518</v>
      </c>
      <c r="G1902" s="7771" t="s">
        <v>28</v>
      </c>
      <c r="H1902" s="7771" t="s">
        <v>28</v>
      </c>
      <c r="I1902" s="7771" t="s">
        <v>921</v>
      </c>
    </row>
    <row customHeight="1" ht="11.25">
      <c r="A1903" s="7771" t="s">
        <v>2266</v>
      </c>
      <c r="B1903" s="7771" t="s">
        <v>16</v>
      </c>
      <c r="C1903" s="7771" t="s">
        <v>3324</v>
      </c>
      <c r="D1903" s="7771" t="s">
        <v>3325</v>
      </c>
      <c r="E1903" s="7771" t="s">
        <v>3326</v>
      </c>
      <c r="F1903" s="7771" t="s">
        <v>3120</v>
      </c>
      <c r="G1903" s="7771" t="s">
        <v>28</v>
      </c>
      <c r="H1903" s="7771" t="s">
        <v>28</v>
      </c>
      <c r="I1903" s="7771" t="s">
        <v>921</v>
      </c>
    </row>
    <row customHeight="1" ht="11.25">
      <c r="A1904" s="7771" t="s">
        <v>2266</v>
      </c>
      <c r="B1904" s="7771" t="s">
        <v>16</v>
      </c>
      <c r="C1904" s="7771" t="s">
        <v>3327</v>
      </c>
      <c r="D1904" s="7771" t="s">
        <v>3328</v>
      </c>
      <c r="E1904" s="7771" t="s">
        <v>3329</v>
      </c>
      <c r="F1904" s="7771" t="s">
        <v>2280</v>
      </c>
      <c r="G1904" s="7771" t="s">
        <v>28</v>
      </c>
      <c r="H1904" s="7771" t="s">
        <v>28</v>
      </c>
      <c r="I1904" s="7771" t="s">
        <v>921</v>
      </c>
    </row>
    <row customHeight="1" ht="11.25">
      <c r="A1905" s="7771" t="s">
        <v>2266</v>
      </c>
      <c r="B1905" s="7771" t="s">
        <v>16</v>
      </c>
      <c r="C1905" s="7771" t="s">
        <v>3339</v>
      </c>
      <c r="D1905" s="7771" t="s">
        <v>3340</v>
      </c>
      <c r="E1905" s="7771" t="s">
        <v>3341</v>
      </c>
      <c r="F1905" s="7771" t="s">
        <v>3342</v>
      </c>
      <c r="G1905" s="7771" t="s">
        <v>28</v>
      </c>
      <c r="H1905" s="7771" t="s">
        <v>28</v>
      </c>
      <c r="I1905" s="7771" t="s">
        <v>921</v>
      </c>
    </row>
    <row customHeight="1" ht="11.25">
      <c r="A1906" s="7771" t="s">
        <v>2266</v>
      </c>
      <c r="B1906" s="7771" t="s">
        <v>16</v>
      </c>
      <c r="C1906" s="7771" t="s">
        <v>5155</v>
      </c>
      <c r="D1906" s="7771" t="s">
        <v>5156</v>
      </c>
      <c r="E1906" s="7771" t="s">
        <v>2913</v>
      </c>
      <c r="F1906" s="7771" t="s">
        <v>5157</v>
      </c>
      <c r="G1906" s="7771" t="s">
        <v>5158</v>
      </c>
      <c r="H1906" s="7771" t="s">
        <v>28</v>
      </c>
      <c r="I1906" s="7771" t="s">
        <v>921</v>
      </c>
    </row>
    <row customHeight="1" ht="11.25">
      <c r="A1907" s="7771" t="s">
        <v>2266</v>
      </c>
      <c r="B1907" s="7771" t="s">
        <v>16</v>
      </c>
      <c r="C1907" s="7771" t="s">
        <v>3353</v>
      </c>
      <c r="D1907" s="7771" t="s">
        <v>3354</v>
      </c>
      <c r="E1907" s="7771" t="s">
        <v>3355</v>
      </c>
      <c r="F1907" s="7771" t="s">
        <v>2342</v>
      </c>
      <c r="G1907" s="7771" t="s">
        <v>3356</v>
      </c>
      <c r="H1907" s="7771" t="s">
        <v>28</v>
      </c>
      <c r="I1907" s="7771" t="s">
        <v>921</v>
      </c>
    </row>
    <row customHeight="1" ht="11.25">
      <c r="A1908" s="7771" t="s">
        <v>2266</v>
      </c>
      <c r="B1908" s="7771" t="s">
        <v>16</v>
      </c>
      <c r="C1908" s="7771" t="s">
        <v>5171</v>
      </c>
      <c r="D1908" s="7771" t="s">
        <v>5172</v>
      </c>
      <c r="E1908" s="7771" t="s">
        <v>5173</v>
      </c>
      <c r="F1908" s="7771" t="s">
        <v>2295</v>
      </c>
      <c r="G1908" s="7771" t="s">
        <v>28</v>
      </c>
      <c r="H1908" s="7771" t="s">
        <v>28</v>
      </c>
      <c r="I1908" s="7771" t="s">
        <v>921</v>
      </c>
    </row>
    <row customHeight="1" ht="11.25">
      <c r="A1909" s="7771" t="s">
        <v>2266</v>
      </c>
      <c r="B1909" s="7771" t="s">
        <v>16</v>
      </c>
      <c r="C1909" s="7771" t="s">
        <v>5174</v>
      </c>
      <c r="D1909" s="7771" t="s">
        <v>5175</v>
      </c>
      <c r="E1909" s="7771" t="s">
        <v>5176</v>
      </c>
      <c r="F1909" s="7771" t="s">
        <v>2446</v>
      </c>
      <c r="G1909" s="7771" t="s">
        <v>28</v>
      </c>
      <c r="H1909" s="7771" t="s">
        <v>28</v>
      </c>
      <c r="I1909" s="7771" t="s">
        <v>921</v>
      </c>
    </row>
    <row customHeight="1" ht="11.25">
      <c r="A1910" s="7771" t="s">
        <v>2266</v>
      </c>
      <c r="B1910" s="7771" t="s">
        <v>16</v>
      </c>
      <c r="C1910" s="7771" t="s">
        <v>5180</v>
      </c>
      <c r="D1910" s="7771" t="s">
        <v>5181</v>
      </c>
      <c r="E1910" s="7771" t="s">
        <v>5182</v>
      </c>
      <c r="F1910" s="7771" t="s">
        <v>3726</v>
      </c>
      <c r="G1910" s="7771" t="s">
        <v>28</v>
      </c>
      <c r="H1910" s="7771" t="s">
        <v>28</v>
      </c>
      <c r="I1910" s="7771" t="s">
        <v>921</v>
      </c>
    </row>
    <row customHeight="1" ht="11.25">
      <c r="A1911" s="7771" t="s">
        <v>2266</v>
      </c>
      <c r="B1911" s="7771" t="s">
        <v>16</v>
      </c>
      <c r="C1911" s="7771" t="s">
        <v>5183</v>
      </c>
      <c r="D1911" s="7771" t="s">
        <v>5184</v>
      </c>
      <c r="E1911" s="7771" t="s">
        <v>5185</v>
      </c>
      <c r="F1911" s="7771" t="s">
        <v>2592</v>
      </c>
      <c r="G1911" s="7771" t="s">
        <v>28</v>
      </c>
      <c r="H1911" s="7771" t="s">
        <v>28</v>
      </c>
      <c r="I1911" s="7771" t="s">
        <v>921</v>
      </c>
    </row>
    <row customHeight="1" ht="11.25">
      <c r="A1912" s="7771" t="s">
        <v>2266</v>
      </c>
      <c r="B1912" s="7771" t="s">
        <v>16</v>
      </c>
      <c r="C1912" s="7771" t="s">
        <v>3406</v>
      </c>
      <c r="D1912" s="7771" t="s">
        <v>3407</v>
      </c>
      <c r="E1912" s="7771" t="s">
        <v>3408</v>
      </c>
      <c r="F1912" s="7771" t="s">
        <v>2518</v>
      </c>
      <c r="G1912" s="7771" t="s">
        <v>2584</v>
      </c>
      <c r="H1912" s="7771" t="s">
        <v>28</v>
      </c>
      <c r="I1912" s="7771" t="s">
        <v>921</v>
      </c>
    </row>
    <row customHeight="1" ht="11.25">
      <c r="A1913" s="7771" t="s">
        <v>2266</v>
      </c>
      <c r="B1913" s="7771" t="s">
        <v>16</v>
      </c>
      <c r="C1913" s="7771" t="s">
        <v>3413</v>
      </c>
      <c r="D1913" s="7771" t="s">
        <v>3414</v>
      </c>
      <c r="E1913" s="7771" t="s">
        <v>3415</v>
      </c>
      <c r="F1913" s="7771" t="s">
        <v>2347</v>
      </c>
      <c r="G1913" s="7771" t="s">
        <v>3416</v>
      </c>
      <c r="H1913" s="7771" t="s">
        <v>28</v>
      </c>
      <c r="I1913" s="7771" t="s">
        <v>921</v>
      </c>
    </row>
    <row customHeight="1" ht="11.25">
      <c r="A1914" s="7771" t="s">
        <v>2266</v>
      </c>
      <c r="B1914" s="7771" t="s">
        <v>16</v>
      </c>
      <c r="C1914" s="7771" t="s">
        <v>5192</v>
      </c>
      <c r="D1914" s="7771" t="s">
        <v>5193</v>
      </c>
      <c r="E1914" s="7771" t="s">
        <v>5194</v>
      </c>
      <c r="F1914" s="7771" t="s">
        <v>2372</v>
      </c>
      <c r="G1914" s="7771" t="s">
        <v>28</v>
      </c>
      <c r="H1914" s="7771" t="s">
        <v>28</v>
      </c>
      <c r="I1914" s="7771" t="s">
        <v>921</v>
      </c>
    </row>
    <row customHeight="1" ht="11.25">
      <c r="A1915" s="7771" t="s">
        <v>2266</v>
      </c>
      <c r="B1915" s="7771" t="s">
        <v>16</v>
      </c>
      <c r="C1915" s="7771" t="s">
        <v>3429</v>
      </c>
      <c r="D1915" s="7771" t="s">
        <v>3430</v>
      </c>
      <c r="E1915" s="7771" t="s">
        <v>3431</v>
      </c>
      <c r="F1915" s="7771" t="s">
        <v>2518</v>
      </c>
      <c r="G1915" s="7771" t="s">
        <v>3432</v>
      </c>
      <c r="H1915" s="7771" t="s">
        <v>28</v>
      </c>
      <c r="I1915" s="7771" t="s">
        <v>921</v>
      </c>
    </row>
    <row customHeight="1" ht="11.25">
      <c r="A1916" s="7771" t="s">
        <v>2266</v>
      </c>
      <c r="B1916" s="7771" t="s">
        <v>16</v>
      </c>
      <c r="C1916" s="7771" t="s">
        <v>5841</v>
      </c>
      <c r="D1916" s="7771" t="s">
        <v>5842</v>
      </c>
      <c r="E1916" s="7771" t="s">
        <v>5843</v>
      </c>
      <c r="F1916" s="7771" t="s">
        <v>2699</v>
      </c>
      <c r="G1916" s="7771" t="s">
        <v>28</v>
      </c>
      <c r="H1916" s="7771" t="s">
        <v>28</v>
      </c>
      <c r="I1916" s="7771" t="s">
        <v>921</v>
      </c>
    </row>
    <row customHeight="1" ht="11.25">
      <c r="A1917" s="7771" t="s">
        <v>2266</v>
      </c>
      <c r="B1917" s="7771" t="s">
        <v>16</v>
      </c>
      <c r="C1917" s="7771" t="s">
        <v>5202</v>
      </c>
      <c r="D1917" s="7771" t="s">
        <v>5203</v>
      </c>
      <c r="E1917" s="7771" t="s">
        <v>5204</v>
      </c>
      <c r="F1917" s="7771" t="s">
        <v>4359</v>
      </c>
      <c r="G1917" s="7771" t="s">
        <v>28</v>
      </c>
      <c r="H1917" s="7771" t="s">
        <v>28</v>
      </c>
      <c r="I1917" s="7771" t="s">
        <v>921</v>
      </c>
    </row>
    <row customHeight="1" ht="11.25">
      <c r="A1918" s="7771" t="s">
        <v>2266</v>
      </c>
      <c r="B1918" s="7771" t="s">
        <v>16</v>
      </c>
      <c r="C1918" s="7771" t="s">
        <v>5844</v>
      </c>
      <c r="D1918" s="7771" t="s">
        <v>5845</v>
      </c>
      <c r="E1918" s="7771" t="s">
        <v>5846</v>
      </c>
      <c r="F1918" s="7771" t="s">
        <v>3170</v>
      </c>
      <c r="G1918" s="7771" t="s">
        <v>28</v>
      </c>
      <c r="H1918" s="7771" t="s">
        <v>28</v>
      </c>
      <c r="I1918" s="7771" t="s">
        <v>921</v>
      </c>
    </row>
    <row customHeight="1" ht="11.25">
      <c r="A1919" s="7771" t="s">
        <v>2266</v>
      </c>
      <c r="B1919" s="7771" t="s">
        <v>16</v>
      </c>
      <c r="C1919" s="7771" t="s">
        <v>3436</v>
      </c>
      <c r="D1919" s="7771" t="s">
        <v>3437</v>
      </c>
      <c r="E1919" s="7771" t="s">
        <v>3438</v>
      </c>
      <c r="F1919" s="7771" t="s">
        <v>2285</v>
      </c>
      <c r="G1919" s="7771" t="s">
        <v>3439</v>
      </c>
      <c r="H1919" s="7771" t="s">
        <v>28</v>
      </c>
      <c r="I1919" s="7771" t="s">
        <v>921</v>
      </c>
    </row>
    <row customHeight="1" ht="11.25">
      <c r="A1920" s="7771" t="s">
        <v>2266</v>
      </c>
      <c r="B1920" s="7771" t="s">
        <v>16</v>
      </c>
      <c r="C1920" s="7771" t="s">
        <v>3447</v>
      </c>
      <c r="D1920" s="7771" t="s">
        <v>3448</v>
      </c>
      <c r="E1920" s="7771" t="s">
        <v>3449</v>
      </c>
      <c r="F1920" s="7771" t="s">
        <v>2347</v>
      </c>
      <c r="G1920" s="7771" t="s">
        <v>28</v>
      </c>
      <c r="H1920" s="7771" t="s">
        <v>28</v>
      </c>
      <c r="I1920" s="7771" t="s">
        <v>921</v>
      </c>
    </row>
    <row customHeight="1" ht="11.25">
      <c r="A1921" s="7771" t="s">
        <v>2266</v>
      </c>
      <c r="B1921" s="7771" t="s">
        <v>16</v>
      </c>
      <c r="C1921" s="7771" t="s">
        <v>5217</v>
      </c>
      <c r="D1921" s="7771" t="s">
        <v>5218</v>
      </c>
      <c r="E1921" s="7771" t="s">
        <v>5219</v>
      </c>
      <c r="F1921" s="7771" t="s">
        <v>2352</v>
      </c>
      <c r="G1921" s="7771" t="s">
        <v>5220</v>
      </c>
      <c r="H1921" s="7771" t="s">
        <v>28</v>
      </c>
      <c r="I1921" s="7771" t="s">
        <v>921</v>
      </c>
    </row>
    <row customHeight="1" ht="11.25">
      <c r="A1922" s="7771" t="s">
        <v>2266</v>
      </c>
      <c r="B1922" s="7771" t="s">
        <v>16</v>
      </c>
      <c r="C1922" s="7771" t="s">
        <v>5847</v>
      </c>
      <c r="D1922" s="7771" t="s">
        <v>5848</v>
      </c>
      <c r="E1922" s="7771" t="s">
        <v>5849</v>
      </c>
      <c r="F1922" s="7771" t="s">
        <v>2629</v>
      </c>
      <c r="G1922" s="7771" t="s">
        <v>28</v>
      </c>
      <c r="H1922" s="7771" t="s">
        <v>28</v>
      </c>
      <c r="I1922" s="7771" t="s">
        <v>921</v>
      </c>
    </row>
    <row customHeight="1" ht="11.25">
      <c r="A1923" s="7771" t="s">
        <v>2266</v>
      </c>
      <c r="B1923" s="7771" t="s">
        <v>16</v>
      </c>
      <c r="C1923" s="7771" t="s">
        <v>3453</v>
      </c>
      <c r="D1923" s="7771" t="s">
        <v>3454</v>
      </c>
      <c r="E1923" s="7771" t="s">
        <v>3455</v>
      </c>
      <c r="F1923" s="7771" t="s">
        <v>2295</v>
      </c>
      <c r="G1923" s="7771" t="s">
        <v>28</v>
      </c>
      <c r="H1923" s="7771" t="s">
        <v>28</v>
      </c>
      <c r="I1923" s="7771" t="s">
        <v>921</v>
      </c>
    </row>
    <row customHeight="1" ht="11.25">
      <c r="A1924" s="7771" t="s">
        <v>2266</v>
      </c>
      <c r="B1924" s="7771" t="s">
        <v>16</v>
      </c>
      <c r="C1924" s="7771" t="s">
        <v>3456</v>
      </c>
      <c r="D1924" s="7771" t="s">
        <v>3454</v>
      </c>
      <c r="E1924" s="7771" t="s">
        <v>3455</v>
      </c>
      <c r="F1924" s="7771" t="s">
        <v>3457</v>
      </c>
      <c r="G1924" s="7771" t="s">
        <v>3458</v>
      </c>
      <c r="H1924" s="7771" t="s">
        <v>28</v>
      </c>
      <c r="I1924" s="7771" t="s">
        <v>921</v>
      </c>
    </row>
    <row customHeight="1" ht="11.25">
      <c r="A1925" s="7771" t="s">
        <v>2266</v>
      </c>
      <c r="B1925" s="7771" t="s">
        <v>16</v>
      </c>
      <c r="C1925" s="7771" t="s">
        <v>5229</v>
      </c>
      <c r="D1925" s="7771" t="s">
        <v>5230</v>
      </c>
      <c r="E1925" s="7771" t="s">
        <v>5231</v>
      </c>
      <c r="F1925" s="7771" t="s">
        <v>2592</v>
      </c>
      <c r="G1925" s="7771" t="s">
        <v>2404</v>
      </c>
      <c r="H1925" s="7771" t="s">
        <v>28</v>
      </c>
      <c r="I1925" s="7771" t="s">
        <v>921</v>
      </c>
    </row>
    <row customHeight="1" ht="11.25">
      <c r="A1926" s="7771" t="s">
        <v>2266</v>
      </c>
      <c r="B1926" s="7771" t="s">
        <v>16</v>
      </c>
      <c r="C1926" s="7771" t="s">
        <v>5850</v>
      </c>
      <c r="D1926" s="7771" t="s">
        <v>5851</v>
      </c>
      <c r="E1926" s="7771" t="s">
        <v>5852</v>
      </c>
      <c r="F1926" s="7771" t="s">
        <v>4328</v>
      </c>
      <c r="G1926" s="7771" t="s">
        <v>5853</v>
      </c>
      <c r="H1926" s="7771" t="s">
        <v>28</v>
      </c>
      <c r="I1926" s="7771" t="s">
        <v>921</v>
      </c>
    </row>
    <row customHeight="1" ht="11.25">
      <c r="A1927" s="7771" t="s">
        <v>2266</v>
      </c>
      <c r="B1927" s="7771" t="s">
        <v>16</v>
      </c>
      <c r="C1927" s="7771" t="s">
        <v>3485</v>
      </c>
      <c r="D1927" s="7771" t="s">
        <v>3486</v>
      </c>
      <c r="E1927" s="7771" t="s">
        <v>3487</v>
      </c>
      <c r="F1927" s="7771" t="s">
        <v>2933</v>
      </c>
      <c r="G1927" s="7771" t="s">
        <v>28</v>
      </c>
      <c r="H1927" s="7771" t="s">
        <v>28</v>
      </c>
      <c r="I1927" s="7771" t="s">
        <v>921</v>
      </c>
    </row>
    <row customHeight="1" ht="11.25">
      <c r="A1928" s="7771" t="s">
        <v>2266</v>
      </c>
      <c r="B1928" s="7771" t="s">
        <v>16</v>
      </c>
      <c r="C1928" s="7771" t="s">
        <v>5240</v>
      </c>
      <c r="D1928" s="7771" t="s">
        <v>5241</v>
      </c>
      <c r="E1928" s="7771" t="s">
        <v>5242</v>
      </c>
      <c r="F1928" s="7771" t="s">
        <v>2377</v>
      </c>
      <c r="G1928" s="7771" t="s">
        <v>28</v>
      </c>
      <c r="H1928" s="7771" t="s">
        <v>28</v>
      </c>
      <c r="I1928" s="7771" t="s">
        <v>921</v>
      </c>
    </row>
    <row customHeight="1" ht="11.25">
      <c r="A1929" s="7771" t="s">
        <v>2266</v>
      </c>
      <c r="B1929" s="7771" t="s">
        <v>16</v>
      </c>
      <c r="C1929" s="7771" t="s">
        <v>5854</v>
      </c>
      <c r="D1929" s="7771" t="s">
        <v>5855</v>
      </c>
      <c r="E1929" s="7771" t="s">
        <v>5856</v>
      </c>
      <c r="F1929" s="7771" t="s">
        <v>3398</v>
      </c>
      <c r="G1929" s="7771" t="s">
        <v>28</v>
      </c>
      <c r="H1929" s="7771" t="s">
        <v>28</v>
      </c>
      <c r="I1929" s="7771" t="s">
        <v>921</v>
      </c>
    </row>
    <row customHeight="1" ht="11.25">
      <c r="A1930" s="7771" t="s">
        <v>2266</v>
      </c>
      <c r="B1930" s="7771" t="s">
        <v>16</v>
      </c>
      <c r="C1930" s="7771" t="s">
        <v>5252</v>
      </c>
      <c r="D1930" s="7771" t="s">
        <v>5253</v>
      </c>
      <c r="E1930" s="7771" t="s">
        <v>5254</v>
      </c>
      <c r="F1930" s="7771" t="s">
        <v>2441</v>
      </c>
      <c r="G1930" s="7771" t="s">
        <v>5255</v>
      </c>
      <c r="H1930" s="7771" t="s">
        <v>28</v>
      </c>
      <c r="I1930" s="7771" t="s">
        <v>921</v>
      </c>
    </row>
    <row customHeight="1" ht="11.25">
      <c r="A1931" s="7771" t="s">
        <v>2266</v>
      </c>
      <c r="B1931" s="7771" t="s">
        <v>16</v>
      </c>
      <c r="C1931" s="7771" t="s">
        <v>5857</v>
      </c>
      <c r="D1931" s="7771" t="s">
        <v>5858</v>
      </c>
      <c r="E1931" s="7771" t="s">
        <v>5859</v>
      </c>
      <c r="F1931" s="7771" t="s">
        <v>2347</v>
      </c>
      <c r="G1931" s="7771" t="s">
        <v>5860</v>
      </c>
      <c r="H1931" s="7771" t="s">
        <v>28</v>
      </c>
      <c r="I1931" s="7771" t="s">
        <v>921</v>
      </c>
    </row>
    <row customHeight="1" ht="11.25">
      <c r="A1932" s="7771" t="s">
        <v>2266</v>
      </c>
      <c r="B1932" s="7771" t="s">
        <v>16</v>
      </c>
      <c r="C1932" s="7771" t="s">
        <v>5256</v>
      </c>
      <c r="D1932" s="7771" t="s">
        <v>5257</v>
      </c>
      <c r="E1932" s="7771" t="s">
        <v>5258</v>
      </c>
      <c r="F1932" s="7771" t="s">
        <v>2430</v>
      </c>
      <c r="G1932" s="7771" t="s">
        <v>5259</v>
      </c>
      <c r="H1932" s="7771" t="s">
        <v>28</v>
      </c>
      <c r="I1932" s="7771" t="s">
        <v>921</v>
      </c>
    </row>
    <row customHeight="1" ht="11.25">
      <c r="A1933" s="7771" t="s">
        <v>2266</v>
      </c>
      <c r="B1933" s="7771" t="s">
        <v>16</v>
      </c>
      <c r="C1933" s="7771" t="s">
        <v>3517</v>
      </c>
      <c r="D1933" s="7771" t="s">
        <v>3518</v>
      </c>
      <c r="E1933" s="7771" t="s">
        <v>3519</v>
      </c>
      <c r="F1933" s="7771" t="s">
        <v>2300</v>
      </c>
      <c r="G1933" s="7771" t="s">
        <v>3520</v>
      </c>
      <c r="H1933" s="7771" t="s">
        <v>28</v>
      </c>
      <c r="I1933" s="7771" t="s">
        <v>921</v>
      </c>
    </row>
    <row customHeight="1" ht="11.25">
      <c r="A1934" s="7771" t="s">
        <v>2266</v>
      </c>
      <c r="B1934" s="7771" t="s">
        <v>16</v>
      </c>
      <c r="C1934" s="7771" t="s">
        <v>5263</v>
      </c>
      <c r="D1934" s="7771" t="s">
        <v>5264</v>
      </c>
      <c r="E1934" s="7771" t="s">
        <v>5265</v>
      </c>
      <c r="F1934" s="7771" t="s">
        <v>3528</v>
      </c>
      <c r="G1934" s="7771" t="s">
        <v>5266</v>
      </c>
      <c r="H1934" s="7771" t="s">
        <v>28</v>
      </c>
      <c r="I1934" s="7771" t="s">
        <v>921</v>
      </c>
    </row>
    <row customHeight="1" ht="11.25">
      <c r="A1935" s="7771" t="s">
        <v>2266</v>
      </c>
      <c r="B1935" s="7771" t="s">
        <v>16</v>
      </c>
      <c r="C1935" s="7771" t="s">
        <v>5267</v>
      </c>
      <c r="D1935" s="7771" t="s">
        <v>5268</v>
      </c>
      <c r="E1935" s="7771" t="s">
        <v>5269</v>
      </c>
      <c r="F1935" s="7771" t="s">
        <v>3626</v>
      </c>
      <c r="G1935" s="7771" t="s">
        <v>5270</v>
      </c>
      <c r="H1935" s="7771" t="s">
        <v>28</v>
      </c>
      <c r="I1935" s="7771" t="s">
        <v>921</v>
      </c>
    </row>
    <row customHeight="1" ht="11.25">
      <c r="A1936" s="7771" t="s">
        <v>2266</v>
      </c>
      <c r="B1936" s="7771" t="s">
        <v>16</v>
      </c>
      <c r="C1936" s="7771" t="s">
        <v>3529</v>
      </c>
      <c r="D1936" s="7771" t="s">
        <v>3530</v>
      </c>
      <c r="E1936" s="7771" t="s">
        <v>3531</v>
      </c>
      <c r="F1936" s="7771" t="s">
        <v>2347</v>
      </c>
      <c r="G1936" s="7771" t="s">
        <v>28</v>
      </c>
      <c r="H1936" s="7771" t="s">
        <v>28</v>
      </c>
      <c r="I1936" s="7771" t="s">
        <v>921</v>
      </c>
    </row>
    <row customHeight="1" ht="11.25">
      <c r="A1937" s="7771" t="s">
        <v>2266</v>
      </c>
      <c r="B1937" s="7771" t="s">
        <v>16</v>
      </c>
      <c r="C1937" s="7771" t="s">
        <v>3532</v>
      </c>
      <c r="D1937" s="7771" t="s">
        <v>3533</v>
      </c>
      <c r="E1937" s="7771" t="s">
        <v>3534</v>
      </c>
      <c r="F1937" s="7771" t="s">
        <v>2385</v>
      </c>
      <c r="G1937" s="7771" t="s">
        <v>3535</v>
      </c>
      <c r="H1937" s="7771" t="s">
        <v>28</v>
      </c>
      <c r="I1937" s="7771" t="s">
        <v>921</v>
      </c>
    </row>
    <row customHeight="1" ht="11.25">
      <c r="A1938" s="7771" t="s">
        <v>2266</v>
      </c>
      <c r="B1938" s="7771" t="s">
        <v>16</v>
      </c>
      <c r="C1938" s="7771" t="s">
        <v>5861</v>
      </c>
      <c r="D1938" s="7771" t="s">
        <v>5862</v>
      </c>
      <c r="E1938" s="7771" t="s">
        <v>5863</v>
      </c>
      <c r="F1938" s="7771" t="s">
        <v>2330</v>
      </c>
      <c r="G1938" s="7771" t="s">
        <v>5864</v>
      </c>
      <c r="H1938" s="7771" t="s">
        <v>28</v>
      </c>
      <c r="I1938" s="7771" t="s">
        <v>921</v>
      </c>
    </row>
    <row customHeight="1" ht="11.25">
      <c r="A1939" s="7771" t="s">
        <v>2266</v>
      </c>
      <c r="B1939" s="7771" t="s">
        <v>16</v>
      </c>
      <c r="C1939" s="7771" t="s">
        <v>5865</v>
      </c>
      <c r="D1939" s="7771" t="s">
        <v>5866</v>
      </c>
      <c r="E1939" s="7771" t="s">
        <v>5867</v>
      </c>
      <c r="F1939" s="7771" t="s">
        <v>2377</v>
      </c>
      <c r="G1939" s="7771" t="s">
        <v>4871</v>
      </c>
      <c r="H1939" s="7771" t="s">
        <v>28</v>
      </c>
      <c r="I1939" s="7771" t="s">
        <v>921</v>
      </c>
    </row>
    <row customHeight="1" ht="11.25">
      <c r="A1940" s="7771" t="s">
        <v>2266</v>
      </c>
      <c r="B1940" s="7771" t="s">
        <v>16</v>
      </c>
      <c r="C1940" s="7771" t="s">
        <v>5271</v>
      </c>
      <c r="D1940" s="7771" t="s">
        <v>5272</v>
      </c>
      <c r="E1940" s="7771" t="s">
        <v>5273</v>
      </c>
      <c r="F1940" s="7771" t="s">
        <v>2399</v>
      </c>
      <c r="G1940" s="7771" t="s">
        <v>5274</v>
      </c>
      <c r="H1940" s="7771" t="s">
        <v>28</v>
      </c>
      <c r="I1940" s="7771" t="s">
        <v>921</v>
      </c>
    </row>
    <row customHeight="1" ht="11.25">
      <c r="A1941" s="7771" t="s">
        <v>2266</v>
      </c>
      <c r="B1941" s="7771" t="s">
        <v>16</v>
      </c>
      <c r="C1941" s="7771" t="s">
        <v>5275</v>
      </c>
      <c r="D1941" s="7771" t="s">
        <v>5276</v>
      </c>
      <c r="E1941" s="7771" t="s">
        <v>5277</v>
      </c>
      <c r="F1941" s="7771" t="s">
        <v>2503</v>
      </c>
      <c r="G1941" s="7771" t="s">
        <v>28</v>
      </c>
      <c r="H1941" s="7771" t="s">
        <v>28</v>
      </c>
      <c r="I1941" s="7771" t="s">
        <v>921</v>
      </c>
    </row>
    <row customHeight="1" ht="11.25">
      <c r="A1942" s="7771" t="s">
        <v>2266</v>
      </c>
      <c r="B1942" s="7771" t="s">
        <v>16</v>
      </c>
      <c r="C1942" s="7771" t="s">
        <v>5868</v>
      </c>
      <c r="D1942" s="7771" t="s">
        <v>5869</v>
      </c>
      <c r="E1942" s="7771" t="s">
        <v>5870</v>
      </c>
      <c r="F1942" s="7771" t="s">
        <v>2385</v>
      </c>
      <c r="G1942" s="7771" t="s">
        <v>28</v>
      </c>
      <c r="H1942" s="7771" t="s">
        <v>28</v>
      </c>
      <c r="I1942" s="7771" t="s">
        <v>921</v>
      </c>
    </row>
    <row customHeight="1" ht="11.25">
      <c r="A1943" s="7771" t="s">
        <v>2266</v>
      </c>
      <c r="B1943" s="7771" t="s">
        <v>16</v>
      </c>
      <c r="C1943" s="7771" t="s">
        <v>5287</v>
      </c>
      <c r="D1943" s="7771" t="s">
        <v>5288</v>
      </c>
      <c r="E1943" s="7771" t="s">
        <v>5289</v>
      </c>
      <c r="F1943" s="7771" t="s">
        <v>2360</v>
      </c>
      <c r="G1943" s="7771" t="s">
        <v>5290</v>
      </c>
      <c r="H1943" s="7771" t="s">
        <v>28</v>
      </c>
      <c r="I1943" s="7771" t="s">
        <v>921</v>
      </c>
    </row>
    <row customHeight="1" ht="11.25">
      <c r="A1944" s="7771" t="s">
        <v>2266</v>
      </c>
      <c r="B1944" s="7771" t="s">
        <v>16</v>
      </c>
      <c r="C1944" s="7771" t="s">
        <v>3566</v>
      </c>
      <c r="D1944" s="7771" t="s">
        <v>3567</v>
      </c>
      <c r="E1944" s="7771" t="s">
        <v>3568</v>
      </c>
      <c r="F1944" s="7771" t="s">
        <v>2280</v>
      </c>
      <c r="G1944" s="7771" t="s">
        <v>3569</v>
      </c>
      <c r="H1944" s="7771" t="s">
        <v>28</v>
      </c>
      <c r="I1944" s="7771" t="s">
        <v>921</v>
      </c>
    </row>
    <row customHeight="1" ht="11.25">
      <c r="A1945" s="7771" t="s">
        <v>2266</v>
      </c>
      <c r="B1945" s="7771" t="s">
        <v>16</v>
      </c>
      <c r="C1945" s="7771" t="s">
        <v>3570</v>
      </c>
      <c r="D1945" s="7771" t="s">
        <v>3571</v>
      </c>
      <c r="E1945" s="7771" t="s">
        <v>3572</v>
      </c>
      <c r="F1945" s="7771" t="s">
        <v>3573</v>
      </c>
      <c r="G1945" s="7771" t="s">
        <v>3481</v>
      </c>
      <c r="H1945" s="7771" t="s">
        <v>28</v>
      </c>
      <c r="I1945" s="7771" t="s">
        <v>921</v>
      </c>
    </row>
    <row customHeight="1" ht="11.25">
      <c r="A1946" s="7771" t="s">
        <v>2266</v>
      </c>
      <c r="B1946" s="7771" t="s">
        <v>16</v>
      </c>
      <c r="C1946" s="7771" t="s">
        <v>5295</v>
      </c>
      <c r="D1946" s="7771" t="s">
        <v>5296</v>
      </c>
      <c r="E1946" s="7771" t="s">
        <v>5297</v>
      </c>
      <c r="F1946" s="7771" t="s">
        <v>2753</v>
      </c>
      <c r="G1946" s="7771" t="s">
        <v>5298</v>
      </c>
      <c r="H1946" s="7771" t="s">
        <v>28</v>
      </c>
      <c r="I1946" s="7771" t="s">
        <v>921</v>
      </c>
    </row>
    <row customHeight="1" ht="11.25">
      <c r="A1947" s="7771" t="s">
        <v>2266</v>
      </c>
      <c r="B1947" s="7771" t="s">
        <v>16</v>
      </c>
      <c r="C1947" s="7771" t="s">
        <v>5871</v>
      </c>
      <c r="D1947" s="7771" t="s">
        <v>5872</v>
      </c>
      <c r="E1947" s="7771" t="s">
        <v>5873</v>
      </c>
      <c r="F1947" s="7771" t="s">
        <v>2300</v>
      </c>
      <c r="G1947" s="7771" t="s">
        <v>5874</v>
      </c>
      <c r="H1947" s="7771" t="s">
        <v>28</v>
      </c>
      <c r="I1947" s="7771" t="s">
        <v>921</v>
      </c>
    </row>
    <row customHeight="1" ht="11.25">
      <c r="A1948" s="7771" t="s">
        <v>2266</v>
      </c>
      <c r="B1948" s="7771" t="s">
        <v>16</v>
      </c>
      <c r="C1948" s="7771" t="s">
        <v>5299</v>
      </c>
      <c r="D1948" s="7771" t="s">
        <v>5300</v>
      </c>
      <c r="E1948" s="7771" t="s">
        <v>5297</v>
      </c>
      <c r="F1948" s="7771" t="s">
        <v>5301</v>
      </c>
      <c r="G1948" s="7771" t="s">
        <v>28</v>
      </c>
      <c r="H1948" s="7771" t="s">
        <v>28</v>
      </c>
      <c r="I1948" s="7771" t="s">
        <v>921</v>
      </c>
    </row>
    <row customHeight="1" ht="11.25">
      <c r="A1949" s="7771" t="s">
        <v>2266</v>
      </c>
      <c r="B1949" s="7771" t="s">
        <v>16</v>
      </c>
      <c r="C1949" s="7771" t="s">
        <v>3574</v>
      </c>
      <c r="D1949" s="7771" t="s">
        <v>3575</v>
      </c>
      <c r="E1949" s="7771" t="s">
        <v>3576</v>
      </c>
      <c r="F1949" s="7771" t="s">
        <v>2655</v>
      </c>
      <c r="G1949" s="7771" t="s">
        <v>28</v>
      </c>
      <c r="H1949" s="7771" t="s">
        <v>28</v>
      </c>
      <c r="I1949" s="7771" t="s">
        <v>921</v>
      </c>
    </row>
    <row customHeight="1" ht="11.25">
      <c r="A1950" s="7771" t="s">
        <v>2266</v>
      </c>
      <c r="B1950" s="7771" t="s">
        <v>16</v>
      </c>
      <c r="C1950" s="7771" t="s">
        <v>3577</v>
      </c>
      <c r="D1950" s="7771" t="s">
        <v>3578</v>
      </c>
      <c r="E1950" s="7771" t="s">
        <v>3579</v>
      </c>
      <c r="F1950" s="7771" t="s">
        <v>2655</v>
      </c>
      <c r="G1950" s="7771" t="s">
        <v>3580</v>
      </c>
      <c r="H1950" s="7771" t="s">
        <v>28</v>
      </c>
      <c r="I1950" s="7771" t="s">
        <v>921</v>
      </c>
    </row>
    <row customHeight="1" ht="11.25">
      <c r="A1951" s="7771" t="s">
        <v>2266</v>
      </c>
      <c r="B1951" s="7771" t="s">
        <v>16</v>
      </c>
      <c r="C1951" s="7771" t="s">
        <v>5875</v>
      </c>
      <c r="D1951" s="7771" t="s">
        <v>5876</v>
      </c>
      <c r="E1951" s="7771" t="s">
        <v>5877</v>
      </c>
      <c r="F1951" s="7771" t="s">
        <v>2629</v>
      </c>
      <c r="G1951" s="7771" t="s">
        <v>28</v>
      </c>
      <c r="H1951" s="7771" t="s">
        <v>28</v>
      </c>
      <c r="I1951" s="7771" t="s">
        <v>921</v>
      </c>
    </row>
    <row customHeight="1" ht="11.25">
      <c r="A1952" s="7771" t="s">
        <v>2266</v>
      </c>
      <c r="B1952" s="7771" t="s">
        <v>16</v>
      </c>
      <c r="C1952" s="7771" t="s">
        <v>3581</v>
      </c>
      <c r="D1952" s="7771" t="s">
        <v>3582</v>
      </c>
      <c r="E1952" s="7771" t="s">
        <v>3583</v>
      </c>
      <c r="F1952" s="7771" t="s">
        <v>2503</v>
      </c>
      <c r="G1952" s="7771" t="s">
        <v>28</v>
      </c>
      <c r="H1952" s="7771" t="s">
        <v>28</v>
      </c>
      <c r="I1952" s="7771" t="s">
        <v>921</v>
      </c>
    </row>
    <row customHeight="1" ht="11.25">
      <c r="A1953" s="7771" t="s">
        <v>2266</v>
      </c>
      <c r="B1953" s="7771" t="s">
        <v>16</v>
      </c>
      <c r="C1953" s="7771" t="s">
        <v>3591</v>
      </c>
      <c r="D1953" s="7771" t="s">
        <v>3592</v>
      </c>
      <c r="E1953" s="7771" t="s">
        <v>3593</v>
      </c>
      <c r="F1953" s="7771" t="s">
        <v>2800</v>
      </c>
      <c r="G1953" s="7771" t="s">
        <v>28</v>
      </c>
      <c r="H1953" s="7771" t="s">
        <v>28</v>
      </c>
      <c r="I1953" s="7771" t="s">
        <v>921</v>
      </c>
    </row>
    <row customHeight="1" ht="11.25">
      <c r="A1954" s="7771" t="s">
        <v>2266</v>
      </c>
      <c r="B1954" s="7771" t="s">
        <v>16</v>
      </c>
      <c r="C1954" s="7771" t="s">
        <v>5304</v>
      </c>
      <c r="D1954" s="7771" t="s">
        <v>5305</v>
      </c>
      <c r="E1954" s="7771" t="s">
        <v>5306</v>
      </c>
      <c r="F1954" s="7771" t="s">
        <v>2503</v>
      </c>
      <c r="G1954" s="7771" t="s">
        <v>5307</v>
      </c>
      <c r="H1954" s="7771" t="s">
        <v>28</v>
      </c>
      <c r="I1954" s="7771" t="s">
        <v>921</v>
      </c>
    </row>
    <row customHeight="1" ht="11.25">
      <c r="A1955" s="7771" t="s">
        <v>2266</v>
      </c>
      <c r="B1955" s="7771" t="s">
        <v>16</v>
      </c>
      <c r="C1955" s="7771" t="s">
        <v>3601</v>
      </c>
      <c r="D1955" s="7771" t="s">
        <v>3602</v>
      </c>
      <c r="E1955" s="7771" t="s">
        <v>3603</v>
      </c>
      <c r="F1955" s="7771" t="s">
        <v>2372</v>
      </c>
      <c r="G1955" s="7771" t="s">
        <v>28</v>
      </c>
      <c r="H1955" s="7771" t="s">
        <v>28</v>
      </c>
      <c r="I1955" s="7771" t="s">
        <v>921</v>
      </c>
    </row>
    <row customHeight="1" ht="11.25">
      <c r="A1956" s="7771" t="s">
        <v>2266</v>
      </c>
      <c r="B1956" s="7771" t="s">
        <v>16</v>
      </c>
      <c r="C1956" s="7771" t="s">
        <v>5308</v>
      </c>
      <c r="D1956" s="7771" t="s">
        <v>5309</v>
      </c>
      <c r="E1956" s="7771" t="s">
        <v>5310</v>
      </c>
      <c r="F1956" s="7771" t="s">
        <v>2347</v>
      </c>
      <c r="G1956" s="7771" t="s">
        <v>5311</v>
      </c>
      <c r="H1956" s="7771" t="s">
        <v>28</v>
      </c>
      <c r="I1956" s="7771" t="s">
        <v>921</v>
      </c>
    </row>
    <row customHeight="1" ht="11.25">
      <c r="A1957" s="7771" t="s">
        <v>2266</v>
      </c>
      <c r="B1957" s="7771" t="s">
        <v>16</v>
      </c>
      <c r="C1957" s="7771" t="s">
        <v>3612</v>
      </c>
      <c r="D1957" s="7771" t="s">
        <v>3613</v>
      </c>
      <c r="E1957" s="7771" t="s">
        <v>3614</v>
      </c>
      <c r="F1957" s="7771" t="s">
        <v>2377</v>
      </c>
      <c r="G1957" s="7771" t="s">
        <v>3615</v>
      </c>
      <c r="H1957" s="7771" t="s">
        <v>28</v>
      </c>
      <c r="I1957" s="7771" t="s">
        <v>921</v>
      </c>
    </row>
    <row customHeight="1" ht="11.25">
      <c r="A1958" s="7771" t="s">
        <v>2266</v>
      </c>
      <c r="B1958" s="7771" t="s">
        <v>16</v>
      </c>
      <c r="C1958" s="7771" t="s">
        <v>3627</v>
      </c>
      <c r="D1958" s="7771" t="s">
        <v>3628</v>
      </c>
      <c r="E1958" s="7771" t="s">
        <v>3629</v>
      </c>
      <c r="F1958" s="7771" t="s">
        <v>2441</v>
      </c>
      <c r="G1958" s="7771" t="s">
        <v>28</v>
      </c>
      <c r="H1958" s="7771" t="s">
        <v>28</v>
      </c>
      <c r="I1958" s="7771" t="s">
        <v>921</v>
      </c>
    </row>
    <row customHeight="1" ht="11.25">
      <c r="A1959" s="7771" t="s">
        <v>2266</v>
      </c>
      <c r="B1959" s="7771" t="s">
        <v>16</v>
      </c>
      <c r="C1959" s="7771" t="s">
        <v>5878</v>
      </c>
      <c r="D1959" s="7771" t="s">
        <v>5317</v>
      </c>
      <c r="E1959" s="7771" t="s">
        <v>5879</v>
      </c>
      <c r="F1959" s="7771" t="s">
        <v>2295</v>
      </c>
      <c r="G1959" s="7771" t="s">
        <v>5880</v>
      </c>
      <c r="H1959" s="7771" t="s">
        <v>28</v>
      </c>
      <c r="I1959" s="7771" t="s">
        <v>921</v>
      </c>
    </row>
    <row customHeight="1" ht="11.25">
      <c r="A1960" s="7771" t="s">
        <v>2266</v>
      </c>
      <c r="B1960" s="7771" t="s">
        <v>16</v>
      </c>
      <c r="C1960" s="7771" t="s">
        <v>5320</v>
      </c>
      <c r="D1960" s="7771" t="s">
        <v>5321</v>
      </c>
      <c r="E1960" s="7771" t="s">
        <v>5322</v>
      </c>
      <c r="F1960" s="7771" t="s">
        <v>2372</v>
      </c>
      <c r="G1960" s="7771" t="s">
        <v>28</v>
      </c>
      <c r="H1960" s="7771" t="s">
        <v>28</v>
      </c>
      <c r="I1960" s="7771" t="s">
        <v>921</v>
      </c>
    </row>
    <row customHeight="1" ht="11.25">
      <c r="A1961" s="7771" t="s">
        <v>2266</v>
      </c>
      <c r="B1961" s="7771" t="s">
        <v>16</v>
      </c>
      <c r="C1961" s="7771" t="s">
        <v>5323</v>
      </c>
      <c r="D1961" s="7771" t="s">
        <v>5324</v>
      </c>
      <c r="E1961" s="7771" t="s">
        <v>5325</v>
      </c>
      <c r="F1961" s="7771" t="s">
        <v>5326</v>
      </c>
      <c r="G1961" s="7771" t="s">
        <v>5327</v>
      </c>
      <c r="H1961" s="7771" t="s">
        <v>28</v>
      </c>
      <c r="I1961" s="7771" t="s">
        <v>921</v>
      </c>
    </row>
    <row customHeight="1" ht="11.25">
      <c r="A1962" s="7771" t="s">
        <v>2266</v>
      </c>
      <c r="B1962" s="7771" t="s">
        <v>16</v>
      </c>
      <c r="C1962" s="7771" t="s">
        <v>3646</v>
      </c>
      <c r="D1962" s="7771" t="s">
        <v>3647</v>
      </c>
      <c r="E1962" s="7771" t="s">
        <v>3648</v>
      </c>
      <c r="F1962" s="7771" t="s">
        <v>2629</v>
      </c>
      <c r="G1962" s="7771" t="s">
        <v>3649</v>
      </c>
      <c r="H1962" s="7771" t="s">
        <v>28</v>
      </c>
      <c r="I1962" s="7771" t="s">
        <v>921</v>
      </c>
    </row>
    <row customHeight="1" ht="11.25">
      <c r="A1963" s="7771" t="s">
        <v>2266</v>
      </c>
      <c r="B1963" s="7771" t="s">
        <v>16</v>
      </c>
      <c r="C1963" s="7771" t="s">
        <v>3653</v>
      </c>
      <c r="D1963" s="7771" t="s">
        <v>3654</v>
      </c>
      <c r="E1963" s="7771" t="s">
        <v>3655</v>
      </c>
      <c r="F1963" s="7771" t="s">
        <v>2280</v>
      </c>
      <c r="G1963" s="7771" t="s">
        <v>3656</v>
      </c>
      <c r="H1963" s="7771" t="s">
        <v>28</v>
      </c>
      <c r="I1963" s="7771" t="s">
        <v>921</v>
      </c>
    </row>
    <row customHeight="1" ht="11.25">
      <c r="A1964" s="7771" t="s">
        <v>2266</v>
      </c>
      <c r="B1964" s="7771" t="s">
        <v>16</v>
      </c>
      <c r="C1964" s="7771" t="s">
        <v>5328</v>
      </c>
      <c r="D1964" s="7771" t="s">
        <v>5329</v>
      </c>
      <c r="E1964" s="7771" t="s">
        <v>5330</v>
      </c>
      <c r="F1964" s="7771" t="s">
        <v>2446</v>
      </c>
      <c r="G1964" s="7771" t="s">
        <v>5331</v>
      </c>
      <c r="H1964" s="7771" t="s">
        <v>28</v>
      </c>
      <c r="I1964" s="7771" t="s">
        <v>921</v>
      </c>
    </row>
    <row customHeight="1" ht="11.25">
      <c r="A1965" s="7771" t="s">
        <v>2266</v>
      </c>
      <c r="B1965" s="7771" t="s">
        <v>16</v>
      </c>
      <c r="C1965" s="7771" t="s">
        <v>5332</v>
      </c>
      <c r="D1965" s="7771" t="s">
        <v>5333</v>
      </c>
      <c r="E1965" s="7771" t="s">
        <v>5334</v>
      </c>
      <c r="F1965" s="7771" t="s">
        <v>2592</v>
      </c>
      <c r="G1965" s="7771" t="s">
        <v>28</v>
      </c>
      <c r="H1965" s="7771" t="s">
        <v>28</v>
      </c>
      <c r="I1965" s="7771" t="s">
        <v>921</v>
      </c>
    </row>
    <row customHeight="1" ht="11.25">
      <c r="A1966" s="7771" t="s">
        <v>2266</v>
      </c>
      <c r="B1966" s="7771" t="s">
        <v>16</v>
      </c>
      <c r="C1966" s="7771" t="s">
        <v>3665</v>
      </c>
      <c r="D1966" s="7771" t="s">
        <v>3666</v>
      </c>
      <c r="E1966" s="7771" t="s">
        <v>3667</v>
      </c>
      <c r="F1966" s="7771" t="s">
        <v>2347</v>
      </c>
      <c r="G1966" s="7771" t="s">
        <v>3668</v>
      </c>
      <c r="H1966" s="7771" t="s">
        <v>28</v>
      </c>
      <c r="I1966" s="7771" t="s">
        <v>921</v>
      </c>
    </row>
    <row customHeight="1" ht="11.25">
      <c r="A1967" s="7771" t="s">
        <v>2266</v>
      </c>
      <c r="B1967" s="7771" t="s">
        <v>16</v>
      </c>
      <c r="C1967" s="7771" t="s">
        <v>5335</v>
      </c>
      <c r="D1967" s="7771" t="s">
        <v>5336</v>
      </c>
      <c r="E1967" s="7771" t="s">
        <v>5337</v>
      </c>
      <c r="F1967" s="7771" t="s">
        <v>5338</v>
      </c>
      <c r="G1967" s="7771" t="s">
        <v>5339</v>
      </c>
      <c r="H1967" s="7771" t="s">
        <v>28</v>
      </c>
      <c r="I1967" s="7771" t="s">
        <v>921</v>
      </c>
    </row>
    <row customHeight="1" ht="11.25">
      <c r="A1968" s="7771" t="s">
        <v>2266</v>
      </c>
      <c r="B1968" s="7771" t="s">
        <v>16</v>
      </c>
      <c r="C1968" s="7771" t="s">
        <v>5340</v>
      </c>
      <c r="D1968" s="7771" t="s">
        <v>5341</v>
      </c>
      <c r="E1968" s="7771" t="s">
        <v>5342</v>
      </c>
      <c r="F1968" s="7771" t="s">
        <v>2280</v>
      </c>
      <c r="G1968" s="7771" t="s">
        <v>5343</v>
      </c>
      <c r="H1968" s="7771" t="s">
        <v>28</v>
      </c>
      <c r="I1968" s="7771" t="s">
        <v>921</v>
      </c>
    </row>
    <row customHeight="1" ht="11.25">
      <c r="A1969" s="7771" t="s">
        <v>2266</v>
      </c>
      <c r="B1969" s="7771" t="s">
        <v>16</v>
      </c>
      <c r="C1969" s="7771" t="s">
        <v>5348</v>
      </c>
      <c r="D1969" s="7771" t="s">
        <v>5349</v>
      </c>
      <c r="E1969" s="7771" t="s">
        <v>5350</v>
      </c>
      <c r="F1969" s="7771" t="s">
        <v>2280</v>
      </c>
      <c r="G1969" s="7771" t="s">
        <v>28</v>
      </c>
      <c r="H1969" s="7771" t="s">
        <v>28</v>
      </c>
      <c r="I1969" s="7771" t="s">
        <v>921</v>
      </c>
    </row>
    <row customHeight="1" ht="11.25">
      <c r="A1970" s="7771" t="s">
        <v>2266</v>
      </c>
      <c r="B1970" s="7771" t="s">
        <v>16</v>
      </c>
      <c r="C1970" s="7771" t="s">
        <v>3684</v>
      </c>
      <c r="D1970" s="7771" t="s">
        <v>3685</v>
      </c>
      <c r="E1970" s="7771" t="s">
        <v>3686</v>
      </c>
      <c r="F1970" s="7771" t="s">
        <v>2629</v>
      </c>
      <c r="G1970" s="7771" t="s">
        <v>3687</v>
      </c>
      <c r="H1970" s="7771" t="s">
        <v>28</v>
      </c>
      <c r="I1970" s="7771" t="s">
        <v>921</v>
      </c>
    </row>
    <row customHeight="1" ht="11.25">
      <c r="A1971" s="7771" t="s">
        <v>2266</v>
      </c>
      <c r="B1971" s="7771" t="s">
        <v>16</v>
      </c>
      <c r="C1971" s="7771" t="s">
        <v>5359</v>
      </c>
      <c r="D1971" s="7771" t="s">
        <v>5360</v>
      </c>
      <c r="E1971" s="7771" t="s">
        <v>5361</v>
      </c>
      <c r="F1971" s="7771" t="s">
        <v>2503</v>
      </c>
      <c r="G1971" s="7771" t="s">
        <v>28</v>
      </c>
      <c r="H1971" s="7771" t="s">
        <v>28</v>
      </c>
      <c r="I1971" s="7771" t="s">
        <v>921</v>
      </c>
    </row>
    <row customHeight="1" ht="11.25">
      <c r="A1972" s="7771" t="s">
        <v>2266</v>
      </c>
      <c r="B1972" s="7771" t="s">
        <v>16</v>
      </c>
      <c r="C1972" s="7771" t="s">
        <v>5881</v>
      </c>
      <c r="D1972" s="7771" t="s">
        <v>5882</v>
      </c>
      <c r="E1972" s="7771" t="s">
        <v>5883</v>
      </c>
      <c r="F1972" s="7771" t="s">
        <v>2347</v>
      </c>
      <c r="G1972" s="7771" t="s">
        <v>28</v>
      </c>
      <c r="H1972" s="7771" t="s">
        <v>28</v>
      </c>
      <c r="I1972" s="7771" t="s">
        <v>921</v>
      </c>
    </row>
    <row customHeight="1" ht="11.25">
      <c r="A1973" s="7771" t="s">
        <v>2266</v>
      </c>
      <c r="B1973" s="7771" t="s">
        <v>16</v>
      </c>
      <c r="C1973" s="7771" t="s">
        <v>3692</v>
      </c>
      <c r="D1973" s="7771" t="s">
        <v>3693</v>
      </c>
      <c r="E1973" s="7771" t="s">
        <v>3694</v>
      </c>
      <c r="F1973" s="7771" t="s">
        <v>2592</v>
      </c>
      <c r="G1973" s="7771" t="s">
        <v>3695</v>
      </c>
      <c r="H1973" s="7771" t="s">
        <v>28</v>
      </c>
      <c r="I1973" s="7771" t="s">
        <v>921</v>
      </c>
    </row>
    <row customHeight="1" ht="11.25">
      <c r="A1974" s="7771" t="s">
        <v>2266</v>
      </c>
      <c r="B1974" s="7771" t="s">
        <v>16</v>
      </c>
      <c r="C1974" s="7771" t="s">
        <v>5362</v>
      </c>
      <c r="D1974" s="7771" t="s">
        <v>5363</v>
      </c>
      <c r="E1974" s="7771" t="s">
        <v>5364</v>
      </c>
      <c r="F1974" s="7771" t="s">
        <v>2933</v>
      </c>
      <c r="G1974" s="7771" t="s">
        <v>5365</v>
      </c>
      <c r="H1974" s="7771" t="s">
        <v>28</v>
      </c>
      <c r="I1974" s="7771" t="s">
        <v>921</v>
      </c>
    </row>
    <row customHeight="1" ht="11.25">
      <c r="A1975" s="7771" t="s">
        <v>2266</v>
      </c>
      <c r="B1975" s="7771" t="s">
        <v>16</v>
      </c>
      <c r="C1975" s="7771" t="s">
        <v>5366</v>
      </c>
      <c r="D1975" s="7771" t="s">
        <v>5367</v>
      </c>
      <c r="E1975" s="7771" t="s">
        <v>5368</v>
      </c>
      <c r="F1975" s="7771" t="s">
        <v>2468</v>
      </c>
      <c r="G1975" s="7771" t="s">
        <v>5369</v>
      </c>
      <c r="H1975" s="7771" t="s">
        <v>28</v>
      </c>
      <c r="I1975" s="7771" t="s">
        <v>921</v>
      </c>
    </row>
    <row customHeight="1" ht="11.25">
      <c r="A1976" s="7771" t="s">
        <v>2266</v>
      </c>
      <c r="B1976" s="7771" t="s">
        <v>16</v>
      </c>
      <c r="C1976" s="7771" t="s">
        <v>5370</v>
      </c>
      <c r="D1976" s="7771" t="s">
        <v>5371</v>
      </c>
      <c r="E1976" s="7771" t="s">
        <v>5372</v>
      </c>
      <c r="F1976" s="7771" t="s">
        <v>2285</v>
      </c>
      <c r="G1976" s="7771" t="s">
        <v>28</v>
      </c>
      <c r="H1976" s="7771" t="s">
        <v>28</v>
      </c>
      <c r="I1976" s="7771" t="s">
        <v>921</v>
      </c>
    </row>
    <row customHeight="1" ht="11.25">
      <c r="A1977" s="7771" t="s">
        <v>2266</v>
      </c>
      <c r="B1977" s="7771" t="s">
        <v>16</v>
      </c>
      <c r="C1977" s="7771" t="s">
        <v>5373</v>
      </c>
      <c r="D1977" s="7771" t="s">
        <v>5374</v>
      </c>
      <c r="E1977" s="7771" t="s">
        <v>5375</v>
      </c>
      <c r="F1977" s="7771" t="s">
        <v>2280</v>
      </c>
      <c r="G1977" s="7771" t="s">
        <v>28</v>
      </c>
      <c r="H1977" s="7771" t="s">
        <v>28</v>
      </c>
      <c r="I1977" s="7771" t="s">
        <v>921</v>
      </c>
    </row>
    <row customHeight="1" ht="11.25">
      <c r="A1978" s="7771" t="s">
        <v>2266</v>
      </c>
      <c r="B1978" s="7771" t="s">
        <v>16</v>
      </c>
      <c r="C1978" s="7771" t="s">
        <v>3699</v>
      </c>
      <c r="D1978" s="7771" t="s">
        <v>3700</v>
      </c>
      <c r="E1978" s="7771" t="s">
        <v>3701</v>
      </c>
      <c r="F1978" s="7771" t="s">
        <v>2390</v>
      </c>
      <c r="G1978" s="7771" t="s">
        <v>28</v>
      </c>
      <c r="H1978" s="7771" t="s">
        <v>28</v>
      </c>
      <c r="I1978" s="7771" t="s">
        <v>921</v>
      </c>
    </row>
    <row customHeight="1" ht="11.25">
      <c r="A1979" s="7771" t="s">
        <v>2266</v>
      </c>
      <c r="B1979" s="7771" t="s">
        <v>16</v>
      </c>
      <c r="C1979" s="7771" t="s">
        <v>3702</v>
      </c>
      <c r="D1979" s="7771" t="s">
        <v>3703</v>
      </c>
      <c r="E1979" s="7771" t="s">
        <v>3704</v>
      </c>
      <c r="F1979" s="7771" t="s">
        <v>3705</v>
      </c>
      <c r="G1979" s="7771" t="s">
        <v>28</v>
      </c>
      <c r="H1979" s="7771" t="s">
        <v>28</v>
      </c>
      <c r="I1979" s="7771" t="s">
        <v>921</v>
      </c>
    </row>
    <row customHeight="1" ht="11.25">
      <c r="A1980" s="7771" t="s">
        <v>2266</v>
      </c>
      <c r="B1980" s="7771" t="s">
        <v>16</v>
      </c>
      <c r="C1980" s="7771" t="s">
        <v>3706</v>
      </c>
      <c r="D1980" s="7771" t="s">
        <v>3707</v>
      </c>
      <c r="E1980" s="7771" t="s">
        <v>3708</v>
      </c>
      <c r="F1980" s="7771" t="s">
        <v>2518</v>
      </c>
      <c r="G1980" s="7771" t="s">
        <v>28</v>
      </c>
      <c r="H1980" s="7771" t="s">
        <v>28</v>
      </c>
      <c r="I1980" s="7771" t="s">
        <v>921</v>
      </c>
    </row>
    <row customHeight="1" ht="11.25">
      <c r="A1981" s="7771" t="s">
        <v>2266</v>
      </c>
      <c r="B1981" s="7771" t="s">
        <v>16</v>
      </c>
      <c r="C1981" s="7771" t="s">
        <v>3715</v>
      </c>
      <c r="D1981" s="7771" t="s">
        <v>3716</v>
      </c>
      <c r="E1981" s="7771" t="s">
        <v>3717</v>
      </c>
      <c r="F1981" s="7771" t="s">
        <v>2441</v>
      </c>
      <c r="G1981" s="7771" t="s">
        <v>3718</v>
      </c>
      <c r="H1981" s="7771" t="s">
        <v>28</v>
      </c>
      <c r="I1981" s="7771" t="s">
        <v>921</v>
      </c>
    </row>
    <row customHeight="1" ht="11.25">
      <c r="A1982" s="7771" t="s">
        <v>2266</v>
      </c>
      <c r="B1982" s="7771" t="s">
        <v>16</v>
      </c>
      <c r="C1982" s="7771" t="s">
        <v>3719</v>
      </c>
      <c r="D1982" s="7771" t="s">
        <v>3720</v>
      </c>
      <c r="E1982" s="7771" t="s">
        <v>3721</v>
      </c>
      <c r="F1982" s="7771" t="s">
        <v>2451</v>
      </c>
      <c r="G1982" s="7771" t="s">
        <v>3722</v>
      </c>
      <c r="H1982" s="7771" t="s">
        <v>28</v>
      </c>
      <c r="I1982" s="7771" t="s">
        <v>921</v>
      </c>
    </row>
    <row customHeight="1" ht="11.25">
      <c r="A1983" s="7771" t="s">
        <v>2266</v>
      </c>
      <c r="B1983" s="7771" t="s">
        <v>16</v>
      </c>
      <c r="C1983" s="7771" t="s">
        <v>5376</v>
      </c>
      <c r="D1983" s="7771" t="s">
        <v>5377</v>
      </c>
      <c r="E1983" s="7771" t="s">
        <v>5378</v>
      </c>
      <c r="F1983" s="7771" t="s">
        <v>2280</v>
      </c>
      <c r="G1983" s="7771" t="s">
        <v>5379</v>
      </c>
      <c r="H1983" s="7771" t="s">
        <v>28</v>
      </c>
      <c r="I1983" s="7771" t="s">
        <v>921</v>
      </c>
    </row>
    <row customHeight="1" ht="11.25">
      <c r="A1984" s="7771" t="s">
        <v>2266</v>
      </c>
      <c r="B1984" s="7771" t="s">
        <v>16</v>
      </c>
      <c r="C1984" s="7771" t="s">
        <v>5380</v>
      </c>
      <c r="D1984" s="7771" t="s">
        <v>5381</v>
      </c>
      <c r="E1984" s="7771" t="s">
        <v>5382</v>
      </c>
      <c r="F1984" s="7771" t="s">
        <v>2347</v>
      </c>
      <c r="G1984" s="7771" t="s">
        <v>5383</v>
      </c>
      <c r="H1984" s="7771" t="s">
        <v>28</v>
      </c>
      <c r="I1984" s="7771" t="s">
        <v>921</v>
      </c>
    </row>
    <row customHeight="1" ht="11.25">
      <c r="A1985" s="7771" t="s">
        <v>2266</v>
      </c>
      <c r="B1985" s="7771" t="s">
        <v>16</v>
      </c>
      <c r="C1985" s="7771" t="s">
        <v>5384</v>
      </c>
      <c r="D1985" s="7771" t="s">
        <v>5385</v>
      </c>
      <c r="E1985" s="7771" t="s">
        <v>5386</v>
      </c>
      <c r="F1985" s="7771" t="s">
        <v>2377</v>
      </c>
      <c r="G1985" s="7771" t="s">
        <v>5387</v>
      </c>
      <c r="H1985" s="7771" t="s">
        <v>28</v>
      </c>
      <c r="I1985" s="7771" t="s">
        <v>921</v>
      </c>
    </row>
    <row customHeight="1" ht="11.25">
      <c r="A1986" s="7771" t="s">
        <v>2266</v>
      </c>
      <c r="B1986" s="7771" t="s">
        <v>16</v>
      </c>
      <c r="C1986" s="7771" t="s">
        <v>5392</v>
      </c>
      <c r="D1986" s="7771" t="s">
        <v>5393</v>
      </c>
      <c r="E1986" s="7771" t="s">
        <v>5394</v>
      </c>
      <c r="F1986" s="7771" t="s">
        <v>2285</v>
      </c>
      <c r="G1986" s="7771" t="s">
        <v>5395</v>
      </c>
      <c r="H1986" s="7771" t="s">
        <v>28</v>
      </c>
      <c r="I1986" s="7771" t="s">
        <v>921</v>
      </c>
    </row>
    <row customHeight="1" ht="11.25">
      <c r="A1987" s="7771" t="s">
        <v>2266</v>
      </c>
      <c r="B1987" s="7771" t="s">
        <v>16</v>
      </c>
      <c r="C1987" s="7771" t="s">
        <v>5396</v>
      </c>
      <c r="D1987" s="7771" t="s">
        <v>5397</v>
      </c>
      <c r="E1987" s="7771" t="s">
        <v>5398</v>
      </c>
      <c r="F1987" s="7771" t="s">
        <v>2285</v>
      </c>
      <c r="G1987" s="7771" t="s">
        <v>5399</v>
      </c>
      <c r="H1987" s="7771" t="s">
        <v>28</v>
      </c>
      <c r="I1987" s="7771" t="s">
        <v>921</v>
      </c>
    </row>
    <row customHeight="1" ht="11.25">
      <c r="A1988" s="7771" t="s">
        <v>2266</v>
      </c>
      <c r="B1988" s="7771" t="s">
        <v>16</v>
      </c>
      <c r="C1988" s="7771" t="s">
        <v>5400</v>
      </c>
      <c r="D1988" s="7771" t="s">
        <v>5401</v>
      </c>
      <c r="E1988" s="7771" t="s">
        <v>5402</v>
      </c>
      <c r="F1988" s="7771" t="s">
        <v>2347</v>
      </c>
      <c r="G1988" s="7771" t="s">
        <v>28</v>
      </c>
      <c r="H1988" s="7771" t="s">
        <v>28</v>
      </c>
      <c r="I1988" s="7771" t="s">
        <v>921</v>
      </c>
    </row>
    <row customHeight="1" ht="11.25">
      <c r="A1989" s="7771" t="s">
        <v>2266</v>
      </c>
      <c r="B1989" s="7771" t="s">
        <v>16</v>
      </c>
      <c r="C1989" s="7771" t="s">
        <v>4798</v>
      </c>
      <c r="D1989" s="7771" t="s">
        <v>4799</v>
      </c>
      <c r="E1989" s="7771" t="s">
        <v>4800</v>
      </c>
      <c r="F1989" s="7771" t="s">
        <v>2446</v>
      </c>
      <c r="G1989" s="7771" t="s">
        <v>4801</v>
      </c>
      <c r="H1989" s="7771" t="s">
        <v>28</v>
      </c>
      <c r="I1989" s="7771" t="s">
        <v>921</v>
      </c>
    </row>
    <row customHeight="1" ht="11.25">
      <c r="A1990" s="7771" t="s">
        <v>2266</v>
      </c>
      <c r="B1990" s="7771" t="s">
        <v>16</v>
      </c>
      <c r="C1990" s="7771" t="s">
        <v>5884</v>
      </c>
      <c r="D1990" s="7771" t="s">
        <v>5885</v>
      </c>
      <c r="E1990" s="7771" t="s">
        <v>5886</v>
      </c>
      <c r="F1990" s="7771" t="s">
        <v>2372</v>
      </c>
      <c r="G1990" s="7771" t="s">
        <v>5419</v>
      </c>
      <c r="H1990" s="7771" t="s">
        <v>28</v>
      </c>
      <c r="I1990" s="7771" t="s">
        <v>921</v>
      </c>
    </row>
    <row customHeight="1" ht="11.25">
      <c r="A1991" s="7771" t="s">
        <v>2266</v>
      </c>
      <c r="B1991" s="7771" t="s">
        <v>16</v>
      </c>
      <c r="C1991" s="7771" t="s">
        <v>5887</v>
      </c>
      <c r="D1991" s="7771" t="s">
        <v>5888</v>
      </c>
      <c r="E1991" s="7771" t="s">
        <v>5889</v>
      </c>
      <c r="F1991" s="7771" t="s">
        <v>2280</v>
      </c>
      <c r="G1991" s="7771" t="s">
        <v>28</v>
      </c>
      <c r="H1991" s="7771" t="s">
        <v>28</v>
      </c>
      <c r="I1991" s="7771" t="s">
        <v>921</v>
      </c>
    </row>
    <row customHeight="1" ht="11.25">
      <c r="A1992" s="7771" t="s">
        <v>2266</v>
      </c>
      <c r="B1992" s="7771" t="s">
        <v>16</v>
      </c>
      <c r="C1992" s="7771" t="s">
        <v>3746</v>
      </c>
      <c r="D1992" s="7771" t="s">
        <v>3747</v>
      </c>
      <c r="E1992" s="7771" t="s">
        <v>3748</v>
      </c>
      <c r="F1992" s="7771" t="s">
        <v>3749</v>
      </c>
      <c r="G1992" s="7771" t="s">
        <v>3750</v>
      </c>
      <c r="H1992" s="7771" t="s">
        <v>28</v>
      </c>
      <c r="I1992" s="7771" t="s">
        <v>921</v>
      </c>
    </row>
    <row customHeight="1" ht="11.25">
      <c r="A1993" s="7771" t="s">
        <v>2266</v>
      </c>
      <c r="B1993" s="7771" t="s">
        <v>16</v>
      </c>
      <c r="C1993" s="7771" t="s">
        <v>3763</v>
      </c>
      <c r="D1993" s="7771" t="s">
        <v>3764</v>
      </c>
      <c r="E1993" s="7771" t="s">
        <v>3765</v>
      </c>
      <c r="F1993" s="7771" t="s">
        <v>2503</v>
      </c>
      <c r="G1993" s="7771" t="s">
        <v>3766</v>
      </c>
      <c r="H1993" s="7771" t="s">
        <v>28</v>
      </c>
      <c r="I1993" s="7771" t="s">
        <v>921</v>
      </c>
    </row>
    <row customHeight="1" ht="11.25">
      <c r="A1994" s="7771" t="s">
        <v>2266</v>
      </c>
      <c r="B1994" s="7771" t="s">
        <v>16</v>
      </c>
      <c r="C1994" s="7771" t="s">
        <v>5403</v>
      </c>
      <c r="D1994" s="7771" t="s">
        <v>5404</v>
      </c>
      <c r="E1994" s="7771" t="s">
        <v>5405</v>
      </c>
      <c r="F1994" s="7771" t="s">
        <v>2468</v>
      </c>
      <c r="G1994" s="7771" t="s">
        <v>28</v>
      </c>
      <c r="H1994" s="7771" t="s">
        <v>28</v>
      </c>
      <c r="I1994" s="7771" t="s">
        <v>921</v>
      </c>
    </row>
    <row customHeight="1" ht="11.25">
      <c r="A1995" s="7771" t="s">
        <v>2266</v>
      </c>
      <c r="B1995" s="7771" t="s">
        <v>16</v>
      </c>
      <c r="C1995" s="7771" t="s">
        <v>5406</v>
      </c>
      <c r="D1995" s="7771" t="s">
        <v>5407</v>
      </c>
      <c r="E1995" s="7771" t="s">
        <v>5408</v>
      </c>
      <c r="F1995" s="7771" t="s">
        <v>3528</v>
      </c>
      <c r="G1995" s="7771" t="s">
        <v>28</v>
      </c>
      <c r="H1995" s="7771" t="s">
        <v>28</v>
      </c>
      <c r="I1995" s="7771" t="s">
        <v>921</v>
      </c>
    </row>
    <row customHeight="1" ht="11.25">
      <c r="A1996" s="7771" t="s">
        <v>2266</v>
      </c>
      <c r="B1996" s="7771" t="s">
        <v>16</v>
      </c>
      <c r="C1996" s="7771" t="s">
        <v>5409</v>
      </c>
      <c r="D1996" s="7771" t="s">
        <v>5410</v>
      </c>
      <c r="E1996" s="7771" t="s">
        <v>5411</v>
      </c>
      <c r="F1996" s="7771" t="s">
        <v>3726</v>
      </c>
      <c r="G1996" s="7771" t="s">
        <v>5412</v>
      </c>
      <c r="H1996" s="7771" t="s">
        <v>28</v>
      </c>
      <c r="I1996" s="7771" t="s">
        <v>921</v>
      </c>
    </row>
    <row customHeight="1" ht="11.25">
      <c r="A1997" s="7771" t="s">
        <v>2266</v>
      </c>
      <c r="B1997" s="7771" t="s">
        <v>16</v>
      </c>
      <c r="C1997" s="7771" t="s">
        <v>3777</v>
      </c>
      <c r="D1997" s="7771" t="s">
        <v>3778</v>
      </c>
      <c r="E1997" s="7771" t="s">
        <v>3779</v>
      </c>
      <c r="F1997" s="7771" t="s">
        <v>2377</v>
      </c>
      <c r="G1997" s="7771" t="s">
        <v>3780</v>
      </c>
      <c r="H1997" s="7771" t="s">
        <v>28</v>
      </c>
      <c r="I1997" s="7771" t="s">
        <v>921</v>
      </c>
    </row>
    <row customHeight="1" ht="11.25">
      <c r="A1998" s="7771" t="s">
        <v>2266</v>
      </c>
      <c r="B1998" s="7771" t="s">
        <v>16</v>
      </c>
      <c r="C1998" s="7771" t="s">
        <v>5413</v>
      </c>
      <c r="D1998" s="7771" t="s">
        <v>5414</v>
      </c>
      <c r="E1998" s="7771" t="s">
        <v>5415</v>
      </c>
      <c r="F1998" s="7771" t="s">
        <v>2285</v>
      </c>
      <c r="G1998" s="7771" t="s">
        <v>28</v>
      </c>
      <c r="H1998" s="7771" t="s">
        <v>28</v>
      </c>
      <c r="I1998" s="7771" t="s">
        <v>921</v>
      </c>
    </row>
    <row customHeight="1" ht="11.25">
      <c r="A1999" s="7771" t="s">
        <v>2266</v>
      </c>
      <c r="B1999" s="7771" t="s">
        <v>16</v>
      </c>
      <c r="C1999" s="7771" t="s">
        <v>4802</v>
      </c>
      <c r="D1999" s="7771" t="s">
        <v>4803</v>
      </c>
      <c r="E1999" s="7771" t="s">
        <v>4804</v>
      </c>
      <c r="F1999" s="7771" t="s">
        <v>2280</v>
      </c>
      <c r="G1999" s="7771" t="s">
        <v>4805</v>
      </c>
      <c r="H1999" s="7771" t="s">
        <v>28</v>
      </c>
      <c r="I1999" s="7771" t="s">
        <v>921</v>
      </c>
    </row>
    <row customHeight="1" ht="11.25">
      <c r="A2000" s="7771" t="s">
        <v>2266</v>
      </c>
      <c r="B2000" s="7771" t="s">
        <v>16</v>
      </c>
      <c r="C2000" s="7771" t="s">
        <v>5890</v>
      </c>
      <c r="D2000" s="7771" t="s">
        <v>5891</v>
      </c>
      <c r="E2000" s="7771" t="s">
        <v>5892</v>
      </c>
      <c r="F2000" s="7771" t="s">
        <v>5893</v>
      </c>
      <c r="G2000" s="7771" t="s">
        <v>28</v>
      </c>
      <c r="H2000" s="7771" t="s">
        <v>28</v>
      </c>
      <c r="I2000" s="7771" t="s">
        <v>921</v>
      </c>
    </row>
    <row customHeight="1" ht="11.25">
      <c r="A2001" s="7771" t="s">
        <v>2266</v>
      </c>
      <c r="B2001" s="7771" t="s">
        <v>16</v>
      </c>
      <c r="C2001" s="7771" t="s">
        <v>5420</v>
      </c>
      <c r="D2001" s="7771" t="s">
        <v>5421</v>
      </c>
      <c r="E2001" s="7771" t="s">
        <v>5422</v>
      </c>
      <c r="F2001" s="7771" t="s">
        <v>2280</v>
      </c>
      <c r="G2001" s="7771" t="s">
        <v>28</v>
      </c>
      <c r="H2001" s="7771" t="s">
        <v>28</v>
      </c>
      <c r="I2001" s="7771" t="s">
        <v>921</v>
      </c>
    </row>
    <row customHeight="1" ht="11.25">
      <c r="A2002" s="7771" t="s">
        <v>2266</v>
      </c>
      <c r="B2002" s="7771" t="s">
        <v>16</v>
      </c>
      <c r="C2002" s="7771" t="s">
        <v>5426</v>
      </c>
      <c r="D2002" s="7771" t="s">
        <v>5427</v>
      </c>
      <c r="E2002" s="7771" t="s">
        <v>5428</v>
      </c>
      <c r="F2002" s="7771" t="s">
        <v>2360</v>
      </c>
      <c r="G2002" s="7771" t="s">
        <v>5429</v>
      </c>
      <c r="H2002" s="7771" t="s">
        <v>28</v>
      </c>
      <c r="I2002" s="7771" t="s">
        <v>921</v>
      </c>
    </row>
    <row customHeight="1" ht="11.25">
      <c r="A2003" s="7771" t="s">
        <v>2266</v>
      </c>
      <c r="B2003" s="7771" t="s">
        <v>16</v>
      </c>
      <c r="C2003" s="7771" t="s">
        <v>5430</v>
      </c>
      <c r="D2003" s="7771" t="s">
        <v>5431</v>
      </c>
      <c r="E2003" s="7771" t="s">
        <v>5432</v>
      </c>
      <c r="F2003" s="7771" t="s">
        <v>2425</v>
      </c>
      <c r="G2003" s="7771" t="s">
        <v>28</v>
      </c>
      <c r="H2003" s="7771" t="s">
        <v>28</v>
      </c>
      <c r="I2003" s="7771" t="s">
        <v>921</v>
      </c>
    </row>
    <row customHeight="1" ht="11.25">
      <c r="A2004" s="7771" t="s">
        <v>2266</v>
      </c>
      <c r="B2004" s="7771" t="s">
        <v>16</v>
      </c>
      <c r="C2004" s="7771" t="s">
        <v>3792</v>
      </c>
      <c r="D2004" s="7771" t="s">
        <v>3793</v>
      </c>
      <c r="E2004" s="7771" t="s">
        <v>3794</v>
      </c>
      <c r="F2004" s="7771" t="s">
        <v>2342</v>
      </c>
      <c r="G2004" s="7771" t="s">
        <v>2404</v>
      </c>
      <c r="H2004" s="7771" t="s">
        <v>28</v>
      </c>
      <c r="I2004" s="7771" t="s">
        <v>921</v>
      </c>
    </row>
    <row customHeight="1" ht="11.25">
      <c r="A2005" s="7771" t="s">
        <v>2266</v>
      </c>
      <c r="B2005" s="7771" t="s">
        <v>16</v>
      </c>
      <c r="C2005" s="7771" t="s">
        <v>5433</v>
      </c>
      <c r="D2005" s="7771" t="s">
        <v>5434</v>
      </c>
      <c r="E2005" s="7771" t="s">
        <v>5435</v>
      </c>
      <c r="F2005" s="7771" t="s">
        <v>2280</v>
      </c>
      <c r="G2005" s="7771" t="s">
        <v>5436</v>
      </c>
      <c r="H2005" s="7771" t="s">
        <v>28</v>
      </c>
      <c r="I2005" s="7771" t="s">
        <v>921</v>
      </c>
    </row>
    <row customHeight="1" ht="11.25">
      <c r="A2006" s="7771" t="s">
        <v>2266</v>
      </c>
      <c r="B2006" s="7771" t="s">
        <v>16</v>
      </c>
      <c r="C2006" s="7771" t="s">
        <v>3806</v>
      </c>
      <c r="D2006" s="7771" t="s">
        <v>3807</v>
      </c>
      <c r="E2006" s="7771" t="s">
        <v>3808</v>
      </c>
      <c r="F2006" s="7771" t="s">
        <v>3222</v>
      </c>
      <c r="G2006" s="7771" t="s">
        <v>3809</v>
      </c>
      <c r="H2006" s="7771" t="s">
        <v>28</v>
      </c>
      <c r="I2006" s="7771" t="s">
        <v>921</v>
      </c>
    </row>
    <row customHeight="1" ht="11.25">
      <c r="A2007" s="7771" t="s">
        <v>2266</v>
      </c>
      <c r="B2007" s="7771" t="s">
        <v>16</v>
      </c>
      <c r="C2007" s="7771" t="s">
        <v>5441</v>
      </c>
      <c r="D2007" s="7771" t="s">
        <v>5442</v>
      </c>
      <c r="E2007" s="7771" t="s">
        <v>5443</v>
      </c>
      <c r="F2007" s="7771" t="s">
        <v>2451</v>
      </c>
      <c r="G2007" s="7771" t="s">
        <v>5444</v>
      </c>
      <c r="H2007" s="7771" t="s">
        <v>28</v>
      </c>
      <c r="I2007" s="7771" t="s">
        <v>921</v>
      </c>
    </row>
    <row customHeight="1" ht="11.25">
      <c r="A2008" s="7771" t="s">
        <v>2266</v>
      </c>
      <c r="B2008" s="7771" t="s">
        <v>16</v>
      </c>
      <c r="C2008" s="7771" t="s">
        <v>5449</v>
      </c>
      <c r="D2008" s="7771" t="s">
        <v>5450</v>
      </c>
      <c r="E2008" s="7771" t="s">
        <v>5451</v>
      </c>
      <c r="F2008" s="7771" t="s">
        <v>2385</v>
      </c>
      <c r="G2008" s="7771" t="s">
        <v>5452</v>
      </c>
      <c r="H2008" s="7771" t="s">
        <v>28</v>
      </c>
      <c r="I2008" s="7771" t="s">
        <v>921</v>
      </c>
    </row>
    <row customHeight="1" ht="11.25">
      <c r="A2009" s="7771" t="s">
        <v>2266</v>
      </c>
      <c r="B2009" s="7771" t="s">
        <v>16</v>
      </c>
      <c r="C2009" s="7771" t="s">
        <v>5453</v>
      </c>
      <c r="D2009" s="7771" t="s">
        <v>5454</v>
      </c>
      <c r="E2009" s="7771" t="s">
        <v>5455</v>
      </c>
      <c r="F2009" s="7771" t="s">
        <v>2295</v>
      </c>
      <c r="G2009" s="7771" t="s">
        <v>28</v>
      </c>
      <c r="H2009" s="7771" t="s">
        <v>28</v>
      </c>
      <c r="I2009" s="7771" t="s">
        <v>921</v>
      </c>
    </row>
    <row customHeight="1" ht="11.25">
      <c r="A2010" s="7771" t="s">
        <v>2266</v>
      </c>
      <c r="B2010" s="7771" t="s">
        <v>16</v>
      </c>
      <c r="C2010" s="7771" t="s">
        <v>3821</v>
      </c>
      <c r="D2010" s="7771" t="s">
        <v>3822</v>
      </c>
      <c r="E2010" s="7771" t="s">
        <v>3823</v>
      </c>
      <c r="F2010" s="7771" t="s">
        <v>2342</v>
      </c>
      <c r="G2010" s="7771" t="s">
        <v>28</v>
      </c>
      <c r="H2010" s="7771" t="s">
        <v>28</v>
      </c>
      <c r="I2010" s="7771" t="s">
        <v>921</v>
      </c>
    </row>
    <row customHeight="1" ht="11.25">
      <c r="A2011" s="7771" t="s">
        <v>2266</v>
      </c>
      <c r="B2011" s="7771" t="s">
        <v>16</v>
      </c>
      <c r="C2011" s="7771" t="s">
        <v>5456</v>
      </c>
      <c r="D2011" s="7771" t="s">
        <v>5457</v>
      </c>
      <c r="E2011" s="7771" t="s">
        <v>5458</v>
      </c>
      <c r="F2011" s="7771" t="s">
        <v>2655</v>
      </c>
      <c r="G2011" s="7771" t="s">
        <v>28</v>
      </c>
      <c r="H2011" s="7771" t="s">
        <v>28</v>
      </c>
      <c r="I2011" s="7771" t="s">
        <v>921</v>
      </c>
    </row>
    <row customHeight="1" ht="11.25">
      <c r="A2012" s="7771" t="s">
        <v>2266</v>
      </c>
      <c r="B2012" s="7771" t="s">
        <v>16</v>
      </c>
      <c r="C2012" s="7771" t="s">
        <v>5894</v>
      </c>
      <c r="D2012" s="7771" t="s">
        <v>5895</v>
      </c>
      <c r="E2012" s="7771" t="s">
        <v>5896</v>
      </c>
      <c r="F2012" s="7771" t="s">
        <v>5897</v>
      </c>
      <c r="G2012" s="7771" t="s">
        <v>28</v>
      </c>
      <c r="H2012" s="7771" t="s">
        <v>28</v>
      </c>
      <c r="I2012" s="7771" t="s">
        <v>921</v>
      </c>
    </row>
    <row customHeight="1" ht="11.25">
      <c r="A2013" s="7771" t="s">
        <v>2266</v>
      </c>
      <c r="B2013" s="7771" t="s">
        <v>16</v>
      </c>
      <c r="C2013" s="7771" t="s">
        <v>3835</v>
      </c>
      <c r="D2013" s="7771" t="s">
        <v>3836</v>
      </c>
      <c r="E2013" s="7771" t="s">
        <v>3837</v>
      </c>
      <c r="F2013" s="7771" t="s">
        <v>2399</v>
      </c>
      <c r="G2013" s="7771" t="s">
        <v>28</v>
      </c>
      <c r="H2013" s="7771" t="s">
        <v>28</v>
      </c>
      <c r="I2013" s="7771" t="s">
        <v>921</v>
      </c>
    </row>
    <row customHeight="1" ht="11.25">
      <c r="A2014" s="7771" t="s">
        <v>2266</v>
      </c>
      <c r="B2014" s="7771" t="s">
        <v>16</v>
      </c>
      <c r="C2014" s="7771" t="s">
        <v>5898</v>
      </c>
      <c r="D2014" s="7771" t="s">
        <v>5899</v>
      </c>
      <c r="E2014" s="7771" t="s">
        <v>5900</v>
      </c>
      <c r="F2014" s="7771" t="s">
        <v>2377</v>
      </c>
      <c r="G2014" s="7771" t="s">
        <v>28</v>
      </c>
      <c r="H2014" s="7771" t="s">
        <v>28</v>
      </c>
      <c r="I2014" s="7771" t="s">
        <v>921</v>
      </c>
    </row>
    <row customHeight="1" ht="11.25">
      <c r="A2015" s="7771" t="s">
        <v>2266</v>
      </c>
      <c r="B2015" s="7771" t="s">
        <v>16</v>
      </c>
      <c r="C2015" s="7771" t="s">
        <v>5459</v>
      </c>
      <c r="D2015" s="7771" t="s">
        <v>5460</v>
      </c>
      <c r="E2015" s="7771" t="s">
        <v>5461</v>
      </c>
      <c r="F2015" s="7771" t="s">
        <v>2377</v>
      </c>
      <c r="G2015" s="7771" t="s">
        <v>28</v>
      </c>
      <c r="H2015" s="7771" t="s">
        <v>28</v>
      </c>
      <c r="I2015" s="7771" t="s">
        <v>921</v>
      </c>
    </row>
    <row customHeight="1" ht="11.25">
      <c r="A2016" s="7771" t="s">
        <v>2266</v>
      </c>
      <c r="B2016" s="7771" t="s">
        <v>16</v>
      </c>
      <c r="C2016" s="7771" t="s">
        <v>5466</v>
      </c>
      <c r="D2016" s="7771" t="s">
        <v>5467</v>
      </c>
      <c r="E2016" s="7771" t="s">
        <v>5468</v>
      </c>
      <c r="F2016" s="7771" t="s">
        <v>2385</v>
      </c>
      <c r="G2016" s="7771" t="s">
        <v>5469</v>
      </c>
      <c r="H2016" s="7771" t="s">
        <v>28</v>
      </c>
      <c r="I2016" s="7771" t="s">
        <v>921</v>
      </c>
    </row>
    <row customHeight="1" ht="11.25">
      <c r="A2017" s="7771" t="s">
        <v>2266</v>
      </c>
      <c r="B2017" s="7771" t="s">
        <v>16</v>
      </c>
      <c r="C2017" s="7771" t="s">
        <v>3864</v>
      </c>
      <c r="D2017" s="7771" t="s">
        <v>3865</v>
      </c>
      <c r="E2017" s="7771" t="s">
        <v>3866</v>
      </c>
      <c r="F2017" s="7771" t="s">
        <v>2425</v>
      </c>
      <c r="G2017" s="7771" t="s">
        <v>28</v>
      </c>
      <c r="H2017" s="7771" t="s">
        <v>28</v>
      </c>
      <c r="I2017" s="7771" t="s">
        <v>921</v>
      </c>
    </row>
    <row customHeight="1" ht="11.25">
      <c r="A2018" s="7771" t="s">
        <v>2266</v>
      </c>
      <c r="B2018" s="7771" t="s">
        <v>16</v>
      </c>
      <c r="C2018" s="7771" t="s">
        <v>5480</v>
      </c>
      <c r="D2018" s="7771" t="s">
        <v>5481</v>
      </c>
      <c r="E2018" s="7771" t="s">
        <v>5482</v>
      </c>
      <c r="F2018" s="7771" t="s">
        <v>2372</v>
      </c>
      <c r="G2018" s="7771" t="s">
        <v>5483</v>
      </c>
      <c r="H2018" s="7771" t="s">
        <v>28</v>
      </c>
      <c r="I2018" s="7771" t="s">
        <v>921</v>
      </c>
    </row>
    <row customHeight="1" ht="11.25">
      <c r="A2019" s="7771" t="s">
        <v>2266</v>
      </c>
      <c r="B2019" s="7771" t="s">
        <v>16</v>
      </c>
      <c r="C2019" s="7771" t="s">
        <v>5484</v>
      </c>
      <c r="D2019" s="7771" t="s">
        <v>5485</v>
      </c>
      <c r="E2019" s="7771" t="s">
        <v>5486</v>
      </c>
      <c r="F2019" s="7771" t="s">
        <v>2592</v>
      </c>
      <c r="G2019" s="7771" t="s">
        <v>5487</v>
      </c>
      <c r="H2019" s="7771" t="s">
        <v>28</v>
      </c>
      <c r="I2019" s="7771" t="s">
        <v>921</v>
      </c>
    </row>
    <row customHeight="1" ht="11.25">
      <c r="A2020" s="7771" t="s">
        <v>2266</v>
      </c>
      <c r="B2020" s="7771" t="s">
        <v>16</v>
      </c>
      <c r="C2020" s="7771" t="s">
        <v>3892</v>
      </c>
      <c r="D2020" s="7771" t="s">
        <v>3893</v>
      </c>
      <c r="E2020" s="7771" t="s">
        <v>3894</v>
      </c>
      <c r="F2020" s="7771" t="s">
        <v>2285</v>
      </c>
      <c r="G2020" s="7771" t="s">
        <v>3895</v>
      </c>
      <c r="H2020" s="7771" t="s">
        <v>28</v>
      </c>
      <c r="I2020" s="7771" t="s">
        <v>921</v>
      </c>
    </row>
    <row customHeight="1" ht="11.25">
      <c r="A2021" s="7771" t="s">
        <v>2266</v>
      </c>
      <c r="B2021" s="7771" t="s">
        <v>16</v>
      </c>
      <c r="C2021" s="7771" t="s">
        <v>3896</v>
      </c>
      <c r="D2021" s="7771" t="s">
        <v>3897</v>
      </c>
      <c r="E2021" s="7771" t="s">
        <v>3898</v>
      </c>
      <c r="F2021" s="7771" t="s">
        <v>2390</v>
      </c>
      <c r="G2021" s="7771" t="s">
        <v>28</v>
      </c>
      <c r="H2021" s="7771" t="s">
        <v>28</v>
      </c>
      <c r="I2021" s="7771" t="s">
        <v>921</v>
      </c>
    </row>
    <row customHeight="1" ht="11.25">
      <c r="A2022" s="7771" t="s">
        <v>2266</v>
      </c>
      <c r="B2022" s="7771" t="s">
        <v>16</v>
      </c>
      <c r="C2022" s="7771" t="s">
        <v>5491</v>
      </c>
      <c r="D2022" s="7771" t="s">
        <v>5492</v>
      </c>
      <c r="E2022" s="7771" t="s">
        <v>5493</v>
      </c>
      <c r="F2022" s="7771" t="s">
        <v>2655</v>
      </c>
      <c r="G2022" s="7771" t="s">
        <v>5494</v>
      </c>
      <c r="H2022" s="7771" t="s">
        <v>28</v>
      </c>
      <c r="I2022" s="7771" t="s">
        <v>921</v>
      </c>
    </row>
    <row customHeight="1" ht="11.25">
      <c r="A2023" s="7771" t="s">
        <v>2266</v>
      </c>
      <c r="B2023" s="7771" t="s">
        <v>16</v>
      </c>
      <c r="C2023" s="7771" t="s">
        <v>5495</v>
      </c>
      <c r="D2023" s="7771" t="s">
        <v>5496</v>
      </c>
      <c r="E2023" s="7771" t="s">
        <v>5497</v>
      </c>
      <c r="F2023" s="7771" t="s">
        <v>2356</v>
      </c>
      <c r="G2023" s="7771" t="s">
        <v>28</v>
      </c>
      <c r="H2023" s="7771" t="s">
        <v>28</v>
      </c>
      <c r="I2023" s="7771" t="s">
        <v>921</v>
      </c>
    </row>
    <row customHeight="1" ht="11.25">
      <c r="A2024" s="7771" t="s">
        <v>2266</v>
      </c>
      <c r="B2024" s="7771" t="s">
        <v>16</v>
      </c>
      <c r="C2024" s="7771" t="s">
        <v>5498</v>
      </c>
      <c r="D2024" s="7771" t="s">
        <v>5499</v>
      </c>
      <c r="E2024" s="7771" t="s">
        <v>5500</v>
      </c>
      <c r="F2024" s="7771" t="s">
        <v>2503</v>
      </c>
      <c r="G2024" s="7771" t="s">
        <v>5501</v>
      </c>
      <c r="H2024" s="7771" t="s">
        <v>28</v>
      </c>
      <c r="I2024" s="7771" t="s">
        <v>921</v>
      </c>
    </row>
    <row customHeight="1" ht="11.25">
      <c r="A2025" s="7771" t="s">
        <v>2266</v>
      </c>
      <c r="B2025" s="7771" t="s">
        <v>16</v>
      </c>
      <c r="C2025" s="7771" t="s">
        <v>3926</v>
      </c>
      <c r="D2025" s="7771" t="s">
        <v>3927</v>
      </c>
      <c r="E2025" s="7771" t="s">
        <v>3928</v>
      </c>
      <c r="F2025" s="7771" t="s">
        <v>2360</v>
      </c>
      <c r="G2025" s="7771" t="s">
        <v>3929</v>
      </c>
      <c r="H2025" s="7771" t="s">
        <v>28</v>
      </c>
      <c r="I2025" s="7771" t="s">
        <v>921</v>
      </c>
    </row>
    <row customHeight="1" ht="11.25">
      <c r="A2026" s="7771" t="s">
        <v>2266</v>
      </c>
      <c r="B2026" s="7771" t="s">
        <v>16</v>
      </c>
      <c r="C2026" s="7771" t="s">
        <v>5502</v>
      </c>
      <c r="D2026" s="7771" t="s">
        <v>5503</v>
      </c>
      <c r="E2026" s="7771" t="s">
        <v>5504</v>
      </c>
      <c r="F2026" s="7771" t="s">
        <v>2430</v>
      </c>
      <c r="G2026" s="7771" t="s">
        <v>28</v>
      </c>
      <c r="H2026" s="7771" t="s">
        <v>28</v>
      </c>
      <c r="I2026" s="7771" t="s">
        <v>921</v>
      </c>
    </row>
    <row customHeight="1" ht="11.25">
      <c r="A2027" s="7771" t="s">
        <v>2266</v>
      </c>
      <c r="B2027" s="7771" t="s">
        <v>16</v>
      </c>
      <c r="C2027" s="7771" t="s">
        <v>5505</v>
      </c>
      <c r="D2027" s="7771" t="s">
        <v>5506</v>
      </c>
      <c r="E2027" s="7771" t="s">
        <v>5507</v>
      </c>
      <c r="F2027" s="7771" t="s">
        <v>2503</v>
      </c>
      <c r="G2027" s="7771" t="s">
        <v>28</v>
      </c>
      <c r="H2027" s="7771" t="s">
        <v>28</v>
      </c>
      <c r="I2027" s="7771" t="s">
        <v>921</v>
      </c>
    </row>
    <row customHeight="1" ht="11.25">
      <c r="A2028" s="7771" t="s">
        <v>2266</v>
      </c>
      <c r="B2028" s="7771" t="s">
        <v>16</v>
      </c>
      <c r="C2028" s="7771" t="s">
        <v>3947</v>
      </c>
      <c r="D2028" s="7771" t="s">
        <v>3948</v>
      </c>
      <c r="E2028" s="7771" t="s">
        <v>3949</v>
      </c>
      <c r="F2028" s="7771" t="s">
        <v>2451</v>
      </c>
      <c r="G2028" s="7771" t="s">
        <v>3950</v>
      </c>
      <c r="H2028" s="7771" t="s">
        <v>28</v>
      </c>
      <c r="I2028" s="7771" t="s">
        <v>921</v>
      </c>
    </row>
    <row customHeight="1" ht="11.25">
      <c r="A2029" s="7771" t="s">
        <v>2266</v>
      </c>
      <c r="B2029" s="7771" t="s">
        <v>16</v>
      </c>
      <c r="C2029" s="7771" t="s">
        <v>5901</v>
      </c>
      <c r="D2029" s="7771" t="s">
        <v>3955</v>
      </c>
      <c r="E2029" s="7771" t="s">
        <v>3956</v>
      </c>
      <c r="F2029" s="7771" t="s">
        <v>2377</v>
      </c>
      <c r="G2029" s="7771" t="s">
        <v>28</v>
      </c>
      <c r="H2029" s="7771" t="s">
        <v>28</v>
      </c>
      <c r="I2029" s="7771" t="s">
        <v>921</v>
      </c>
    </row>
    <row customHeight="1" ht="11.25">
      <c r="A2030" s="7771" t="s">
        <v>2266</v>
      </c>
      <c r="B2030" s="7771" t="s">
        <v>16</v>
      </c>
      <c r="C2030" s="7771" t="s">
        <v>5902</v>
      </c>
      <c r="D2030" s="7771" t="s">
        <v>5903</v>
      </c>
      <c r="E2030" s="7771" t="s">
        <v>5904</v>
      </c>
      <c r="F2030" s="7771" t="s">
        <v>4359</v>
      </c>
      <c r="G2030" s="7771" t="s">
        <v>5905</v>
      </c>
      <c r="H2030" s="7771" t="s">
        <v>28</v>
      </c>
      <c r="I2030" s="7771" t="s">
        <v>921</v>
      </c>
    </row>
    <row customHeight="1" ht="11.25">
      <c r="A2031" s="7771" t="s">
        <v>2266</v>
      </c>
      <c r="B2031" s="7771" t="s">
        <v>16</v>
      </c>
      <c r="C2031" s="7771" t="s">
        <v>5906</v>
      </c>
      <c r="D2031" s="7771" t="s">
        <v>5907</v>
      </c>
      <c r="E2031" s="7771" t="s">
        <v>5908</v>
      </c>
      <c r="F2031" s="7771" t="s">
        <v>3016</v>
      </c>
      <c r="G2031" s="7771" t="s">
        <v>5909</v>
      </c>
      <c r="H2031" s="7771" t="s">
        <v>28</v>
      </c>
      <c r="I2031" s="7771" t="s">
        <v>921</v>
      </c>
    </row>
    <row customHeight="1" ht="11.25">
      <c r="A2032" s="7771" t="s">
        <v>2266</v>
      </c>
      <c r="B2032" s="7771" t="s">
        <v>16</v>
      </c>
      <c r="C2032" s="7771" t="s">
        <v>4809</v>
      </c>
      <c r="D2032" s="7771" t="s">
        <v>4810</v>
      </c>
      <c r="E2032" s="7771" t="s">
        <v>4811</v>
      </c>
      <c r="F2032" s="7771" t="s">
        <v>2723</v>
      </c>
      <c r="G2032" s="7771" t="s">
        <v>28</v>
      </c>
      <c r="H2032" s="7771" t="s">
        <v>28</v>
      </c>
      <c r="I2032" s="7771" t="s">
        <v>921</v>
      </c>
    </row>
    <row customHeight="1" ht="11.25">
      <c r="A2033" s="7771" t="s">
        <v>2266</v>
      </c>
      <c r="B2033" s="7771" t="s">
        <v>16</v>
      </c>
      <c r="C2033" s="7771" t="s">
        <v>3979</v>
      </c>
      <c r="D2033" s="7771" t="s">
        <v>3980</v>
      </c>
      <c r="E2033" s="7771" t="s">
        <v>3981</v>
      </c>
      <c r="F2033" s="7771" t="s">
        <v>2352</v>
      </c>
      <c r="G2033" s="7771" t="s">
        <v>2469</v>
      </c>
      <c r="H2033" s="7771" t="s">
        <v>28</v>
      </c>
      <c r="I2033" s="7771" t="s">
        <v>921</v>
      </c>
    </row>
    <row customHeight="1" ht="11.25">
      <c r="A2034" s="7771" t="s">
        <v>2266</v>
      </c>
      <c r="B2034" s="7771" t="s">
        <v>16</v>
      </c>
      <c r="C2034" s="7771" t="s">
        <v>5521</v>
      </c>
      <c r="D2034" s="7771" t="s">
        <v>5522</v>
      </c>
      <c r="E2034" s="7771" t="s">
        <v>5523</v>
      </c>
      <c r="F2034" s="7771" t="s">
        <v>2629</v>
      </c>
      <c r="G2034" s="7771" t="s">
        <v>5524</v>
      </c>
      <c r="H2034" s="7771" t="s">
        <v>28</v>
      </c>
      <c r="I2034" s="7771" t="s">
        <v>921</v>
      </c>
    </row>
    <row customHeight="1" ht="11.25">
      <c r="A2035" s="7771" t="s">
        <v>2266</v>
      </c>
      <c r="B2035" s="7771" t="s">
        <v>16</v>
      </c>
      <c r="C2035" s="7771" t="s">
        <v>3997</v>
      </c>
      <c r="D2035" s="7771" t="s">
        <v>3994</v>
      </c>
      <c r="E2035" s="7771" t="s">
        <v>3998</v>
      </c>
      <c r="F2035" s="7771" t="s">
        <v>2360</v>
      </c>
      <c r="G2035" s="7771" t="s">
        <v>3999</v>
      </c>
      <c r="H2035" s="7771" t="s">
        <v>28</v>
      </c>
      <c r="I2035" s="7771" t="s">
        <v>921</v>
      </c>
    </row>
    <row customHeight="1" ht="11.25">
      <c r="A2036" s="7771" t="s">
        <v>2266</v>
      </c>
      <c r="B2036" s="7771" t="s">
        <v>16</v>
      </c>
      <c r="C2036" s="7771" t="s">
        <v>5525</v>
      </c>
      <c r="D2036" s="7771" t="s">
        <v>5526</v>
      </c>
      <c r="E2036" s="7771" t="s">
        <v>5527</v>
      </c>
      <c r="F2036" s="7771" t="s">
        <v>2347</v>
      </c>
      <c r="G2036" s="7771" t="s">
        <v>28</v>
      </c>
      <c r="H2036" s="7771" t="s">
        <v>28</v>
      </c>
      <c r="I2036" s="7771" t="s">
        <v>921</v>
      </c>
    </row>
    <row customHeight="1" ht="11.25">
      <c r="A2037" s="7771" t="s">
        <v>2266</v>
      </c>
      <c r="B2037" s="7771" t="s">
        <v>16</v>
      </c>
      <c r="C2037" s="7771" t="s">
        <v>4007</v>
      </c>
      <c r="D2037" s="7771" t="s">
        <v>4008</v>
      </c>
      <c r="E2037" s="7771" t="s">
        <v>4009</v>
      </c>
      <c r="F2037" s="7771" t="s">
        <v>3626</v>
      </c>
      <c r="G2037" s="7771" t="s">
        <v>4010</v>
      </c>
      <c r="H2037" s="7771" t="s">
        <v>28</v>
      </c>
      <c r="I2037" s="7771" t="s">
        <v>921</v>
      </c>
    </row>
    <row customHeight="1" ht="11.25">
      <c r="A2038" s="7771" t="s">
        <v>2266</v>
      </c>
      <c r="B2038" s="7771" t="s">
        <v>16</v>
      </c>
      <c r="C2038" s="7771" t="s">
        <v>4039</v>
      </c>
      <c r="D2038" s="7771" t="s">
        <v>4040</v>
      </c>
      <c r="E2038" s="7771" t="s">
        <v>4041</v>
      </c>
      <c r="F2038" s="7771" t="s">
        <v>2280</v>
      </c>
      <c r="G2038" s="7771" t="s">
        <v>4042</v>
      </c>
      <c r="H2038" s="7771" t="s">
        <v>28</v>
      </c>
      <c r="I2038" s="7771" t="s">
        <v>921</v>
      </c>
    </row>
    <row customHeight="1" ht="11.25">
      <c r="A2039" s="7771" t="s">
        <v>2266</v>
      </c>
      <c r="B2039" s="7771" t="s">
        <v>16</v>
      </c>
      <c r="C2039" s="7771" t="s">
        <v>4050</v>
      </c>
      <c r="D2039" s="7771" t="s">
        <v>4051</v>
      </c>
      <c r="E2039" s="7771" t="s">
        <v>4052</v>
      </c>
      <c r="F2039" s="7771" t="s">
        <v>2295</v>
      </c>
      <c r="G2039" s="7771" t="s">
        <v>4053</v>
      </c>
      <c r="H2039" s="7771" t="s">
        <v>28</v>
      </c>
      <c r="I2039" s="7771" t="s">
        <v>921</v>
      </c>
    </row>
    <row customHeight="1" ht="11.25">
      <c r="A2040" s="7771" t="s">
        <v>2266</v>
      </c>
      <c r="B2040" s="7771" t="s">
        <v>16</v>
      </c>
      <c r="C2040" s="7771" t="s">
        <v>4062</v>
      </c>
      <c r="D2040" s="7771" t="s">
        <v>4063</v>
      </c>
      <c r="E2040" s="7771" t="s">
        <v>4064</v>
      </c>
      <c r="F2040" s="7771" t="s">
        <v>4065</v>
      </c>
      <c r="G2040" s="7771" t="s">
        <v>4066</v>
      </c>
      <c r="H2040" s="7771" t="s">
        <v>28</v>
      </c>
      <c r="I2040" s="7771" t="s">
        <v>921</v>
      </c>
    </row>
    <row customHeight="1" ht="11.25">
      <c r="A2041" s="7771" t="s">
        <v>2266</v>
      </c>
      <c r="B2041" s="7771" t="s">
        <v>16</v>
      </c>
      <c r="C2041" s="7771" t="s">
        <v>4067</v>
      </c>
      <c r="D2041" s="7771" t="s">
        <v>4068</v>
      </c>
      <c r="E2041" s="7771" t="s">
        <v>4069</v>
      </c>
      <c r="F2041" s="7771" t="s">
        <v>2629</v>
      </c>
      <c r="G2041" s="7771" t="s">
        <v>4070</v>
      </c>
      <c r="H2041" s="7771" t="s">
        <v>28</v>
      </c>
      <c r="I2041" s="7771" t="s">
        <v>921</v>
      </c>
    </row>
    <row customHeight="1" ht="11.25">
      <c r="A2042" s="7771" t="s">
        <v>2266</v>
      </c>
      <c r="B2042" s="7771" t="s">
        <v>16</v>
      </c>
      <c r="C2042" s="7771" t="s">
        <v>4087</v>
      </c>
      <c r="D2042" s="7771" t="s">
        <v>4088</v>
      </c>
      <c r="E2042" s="7771" t="s">
        <v>4089</v>
      </c>
      <c r="F2042" s="7771" t="s">
        <v>2846</v>
      </c>
      <c r="G2042" s="7771" t="s">
        <v>4090</v>
      </c>
      <c r="H2042" s="7771" t="s">
        <v>28</v>
      </c>
      <c r="I2042" s="7771" t="s">
        <v>921</v>
      </c>
    </row>
    <row customHeight="1" ht="11.25">
      <c r="A2043" s="7771" t="s">
        <v>2266</v>
      </c>
      <c r="B2043" s="7771" t="s">
        <v>16</v>
      </c>
      <c r="C2043" s="7771" t="s">
        <v>5528</v>
      </c>
      <c r="D2043" s="7771" t="s">
        <v>5529</v>
      </c>
      <c r="E2043" s="7771" t="s">
        <v>5530</v>
      </c>
      <c r="F2043" s="7771" t="s">
        <v>3679</v>
      </c>
      <c r="G2043" s="7771" t="s">
        <v>5531</v>
      </c>
      <c r="H2043" s="7771" t="s">
        <v>28</v>
      </c>
      <c r="I2043" s="7771" t="s">
        <v>921</v>
      </c>
    </row>
    <row customHeight="1" ht="11.25">
      <c r="A2044" s="7771" t="s">
        <v>2266</v>
      </c>
      <c r="B2044" s="7771" t="s">
        <v>16</v>
      </c>
      <c r="C2044" s="7771" t="s">
        <v>5536</v>
      </c>
      <c r="D2044" s="7771" t="s">
        <v>5537</v>
      </c>
      <c r="E2044" s="7771" t="s">
        <v>5538</v>
      </c>
      <c r="F2044" s="7771" t="s">
        <v>2629</v>
      </c>
      <c r="G2044" s="7771" t="s">
        <v>5539</v>
      </c>
      <c r="H2044" s="7771" t="s">
        <v>28</v>
      </c>
      <c r="I2044" s="7771" t="s">
        <v>921</v>
      </c>
    </row>
    <row customHeight="1" ht="11.25">
      <c r="A2045" s="7771" t="s">
        <v>2266</v>
      </c>
      <c r="B2045" s="7771" t="s">
        <v>16</v>
      </c>
      <c r="C2045" s="7771" t="s">
        <v>4110</v>
      </c>
      <c r="D2045" s="7771" t="s">
        <v>4111</v>
      </c>
      <c r="E2045" s="7771" t="s">
        <v>4112</v>
      </c>
      <c r="F2045" s="7771" t="s">
        <v>2280</v>
      </c>
      <c r="G2045" s="7771" t="s">
        <v>4113</v>
      </c>
      <c r="H2045" s="7771" t="s">
        <v>28</v>
      </c>
      <c r="I2045" s="7771" t="s">
        <v>921</v>
      </c>
    </row>
    <row customHeight="1" ht="11.25">
      <c r="A2046" s="7771" t="s">
        <v>2266</v>
      </c>
      <c r="B2046" s="7771" t="s">
        <v>16</v>
      </c>
      <c r="C2046" s="7771" t="s">
        <v>4121</v>
      </c>
      <c r="D2046" s="7771" t="s">
        <v>4122</v>
      </c>
      <c r="E2046" s="7771" t="s">
        <v>4123</v>
      </c>
      <c r="F2046" s="7771" t="s">
        <v>2295</v>
      </c>
      <c r="G2046" s="7771" t="s">
        <v>4124</v>
      </c>
      <c r="H2046" s="7771" t="s">
        <v>28</v>
      </c>
      <c r="I2046" s="7771" t="s">
        <v>921</v>
      </c>
    </row>
    <row customHeight="1" ht="11.25">
      <c r="A2047" s="7771" t="s">
        <v>2266</v>
      </c>
      <c r="B2047" s="7771" t="s">
        <v>16</v>
      </c>
      <c r="C2047" s="7771" t="s">
        <v>5540</v>
      </c>
      <c r="D2047" s="7771" t="s">
        <v>5541</v>
      </c>
      <c r="E2047" s="7771" t="s">
        <v>5542</v>
      </c>
      <c r="F2047" s="7771" t="s">
        <v>2295</v>
      </c>
      <c r="G2047" s="7771" t="s">
        <v>5543</v>
      </c>
      <c r="H2047" s="7771" t="s">
        <v>28</v>
      </c>
      <c r="I2047" s="7771" t="s">
        <v>921</v>
      </c>
    </row>
    <row customHeight="1" ht="11.25">
      <c r="A2048" s="7771" t="s">
        <v>2266</v>
      </c>
      <c r="B2048" s="7771" t="s">
        <v>16</v>
      </c>
      <c r="C2048" s="7771" t="s">
        <v>5910</v>
      </c>
      <c r="D2048" s="7771" t="s">
        <v>5911</v>
      </c>
      <c r="E2048" s="7771" t="s">
        <v>5912</v>
      </c>
      <c r="F2048" s="7771" t="s">
        <v>2285</v>
      </c>
      <c r="G2048" s="7771" t="s">
        <v>5913</v>
      </c>
      <c r="H2048" s="7771" t="s">
        <v>28</v>
      </c>
      <c r="I2048" s="7771" t="s">
        <v>921</v>
      </c>
    </row>
    <row customHeight="1" ht="11.25">
      <c r="A2049" s="7771" t="s">
        <v>2266</v>
      </c>
      <c r="B2049" s="7771" t="s">
        <v>16</v>
      </c>
      <c r="C2049" s="7771" t="s">
        <v>5544</v>
      </c>
      <c r="D2049" s="7771" t="s">
        <v>5545</v>
      </c>
      <c r="E2049" s="7771" t="s">
        <v>5546</v>
      </c>
      <c r="F2049" s="7771" t="s">
        <v>2655</v>
      </c>
      <c r="G2049" s="7771" t="s">
        <v>28</v>
      </c>
      <c r="H2049" s="7771" t="s">
        <v>28</v>
      </c>
      <c r="I2049" s="7771" t="s">
        <v>921</v>
      </c>
    </row>
    <row customHeight="1" ht="11.25">
      <c r="A2050" s="7771" t="s">
        <v>2266</v>
      </c>
      <c r="B2050" s="7771" t="s">
        <v>16</v>
      </c>
      <c r="C2050" s="7771" t="s">
        <v>5547</v>
      </c>
      <c r="D2050" s="7771" t="s">
        <v>5548</v>
      </c>
      <c r="E2050" s="7771" t="s">
        <v>5549</v>
      </c>
      <c r="F2050" s="7771" t="s">
        <v>4328</v>
      </c>
      <c r="G2050" s="7771" t="s">
        <v>28</v>
      </c>
      <c r="H2050" s="7771" t="s">
        <v>28</v>
      </c>
      <c r="I2050" s="7771" t="s">
        <v>921</v>
      </c>
    </row>
    <row customHeight="1" ht="11.25">
      <c r="A2051" s="7771" t="s">
        <v>2266</v>
      </c>
      <c r="B2051" s="7771" t="s">
        <v>16</v>
      </c>
      <c r="C2051" s="7771" t="s">
        <v>5550</v>
      </c>
      <c r="D2051" s="7771" t="s">
        <v>5551</v>
      </c>
      <c r="E2051" s="7771" t="s">
        <v>5552</v>
      </c>
      <c r="F2051" s="7771" t="s">
        <v>2430</v>
      </c>
      <c r="G2051" s="7771" t="s">
        <v>5553</v>
      </c>
      <c r="H2051" s="7771" t="s">
        <v>28</v>
      </c>
      <c r="I2051" s="7771" t="s">
        <v>921</v>
      </c>
    </row>
    <row customHeight="1" ht="11.25">
      <c r="A2052" s="7771" t="s">
        <v>2266</v>
      </c>
      <c r="B2052" s="7771" t="s">
        <v>16</v>
      </c>
      <c r="C2052" s="7771" t="s">
        <v>5554</v>
      </c>
      <c r="D2052" s="7771" t="s">
        <v>5555</v>
      </c>
      <c r="E2052" s="7771" t="s">
        <v>5556</v>
      </c>
      <c r="F2052" s="7771" t="s">
        <v>2280</v>
      </c>
      <c r="G2052" s="7771" t="s">
        <v>28</v>
      </c>
      <c r="H2052" s="7771" t="s">
        <v>28</v>
      </c>
      <c r="I2052" s="7771" t="s">
        <v>921</v>
      </c>
    </row>
    <row customHeight="1" ht="11.25">
      <c r="A2053" s="7771" t="s">
        <v>2266</v>
      </c>
      <c r="B2053" s="7771" t="s">
        <v>16</v>
      </c>
      <c r="C2053" s="7771" t="s">
        <v>5557</v>
      </c>
      <c r="D2053" s="7771" t="s">
        <v>5558</v>
      </c>
      <c r="E2053" s="7771" t="s">
        <v>5559</v>
      </c>
      <c r="F2053" s="7771" t="s">
        <v>2280</v>
      </c>
      <c r="G2053" s="7771" t="s">
        <v>5560</v>
      </c>
      <c r="H2053" s="7771" t="s">
        <v>28</v>
      </c>
      <c r="I2053" s="7771" t="s">
        <v>921</v>
      </c>
    </row>
    <row customHeight="1" ht="11.25">
      <c r="A2054" s="7771" t="s">
        <v>2266</v>
      </c>
      <c r="B2054" s="7771" t="s">
        <v>16</v>
      </c>
      <c r="C2054" s="7771" t="s">
        <v>5561</v>
      </c>
      <c r="D2054" s="7771" t="s">
        <v>5562</v>
      </c>
      <c r="E2054" s="7771" t="s">
        <v>5563</v>
      </c>
      <c r="F2054" s="7771" t="s">
        <v>2280</v>
      </c>
      <c r="G2054" s="7771" t="s">
        <v>5564</v>
      </c>
      <c r="H2054" s="7771" t="s">
        <v>28</v>
      </c>
      <c r="I2054" s="7771" t="s">
        <v>921</v>
      </c>
    </row>
    <row customHeight="1" ht="11.25">
      <c r="A2055" s="7771" t="s">
        <v>2266</v>
      </c>
      <c r="B2055" s="7771" t="s">
        <v>16</v>
      </c>
      <c r="C2055" s="7771" t="s">
        <v>4154</v>
      </c>
      <c r="D2055" s="7771" t="s">
        <v>4155</v>
      </c>
      <c r="E2055" s="7771" t="s">
        <v>4156</v>
      </c>
      <c r="F2055" s="7771" t="s">
        <v>3027</v>
      </c>
      <c r="G2055" s="7771" t="s">
        <v>4157</v>
      </c>
      <c r="H2055" s="7771" t="s">
        <v>28</v>
      </c>
      <c r="I2055" s="7771" t="s">
        <v>921</v>
      </c>
    </row>
    <row customHeight="1" ht="11.25">
      <c r="A2056" s="7771" t="s">
        <v>2266</v>
      </c>
      <c r="B2056" s="7771" t="s">
        <v>16</v>
      </c>
      <c r="C2056" s="7771" t="s">
        <v>4162</v>
      </c>
      <c r="D2056" s="7771" t="s">
        <v>4163</v>
      </c>
      <c r="E2056" s="7771" t="s">
        <v>4164</v>
      </c>
      <c r="F2056" s="7771" t="s">
        <v>4165</v>
      </c>
      <c r="G2056" s="7771" t="s">
        <v>3718</v>
      </c>
      <c r="H2056" s="7771" t="s">
        <v>28</v>
      </c>
      <c r="I2056" s="7771" t="s">
        <v>921</v>
      </c>
    </row>
    <row customHeight="1" ht="11.25">
      <c r="A2057" s="7771" t="s">
        <v>2266</v>
      </c>
      <c r="B2057" s="7771" t="s">
        <v>16</v>
      </c>
      <c r="C2057" s="7771" t="s">
        <v>4182</v>
      </c>
      <c r="D2057" s="7771" t="s">
        <v>4183</v>
      </c>
      <c r="E2057" s="7771" t="s">
        <v>4184</v>
      </c>
      <c r="F2057" s="7771" t="s">
        <v>2377</v>
      </c>
      <c r="G2057" s="7771" t="s">
        <v>4185</v>
      </c>
      <c r="H2057" s="7771" t="s">
        <v>28</v>
      </c>
      <c r="I2057" s="7771" t="s">
        <v>921</v>
      </c>
    </row>
    <row customHeight="1" ht="11.25">
      <c r="A2058" s="7771" t="s">
        <v>2266</v>
      </c>
      <c r="B2058" s="7771" t="s">
        <v>16</v>
      </c>
      <c r="C2058" s="7771" t="s">
        <v>5565</v>
      </c>
      <c r="D2058" s="7771" t="s">
        <v>5566</v>
      </c>
      <c r="E2058" s="7771" t="s">
        <v>5567</v>
      </c>
      <c r="F2058" s="7771" t="s">
        <v>4535</v>
      </c>
      <c r="G2058" s="7771" t="s">
        <v>5568</v>
      </c>
      <c r="H2058" s="7771" t="s">
        <v>28</v>
      </c>
      <c r="I2058" s="7771" t="s">
        <v>921</v>
      </c>
    </row>
    <row customHeight="1" ht="11.25">
      <c r="A2059" s="7771" t="s">
        <v>2266</v>
      </c>
      <c r="B2059" s="7771" t="s">
        <v>16</v>
      </c>
      <c r="C2059" s="7771" t="s">
        <v>5569</v>
      </c>
      <c r="D2059" s="7771" t="s">
        <v>5570</v>
      </c>
      <c r="E2059" s="7771" t="s">
        <v>5571</v>
      </c>
      <c r="F2059" s="7771" t="s">
        <v>2360</v>
      </c>
      <c r="G2059" s="7771" t="s">
        <v>5572</v>
      </c>
      <c r="H2059" s="7771" t="s">
        <v>28</v>
      </c>
      <c r="I2059" s="7771" t="s">
        <v>921</v>
      </c>
    </row>
    <row customHeight="1" ht="11.25">
      <c r="A2060" s="7771" t="s">
        <v>2266</v>
      </c>
      <c r="B2060" s="7771" t="s">
        <v>16</v>
      </c>
      <c r="C2060" s="7771" t="s">
        <v>4194</v>
      </c>
      <c r="D2060" s="7771" t="s">
        <v>4195</v>
      </c>
      <c r="E2060" s="7771" t="s">
        <v>4196</v>
      </c>
      <c r="F2060" s="7771" t="s">
        <v>2280</v>
      </c>
      <c r="G2060" s="7771" t="s">
        <v>4197</v>
      </c>
      <c r="H2060" s="7771" t="s">
        <v>28</v>
      </c>
      <c r="I2060" s="7771" t="s">
        <v>921</v>
      </c>
    </row>
    <row customHeight="1" ht="11.25">
      <c r="A2061" s="7771" t="s">
        <v>2266</v>
      </c>
      <c r="B2061" s="7771" t="s">
        <v>16</v>
      </c>
      <c r="C2061" s="7771" t="s">
        <v>5573</v>
      </c>
      <c r="D2061" s="7771" t="s">
        <v>5574</v>
      </c>
      <c r="E2061" s="7771" t="s">
        <v>5575</v>
      </c>
      <c r="F2061" s="7771" t="s">
        <v>2280</v>
      </c>
      <c r="G2061" s="7771" t="s">
        <v>28</v>
      </c>
      <c r="H2061" s="7771" t="s">
        <v>28</v>
      </c>
      <c r="I2061" s="7771" t="s">
        <v>921</v>
      </c>
    </row>
    <row customHeight="1" ht="11.25">
      <c r="A2062" s="7771" t="s">
        <v>2266</v>
      </c>
      <c r="B2062" s="7771" t="s">
        <v>16</v>
      </c>
      <c r="C2062" s="7771" t="s">
        <v>4202</v>
      </c>
      <c r="D2062" s="7771" t="s">
        <v>4203</v>
      </c>
      <c r="E2062" s="7771" t="s">
        <v>4204</v>
      </c>
      <c r="F2062" s="7771" t="s">
        <v>2451</v>
      </c>
      <c r="G2062" s="7771" t="s">
        <v>4205</v>
      </c>
      <c r="H2062" s="7771" t="s">
        <v>28</v>
      </c>
      <c r="I2062" s="7771" t="s">
        <v>921</v>
      </c>
    </row>
    <row customHeight="1" ht="11.25">
      <c r="A2063" s="7771" t="s">
        <v>2266</v>
      </c>
      <c r="B2063" s="7771" t="s">
        <v>16</v>
      </c>
      <c r="C2063" s="7771" t="s">
        <v>4209</v>
      </c>
      <c r="D2063" s="7771" t="s">
        <v>4207</v>
      </c>
      <c r="E2063" s="7771" t="s">
        <v>4210</v>
      </c>
      <c r="F2063" s="7771" t="s">
        <v>2753</v>
      </c>
      <c r="G2063" s="7771" t="s">
        <v>4211</v>
      </c>
      <c r="H2063" s="7771" t="s">
        <v>28</v>
      </c>
      <c r="I2063" s="7771" t="s">
        <v>921</v>
      </c>
    </row>
    <row customHeight="1" ht="11.25">
      <c r="A2064" s="7771" t="s">
        <v>2266</v>
      </c>
      <c r="B2064" s="7771" t="s">
        <v>16</v>
      </c>
      <c r="C2064" s="7771" t="s">
        <v>4223</v>
      </c>
      <c r="D2064" s="7771" t="s">
        <v>4224</v>
      </c>
      <c r="E2064" s="7771" t="s">
        <v>4225</v>
      </c>
      <c r="F2064" s="7771" t="s">
        <v>2642</v>
      </c>
      <c r="G2064" s="7771" t="s">
        <v>4226</v>
      </c>
      <c r="H2064" s="7771" t="s">
        <v>28</v>
      </c>
      <c r="I2064" s="7771" t="s">
        <v>921</v>
      </c>
    </row>
    <row customHeight="1" ht="11.25">
      <c r="A2065" s="7771" t="s">
        <v>2266</v>
      </c>
      <c r="B2065" s="7771" t="s">
        <v>16</v>
      </c>
      <c r="C2065" s="7771" t="s">
        <v>5576</v>
      </c>
      <c r="D2065" s="7771" t="s">
        <v>5577</v>
      </c>
      <c r="E2065" s="7771" t="s">
        <v>5578</v>
      </c>
      <c r="F2065" s="7771" t="s">
        <v>2347</v>
      </c>
      <c r="G2065" s="7771" t="s">
        <v>28</v>
      </c>
      <c r="H2065" s="7771" t="s">
        <v>28</v>
      </c>
      <c r="I2065" s="7771" t="s">
        <v>921</v>
      </c>
    </row>
    <row customHeight="1" ht="11.25">
      <c r="A2066" s="7771" t="s">
        <v>2266</v>
      </c>
      <c r="B2066" s="7771" t="s">
        <v>16</v>
      </c>
      <c r="C2066" s="7771" t="s">
        <v>5914</v>
      </c>
      <c r="D2066" s="7771" t="s">
        <v>5915</v>
      </c>
      <c r="E2066" s="7771" t="s">
        <v>5916</v>
      </c>
      <c r="F2066" s="7771" t="s">
        <v>2347</v>
      </c>
      <c r="G2066" s="7771" t="s">
        <v>5917</v>
      </c>
      <c r="H2066" s="7771" t="s">
        <v>28</v>
      </c>
      <c r="I2066" s="7771" t="s">
        <v>921</v>
      </c>
    </row>
    <row customHeight="1" ht="11.25">
      <c r="A2067" s="7771" t="s">
        <v>2266</v>
      </c>
      <c r="B2067" s="7771" t="s">
        <v>16</v>
      </c>
      <c r="C2067" s="7771" t="s">
        <v>5918</v>
      </c>
      <c r="D2067" s="7771" t="s">
        <v>5919</v>
      </c>
      <c r="E2067" s="7771" t="s">
        <v>5920</v>
      </c>
      <c r="F2067" s="7771" t="s">
        <v>5921</v>
      </c>
      <c r="G2067" s="7771" t="s">
        <v>28</v>
      </c>
      <c r="H2067" s="7771" t="s">
        <v>28</v>
      </c>
      <c r="I2067" s="7771" t="s">
        <v>921</v>
      </c>
    </row>
    <row customHeight="1" ht="11.25">
      <c r="A2068" s="7771" t="s">
        <v>2266</v>
      </c>
      <c r="B2068" s="7771" t="s">
        <v>16</v>
      </c>
      <c r="C2068" s="7771" t="s">
        <v>5583</v>
      </c>
      <c r="D2068" s="7771" t="s">
        <v>5584</v>
      </c>
      <c r="E2068" s="7771" t="s">
        <v>5585</v>
      </c>
      <c r="F2068" s="7771" t="s">
        <v>2518</v>
      </c>
      <c r="G2068" s="7771" t="s">
        <v>5586</v>
      </c>
      <c r="H2068" s="7771" t="s">
        <v>28</v>
      </c>
      <c r="I2068" s="7771" t="s">
        <v>921</v>
      </c>
    </row>
    <row customHeight="1" ht="11.25">
      <c r="A2069" s="7771" t="s">
        <v>2266</v>
      </c>
      <c r="B2069" s="7771" t="s">
        <v>16</v>
      </c>
      <c r="C2069" s="7771" t="s">
        <v>5922</v>
      </c>
      <c r="D2069" s="7771" t="s">
        <v>5923</v>
      </c>
      <c r="E2069" s="7771" t="s">
        <v>5924</v>
      </c>
      <c r="F2069" s="7771" t="s">
        <v>2745</v>
      </c>
      <c r="G2069" s="7771" t="s">
        <v>5925</v>
      </c>
      <c r="H2069" s="7771" t="s">
        <v>28</v>
      </c>
      <c r="I2069" s="7771" t="s">
        <v>921</v>
      </c>
    </row>
    <row customHeight="1" ht="11.25">
      <c r="A2070" s="7771" t="s">
        <v>2266</v>
      </c>
      <c r="B2070" s="7771" t="s">
        <v>16</v>
      </c>
      <c r="C2070" s="7771" t="s">
        <v>4814</v>
      </c>
      <c r="D2070" s="7771" t="s">
        <v>4815</v>
      </c>
      <c r="E2070" s="7771" t="s">
        <v>4816</v>
      </c>
      <c r="F2070" s="7771" t="s">
        <v>2441</v>
      </c>
      <c r="G2070" s="7771" t="s">
        <v>28</v>
      </c>
      <c r="H2070" s="7771" t="s">
        <v>28</v>
      </c>
      <c r="I2070" s="7771" t="s">
        <v>921</v>
      </c>
    </row>
    <row customHeight="1" ht="11.25">
      <c r="A2071" s="7771" t="s">
        <v>2266</v>
      </c>
      <c r="B2071" s="7771" t="s">
        <v>16</v>
      </c>
      <c r="C2071" s="7771" t="s">
        <v>5926</v>
      </c>
      <c r="D2071" s="7771" t="s">
        <v>5927</v>
      </c>
      <c r="E2071" s="7771" t="s">
        <v>5928</v>
      </c>
      <c r="F2071" s="7771" t="s">
        <v>3170</v>
      </c>
      <c r="G2071" s="7771" t="s">
        <v>5853</v>
      </c>
      <c r="H2071" s="7771" t="s">
        <v>28</v>
      </c>
      <c r="I2071" s="7771" t="s">
        <v>921</v>
      </c>
    </row>
    <row customHeight="1" ht="11.25">
      <c r="A2072" s="7771" t="s">
        <v>2266</v>
      </c>
      <c r="B2072" s="7771" t="s">
        <v>16</v>
      </c>
      <c r="C2072" s="7771" t="s">
        <v>5929</v>
      </c>
      <c r="D2072" s="7771" t="s">
        <v>5930</v>
      </c>
      <c r="E2072" s="7771" t="s">
        <v>5931</v>
      </c>
      <c r="F2072" s="7771" t="s">
        <v>2360</v>
      </c>
      <c r="G2072" s="7771" t="s">
        <v>28</v>
      </c>
      <c r="H2072" s="7771" t="s">
        <v>28</v>
      </c>
      <c r="I2072" s="7771" t="s">
        <v>921</v>
      </c>
    </row>
    <row customHeight="1" ht="11.25">
      <c r="A2073" s="7771" t="s">
        <v>2266</v>
      </c>
      <c r="B2073" s="7771" t="s">
        <v>16</v>
      </c>
      <c r="C2073" s="7771" t="s">
        <v>4244</v>
      </c>
      <c r="D2073" s="7771" t="s">
        <v>4245</v>
      </c>
      <c r="E2073" s="7771" t="s">
        <v>4246</v>
      </c>
      <c r="F2073" s="7771" t="s">
        <v>2295</v>
      </c>
      <c r="G2073" s="7771" t="s">
        <v>28</v>
      </c>
      <c r="H2073" s="7771" t="s">
        <v>28</v>
      </c>
      <c r="I2073" s="7771" t="s">
        <v>921</v>
      </c>
    </row>
    <row customHeight="1" ht="11.25">
      <c r="A2074" s="7771" t="s">
        <v>2266</v>
      </c>
      <c r="B2074" s="7771" t="s">
        <v>16</v>
      </c>
      <c r="C2074" s="7771" t="s">
        <v>4255</v>
      </c>
      <c r="D2074" s="7771" t="s">
        <v>4256</v>
      </c>
      <c r="E2074" s="7771" t="s">
        <v>4257</v>
      </c>
      <c r="F2074" s="7771" t="s">
        <v>2446</v>
      </c>
      <c r="G2074" s="7771" t="s">
        <v>4258</v>
      </c>
      <c r="H2074" s="7771" t="s">
        <v>28</v>
      </c>
      <c r="I2074" s="7771" t="s">
        <v>921</v>
      </c>
    </row>
    <row customHeight="1" ht="11.25">
      <c r="A2075" s="7771" t="s">
        <v>2266</v>
      </c>
      <c r="B2075" s="7771" t="s">
        <v>16</v>
      </c>
      <c r="C2075" s="7771" t="s">
        <v>4270</v>
      </c>
      <c r="D2075" s="7771" t="s">
        <v>4271</v>
      </c>
      <c r="E2075" s="7771" t="s">
        <v>4272</v>
      </c>
      <c r="F2075" s="7771" t="s">
        <v>2629</v>
      </c>
      <c r="G2075" s="7771" t="s">
        <v>28</v>
      </c>
      <c r="H2075" s="7771" t="s">
        <v>28</v>
      </c>
      <c r="I2075" s="7771" t="s">
        <v>921</v>
      </c>
    </row>
    <row customHeight="1" ht="11.25">
      <c r="A2076" s="7771" t="s">
        <v>2266</v>
      </c>
      <c r="B2076" s="7771" t="s">
        <v>16</v>
      </c>
      <c r="C2076" s="7771" t="s">
        <v>4273</v>
      </c>
      <c r="D2076" s="7771" t="s">
        <v>4271</v>
      </c>
      <c r="E2076" s="7771" t="s">
        <v>4274</v>
      </c>
      <c r="F2076" s="7771" t="s">
        <v>2441</v>
      </c>
      <c r="G2076" s="7771" t="s">
        <v>4275</v>
      </c>
      <c r="H2076" s="7771" t="s">
        <v>28</v>
      </c>
      <c r="I2076" s="7771" t="s">
        <v>921</v>
      </c>
    </row>
    <row customHeight="1" ht="11.25">
      <c r="A2077" s="7771" t="s">
        <v>2266</v>
      </c>
      <c r="B2077" s="7771" t="s">
        <v>16</v>
      </c>
      <c r="C2077" s="7771" t="s">
        <v>5590</v>
      </c>
      <c r="D2077" s="7771" t="s">
        <v>5591</v>
      </c>
      <c r="E2077" s="7771" t="s">
        <v>5592</v>
      </c>
      <c r="F2077" s="7771" t="s">
        <v>2385</v>
      </c>
      <c r="G2077" s="7771" t="s">
        <v>5593</v>
      </c>
      <c r="H2077" s="7771" t="s">
        <v>28</v>
      </c>
      <c r="I2077" s="7771" t="s">
        <v>921</v>
      </c>
    </row>
    <row customHeight="1" ht="11.25">
      <c r="A2078" s="7771" t="s">
        <v>2266</v>
      </c>
      <c r="B2078" s="7771" t="s">
        <v>16</v>
      </c>
      <c r="C2078" s="7771" t="s">
        <v>5594</v>
      </c>
      <c r="D2078" s="7771" t="s">
        <v>5595</v>
      </c>
      <c r="E2078" s="7771" t="s">
        <v>5596</v>
      </c>
      <c r="F2078" s="7771" t="s">
        <v>2473</v>
      </c>
      <c r="G2078" s="7771" t="s">
        <v>5597</v>
      </c>
      <c r="H2078" s="7771" t="s">
        <v>28</v>
      </c>
      <c r="I2078" s="7771" t="s">
        <v>921</v>
      </c>
    </row>
    <row customHeight="1" ht="11.25">
      <c r="A2079" s="7771" t="s">
        <v>2266</v>
      </c>
      <c r="B2079" s="7771" t="s">
        <v>16</v>
      </c>
      <c r="C2079" s="7771" t="s">
        <v>4288</v>
      </c>
      <c r="D2079" s="7771" t="s">
        <v>4289</v>
      </c>
      <c r="E2079" s="7771" t="s">
        <v>4290</v>
      </c>
      <c r="F2079" s="7771" t="s">
        <v>2451</v>
      </c>
      <c r="G2079" s="7771" t="s">
        <v>4291</v>
      </c>
      <c r="H2079" s="7771" t="s">
        <v>28</v>
      </c>
      <c r="I2079" s="7771" t="s">
        <v>921</v>
      </c>
    </row>
    <row customHeight="1" ht="11.25">
      <c r="A2080" s="7771" t="s">
        <v>2266</v>
      </c>
      <c r="B2080" s="7771" t="s">
        <v>16</v>
      </c>
      <c r="C2080" s="7771" t="s">
        <v>5598</v>
      </c>
      <c r="D2080" s="7771" t="s">
        <v>5599</v>
      </c>
      <c r="E2080" s="7771" t="s">
        <v>5600</v>
      </c>
      <c r="F2080" s="7771" t="s">
        <v>2518</v>
      </c>
      <c r="G2080" s="7771" t="s">
        <v>5601</v>
      </c>
      <c r="H2080" s="7771" t="s">
        <v>28</v>
      </c>
      <c r="I2080" s="7771" t="s">
        <v>921</v>
      </c>
    </row>
    <row customHeight="1" ht="11.25">
      <c r="A2081" s="7771" t="s">
        <v>2266</v>
      </c>
      <c r="B2081" s="7771" t="s">
        <v>16</v>
      </c>
      <c r="C2081" s="7771" t="s">
        <v>4292</v>
      </c>
      <c r="D2081" s="7771" t="s">
        <v>4293</v>
      </c>
      <c r="E2081" s="7771" t="s">
        <v>4294</v>
      </c>
      <c r="F2081" s="7771" t="s">
        <v>2468</v>
      </c>
      <c r="G2081" s="7771" t="s">
        <v>28</v>
      </c>
      <c r="H2081" s="7771" t="s">
        <v>28</v>
      </c>
      <c r="I2081" s="7771" t="s">
        <v>921</v>
      </c>
    </row>
    <row customHeight="1" ht="11.25">
      <c r="A2082" s="7771" t="s">
        <v>2266</v>
      </c>
      <c r="B2082" s="7771" t="s">
        <v>16</v>
      </c>
      <c r="C2082" s="7771" t="s">
        <v>5932</v>
      </c>
      <c r="D2082" s="7771" t="s">
        <v>5933</v>
      </c>
      <c r="E2082" s="7771" t="s">
        <v>5934</v>
      </c>
      <c r="F2082" s="7771" t="s">
        <v>5777</v>
      </c>
      <c r="G2082" s="7771" t="s">
        <v>5935</v>
      </c>
      <c r="H2082" s="7771" t="s">
        <v>28</v>
      </c>
      <c r="I2082" s="7771" t="s">
        <v>921</v>
      </c>
    </row>
    <row customHeight="1" ht="11.25">
      <c r="A2083" s="7771" t="s">
        <v>2266</v>
      </c>
      <c r="B2083" s="7771" t="s">
        <v>16</v>
      </c>
      <c r="C2083" s="7771" t="s">
        <v>5936</v>
      </c>
      <c r="D2083" s="7771" t="s">
        <v>5937</v>
      </c>
      <c r="E2083" s="7771" t="s">
        <v>5938</v>
      </c>
      <c r="F2083" s="7771" t="s">
        <v>2285</v>
      </c>
      <c r="G2083" s="7771" t="s">
        <v>5939</v>
      </c>
      <c r="H2083" s="7771" t="s">
        <v>28</v>
      </c>
      <c r="I2083" s="7771" t="s">
        <v>921</v>
      </c>
    </row>
    <row customHeight="1" ht="11.25">
      <c r="A2084" s="7771" t="s">
        <v>2266</v>
      </c>
      <c r="B2084" s="7771" t="s">
        <v>16</v>
      </c>
      <c r="C2084" s="7771" t="s">
        <v>5940</v>
      </c>
      <c r="D2084" s="7771" t="s">
        <v>5941</v>
      </c>
      <c r="E2084" s="7771" t="s">
        <v>5942</v>
      </c>
      <c r="F2084" s="7771" t="s">
        <v>2473</v>
      </c>
      <c r="G2084" s="7771" t="s">
        <v>28</v>
      </c>
      <c r="H2084" s="7771" t="s">
        <v>28</v>
      </c>
      <c r="I2084" s="7771" t="s">
        <v>921</v>
      </c>
    </row>
    <row customHeight="1" ht="11.25">
      <c r="A2085" s="7771" t="s">
        <v>2266</v>
      </c>
      <c r="B2085" s="7771" t="s">
        <v>16</v>
      </c>
      <c r="C2085" s="7771" t="s">
        <v>5943</v>
      </c>
      <c r="D2085" s="7771" t="s">
        <v>5944</v>
      </c>
      <c r="E2085" s="7771" t="s">
        <v>5945</v>
      </c>
      <c r="F2085" s="7771" t="s">
        <v>2473</v>
      </c>
      <c r="G2085" s="7771" t="s">
        <v>28</v>
      </c>
      <c r="H2085" s="7771" t="s">
        <v>28</v>
      </c>
      <c r="I2085" s="7771" t="s">
        <v>921</v>
      </c>
    </row>
    <row customHeight="1" ht="11.25">
      <c r="A2086" s="7771" t="s">
        <v>2266</v>
      </c>
      <c r="B2086" s="7771" t="s">
        <v>16</v>
      </c>
      <c r="C2086" s="7771" t="s">
        <v>5602</v>
      </c>
      <c r="D2086" s="7771" t="s">
        <v>5603</v>
      </c>
      <c r="E2086" s="7771" t="s">
        <v>5604</v>
      </c>
      <c r="F2086" s="7771" t="s">
        <v>2981</v>
      </c>
      <c r="G2086" s="7771" t="s">
        <v>5605</v>
      </c>
      <c r="H2086" s="7771" t="s">
        <v>28</v>
      </c>
      <c r="I2086" s="7771" t="s">
        <v>921</v>
      </c>
    </row>
    <row customHeight="1" ht="11.25">
      <c r="A2087" s="7771" t="s">
        <v>2266</v>
      </c>
      <c r="B2087" s="7771" t="s">
        <v>16</v>
      </c>
      <c r="C2087" s="7771" t="s">
        <v>5606</v>
      </c>
      <c r="D2087" s="7771" t="s">
        <v>5607</v>
      </c>
      <c r="E2087" s="7771" t="s">
        <v>5608</v>
      </c>
      <c r="F2087" s="7771" t="s">
        <v>5609</v>
      </c>
      <c r="G2087" s="7771" t="s">
        <v>5610</v>
      </c>
      <c r="H2087" s="7771" t="s">
        <v>28</v>
      </c>
      <c r="I2087" s="7771" t="s">
        <v>921</v>
      </c>
    </row>
    <row customHeight="1" ht="11.25">
      <c r="A2088" s="7771" t="s">
        <v>2266</v>
      </c>
      <c r="B2088" s="7771" t="s">
        <v>16</v>
      </c>
      <c r="C2088" s="7771" t="s">
        <v>5611</v>
      </c>
      <c r="D2088" s="7771" t="s">
        <v>5612</v>
      </c>
      <c r="E2088" s="7771" t="s">
        <v>5613</v>
      </c>
      <c r="F2088" s="7771" t="s">
        <v>2372</v>
      </c>
      <c r="G2088" s="7771" t="s">
        <v>28</v>
      </c>
      <c r="H2088" s="7771" t="s">
        <v>28</v>
      </c>
      <c r="I2088" s="7771" t="s">
        <v>921</v>
      </c>
    </row>
    <row customHeight="1" ht="11.25">
      <c r="A2089" s="7771" t="s">
        <v>2266</v>
      </c>
      <c r="B2089" s="7771" t="s">
        <v>16</v>
      </c>
      <c r="C2089" s="7771" t="s">
        <v>4307</v>
      </c>
      <c r="D2089" s="7771" t="s">
        <v>4308</v>
      </c>
      <c r="E2089" s="7771" t="s">
        <v>4309</v>
      </c>
      <c r="F2089" s="7771" t="s">
        <v>2285</v>
      </c>
      <c r="G2089" s="7771" t="s">
        <v>4310</v>
      </c>
      <c r="H2089" s="7771" t="s">
        <v>28</v>
      </c>
      <c r="I2089" s="7771" t="s">
        <v>921</v>
      </c>
    </row>
    <row customHeight="1" ht="11.25">
      <c r="A2090" s="7771" t="s">
        <v>2266</v>
      </c>
      <c r="B2090" s="7771" t="s">
        <v>16</v>
      </c>
      <c r="C2090" s="7771" t="s">
        <v>5614</v>
      </c>
      <c r="D2090" s="7771" t="s">
        <v>5615</v>
      </c>
      <c r="E2090" s="7771" t="s">
        <v>5616</v>
      </c>
      <c r="F2090" s="7771" t="s">
        <v>2882</v>
      </c>
      <c r="G2090" s="7771" t="s">
        <v>5617</v>
      </c>
      <c r="H2090" s="7771" t="s">
        <v>28</v>
      </c>
      <c r="I2090" s="7771" t="s">
        <v>921</v>
      </c>
    </row>
    <row customHeight="1" ht="11.25">
      <c r="A2091" s="7771" t="s">
        <v>2266</v>
      </c>
      <c r="B2091" s="7771" t="s">
        <v>16</v>
      </c>
      <c r="C2091" s="7771" t="s">
        <v>4311</v>
      </c>
      <c r="D2091" s="7771" t="s">
        <v>4312</v>
      </c>
      <c r="E2091" s="7771" t="s">
        <v>4313</v>
      </c>
      <c r="F2091" s="7771" t="s">
        <v>2441</v>
      </c>
      <c r="G2091" s="7771" t="s">
        <v>28</v>
      </c>
      <c r="H2091" s="7771" t="s">
        <v>28</v>
      </c>
      <c r="I2091" s="7771" t="s">
        <v>921</v>
      </c>
    </row>
    <row customHeight="1" ht="11.25">
      <c r="A2092" s="7771" t="s">
        <v>2266</v>
      </c>
      <c r="B2092" s="7771" t="s">
        <v>16</v>
      </c>
      <c r="C2092" s="7771" t="s">
        <v>5618</v>
      </c>
      <c r="D2092" s="7771" t="s">
        <v>5619</v>
      </c>
      <c r="E2092" s="7771" t="s">
        <v>5620</v>
      </c>
      <c r="F2092" s="7771" t="s">
        <v>2377</v>
      </c>
      <c r="G2092" s="7771" t="s">
        <v>5621</v>
      </c>
      <c r="H2092" s="7771" t="s">
        <v>28</v>
      </c>
      <c r="I2092" s="7771" t="s">
        <v>921</v>
      </c>
    </row>
    <row customHeight="1" ht="11.25">
      <c r="A2093" s="7771" t="s">
        <v>2266</v>
      </c>
      <c r="B2093" s="7771" t="s">
        <v>16</v>
      </c>
      <c r="C2093" s="7771" t="s">
        <v>4322</v>
      </c>
      <c r="D2093" s="7771" t="s">
        <v>4323</v>
      </c>
      <c r="E2093" s="7771" t="s">
        <v>4324</v>
      </c>
      <c r="F2093" s="7771" t="s">
        <v>2468</v>
      </c>
      <c r="G2093" s="7771" t="s">
        <v>28</v>
      </c>
      <c r="H2093" s="7771" t="s">
        <v>28</v>
      </c>
      <c r="I2093" s="7771" t="s">
        <v>921</v>
      </c>
    </row>
    <row customHeight="1" ht="11.25">
      <c r="A2094" s="7771" t="s">
        <v>2266</v>
      </c>
      <c r="B2094" s="7771" t="s">
        <v>16</v>
      </c>
      <c r="C2094" s="7771" t="s">
        <v>5622</v>
      </c>
      <c r="D2094" s="7771" t="s">
        <v>5623</v>
      </c>
      <c r="E2094" s="7771" t="s">
        <v>5624</v>
      </c>
      <c r="F2094" s="7771" t="s">
        <v>2655</v>
      </c>
      <c r="G2094" s="7771" t="s">
        <v>5625</v>
      </c>
      <c r="H2094" s="7771" t="s">
        <v>28</v>
      </c>
      <c r="I2094" s="7771" t="s">
        <v>921</v>
      </c>
    </row>
    <row customHeight="1" ht="11.25">
      <c r="A2095" s="7771" t="s">
        <v>2266</v>
      </c>
      <c r="B2095" s="7771" t="s">
        <v>16</v>
      </c>
      <c r="C2095" s="7771" t="s">
        <v>4330</v>
      </c>
      <c r="D2095" s="7771" t="s">
        <v>4331</v>
      </c>
      <c r="E2095" s="7771" t="s">
        <v>4332</v>
      </c>
      <c r="F2095" s="7771" t="s">
        <v>3966</v>
      </c>
      <c r="G2095" s="7771" t="s">
        <v>2404</v>
      </c>
      <c r="H2095" s="7771" t="s">
        <v>28</v>
      </c>
      <c r="I2095" s="7771" t="s">
        <v>921</v>
      </c>
    </row>
    <row customHeight="1" ht="11.25">
      <c r="A2096" s="7771" t="s">
        <v>2266</v>
      </c>
      <c r="B2096" s="7771" t="s">
        <v>16</v>
      </c>
      <c r="C2096" s="7771" t="s">
        <v>4333</v>
      </c>
      <c r="D2096" s="7771" t="s">
        <v>4334</v>
      </c>
      <c r="E2096" s="7771" t="s">
        <v>4335</v>
      </c>
      <c r="F2096" s="7771" t="s">
        <v>2280</v>
      </c>
      <c r="G2096" s="7771" t="s">
        <v>28</v>
      </c>
      <c r="H2096" s="7771" t="s">
        <v>28</v>
      </c>
      <c r="I2096" s="7771" t="s">
        <v>921</v>
      </c>
    </row>
    <row customHeight="1" ht="11.25">
      <c r="A2097" s="7771" t="s">
        <v>2266</v>
      </c>
      <c r="B2097" s="7771" t="s">
        <v>16</v>
      </c>
      <c r="C2097" s="7771" t="s">
        <v>4340</v>
      </c>
      <c r="D2097" s="7771" t="s">
        <v>4341</v>
      </c>
      <c r="E2097" s="7771" t="s">
        <v>4342</v>
      </c>
      <c r="F2097" s="7771" t="s">
        <v>2360</v>
      </c>
      <c r="G2097" s="7771" t="s">
        <v>28</v>
      </c>
      <c r="H2097" s="7771" t="s">
        <v>28</v>
      </c>
      <c r="I2097" s="7771" t="s">
        <v>921</v>
      </c>
    </row>
    <row customHeight="1" ht="11.25">
      <c r="A2098" s="7771" t="s">
        <v>2266</v>
      </c>
      <c r="B2098" s="7771" t="s">
        <v>16</v>
      </c>
      <c r="C2098" s="7771" t="s">
        <v>4346</v>
      </c>
      <c r="D2098" s="7771" t="s">
        <v>4347</v>
      </c>
      <c r="E2098" s="7771" t="s">
        <v>4348</v>
      </c>
      <c r="F2098" s="7771" t="s">
        <v>2356</v>
      </c>
      <c r="G2098" s="7771" t="s">
        <v>28</v>
      </c>
      <c r="H2098" s="7771" t="s">
        <v>28</v>
      </c>
      <c r="I2098" s="7771" t="s">
        <v>921</v>
      </c>
    </row>
    <row customHeight="1" ht="11.25">
      <c r="A2099" s="7771" t="s">
        <v>2266</v>
      </c>
      <c r="B2099" s="7771" t="s">
        <v>16</v>
      </c>
      <c r="C2099" s="7771" t="s">
        <v>4349</v>
      </c>
      <c r="D2099" s="7771" t="s">
        <v>4350</v>
      </c>
      <c r="E2099" s="7771" t="s">
        <v>4351</v>
      </c>
      <c r="F2099" s="7771" t="s">
        <v>2285</v>
      </c>
      <c r="G2099" s="7771" t="s">
        <v>28</v>
      </c>
      <c r="H2099" s="7771" t="s">
        <v>28</v>
      </c>
      <c r="I2099" s="7771" t="s">
        <v>921</v>
      </c>
    </row>
    <row customHeight="1" ht="11.25">
      <c r="A2100" s="7771" t="s">
        <v>2266</v>
      </c>
      <c r="B2100" s="7771" t="s">
        <v>16</v>
      </c>
      <c r="C2100" s="7771" t="s">
        <v>5946</v>
      </c>
      <c r="D2100" s="7771" t="s">
        <v>5947</v>
      </c>
      <c r="E2100" s="7771" t="s">
        <v>5948</v>
      </c>
      <c r="F2100" s="7771" t="s">
        <v>2473</v>
      </c>
      <c r="G2100" s="7771" t="s">
        <v>28</v>
      </c>
      <c r="H2100" s="7771" t="s">
        <v>28</v>
      </c>
      <c r="I2100" s="7771" t="s">
        <v>921</v>
      </c>
    </row>
    <row customHeight="1" ht="11.25">
      <c r="A2101" s="7771" t="s">
        <v>2266</v>
      </c>
      <c r="B2101" s="7771" t="s">
        <v>16</v>
      </c>
      <c r="C2101" s="7771" t="s">
        <v>5626</v>
      </c>
      <c r="D2101" s="7771" t="s">
        <v>5627</v>
      </c>
      <c r="E2101" s="7771" t="s">
        <v>5628</v>
      </c>
      <c r="F2101" s="7771" t="s">
        <v>2377</v>
      </c>
      <c r="G2101" s="7771" t="s">
        <v>5629</v>
      </c>
      <c r="H2101" s="7771" t="s">
        <v>28</v>
      </c>
      <c r="I2101" s="7771" t="s">
        <v>921</v>
      </c>
    </row>
    <row customHeight="1" ht="11.25">
      <c r="A2102" s="7771" t="s">
        <v>2266</v>
      </c>
      <c r="B2102" s="7771" t="s">
        <v>16</v>
      </c>
      <c r="C2102" s="7771" t="s">
        <v>4364</v>
      </c>
      <c r="D2102" s="7771" t="s">
        <v>4365</v>
      </c>
      <c r="E2102" s="7771" t="s">
        <v>4366</v>
      </c>
      <c r="F2102" s="7771" t="s">
        <v>2372</v>
      </c>
      <c r="G2102" s="7771" t="s">
        <v>4367</v>
      </c>
      <c r="H2102" s="7771" t="s">
        <v>28</v>
      </c>
      <c r="I2102" s="7771" t="s">
        <v>921</v>
      </c>
    </row>
    <row customHeight="1" ht="11.25">
      <c r="A2103" s="7771" t="s">
        <v>2266</v>
      </c>
      <c r="B2103" s="7771" t="s">
        <v>16</v>
      </c>
      <c r="C2103" s="7771" t="s">
        <v>5633</v>
      </c>
      <c r="D2103" s="7771" t="s">
        <v>5634</v>
      </c>
      <c r="E2103" s="7771" t="s">
        <v>5635</v>
      </c>
      <c r="F2103" s="7771" t="s">
        <v>2372</v>
      </c>
      <c r="G2103" s="7771" t="s">
        <v>3600</v>
      </c>
      <c r="H2103" s="7771" t="s">
        <v>28</v>
      </c>
      <c r="I2103" s="7771" t="s">
        <v>921</v>
      </c>
    </row>
    <row customHeight="1" ht="11.25">
      <c r="A2104" s="7771" t="s">
        <v>2266</v>
      </c>
      <c r="B2104" s="7771" t="s">
        <v>16</v>
      </c>
      <c r="C2104" s="7771" t="s">
        <v>5636</v>
      </c>
      <c r="D2104" s="7771" t="s">
        <v>5637</v>
      </c>
      <c r="E2104" s="7771" t="s">
        <v>5638</v>
      </c>
      <c r="F2104" s="7771" t="s">
        <v>2360</v>
      </c>
      <c r="G2104" s="7771" t="s">
        <v>5639</v>
      </c>
      <c r="H2104" s="7771" t="s">
        <v>28</v>
      </c>
      <c r="I2104" s="7771" t="s">
        <v>921</v>
      </c>
    </row>
    <row customHeight="1" ht="11.25">
      <c r="A2105" s="7771" t="s">
        <v>2266</v>
      </c>
      <c r="B2105" s="7771" t="s">
        <v>16</v>
      </c>
      <c r="C2105" s="7771" t="s">
        <v>5648</v>
      </c>
      <c r="D2105" s="7771" t="s">
        <v>5649</v>
      </c>
      <c r="E2105" s="7771" t="s">
        <v>5650</v>
      </c>
      <c r="F2105" s="7771" t="s">
        <v>2377</v>
      </c>
      <c r="G2105" s="7771" t="s">
        <v>2404</v>
      </c>
      <c r="H2105" s="7771" t="s">
        <v>28</v>
      </c>
      <c r="I2105" s="7771" t="s">
        <v>921</v>
      </c>
    </row>
    <row customHeight="1" ht="11.25">
      <c r="A2106" s="7771" t="s">
        <v>2266</v>
      </c>
      <c r="B2106" s="7771" t="s">
        <v>16</v>
      </c>
      <c r="C2106" s="7771" t="s">
        <v>5651</v>
      </c>
      <c r="D2106" s="7771" t="s">
        <v>5652</v>
      </c>
      <c r="E2106" s="7771" t="s">
        <v>5653</v>
      </c>
      <c r="F2106" s="7771" t="s">
        <v>2347</v>
      </c>
      <c r="G2106" s="7771" t="s">
        <v>5654</v>
      </c>
      <c r="H2106" s="7771" t="s">
        <v>28</v>
      </c>
      <c r="I2106" s="7771" t="s">
        <v>921</v>
      </c>
    </row>
    <row customHeight="1" ht="11.25">
      <c r="A2107" s="7771" t="s">
        <v>2266</v>
      </c>
      <c r="B2107" s="7771" t="s">
        <v>16</v>
      </c>
      <c r="C2107" s="7771" t="s">
        <v>5949</v>
      </c>
      <c r="D2107" s="7771" t="s">
        <v>5950</v>
      </c>
      <c r="E2107" s="7771" t="s">
        <v>5951</v>
      </c>
      <c r="F2107" s="7771" t="s">
        <v>2473</v>
      </c>
      <c r="G2107" s="7771" t="s">
        <v>28</v>
      </c>
      <c r="H2107" s="7771" t="s">
        <v>28</v>
      </c>
      <c r="I2107" s="7771" t="s">
        <v>921</v>
      </c>
    </row>
    <row customHeight="1" ht="11.25">
      <c r="A2108" s="7771" t="s">
        <v>2266</v>
      </c>
      <c r="B2108" s="7771" t="s">
        <v>16</v>
      </c>
      <c r="C2108" s="7771" t="s">
        <v>5655</v>
      </c>
      <c r="D2108" s="7771" t="s">
        <v>5656</v>
      </c>
      <c r="E2108" s="7771" t="s">
        <v>5657</v>
      </c>
      <c r="F2108" s="7771" t="s">
        <v>4328</v>
      </c>
      <c r="G2108" s="7771" t="s">
        <v>5658</v>
      </c>
      <c r="H2108" s="7771" t="s">
        <v>28</v>
      </c>
      <c r="I2108" s="7771" t="s">
        <v>921</v>
      </c>
    </row>
    <row customHeight="1" ht="11.25">
      <c r="A2109" s="7771" t="s">
        <v>2266</v>
      </c>
      <c r="B2109" s="7771" t="s">
        <v>16</v>
      </c>
      <c r="C2109" s="7771" t="s">
        <v>4375</v>
      </c>
      <c r="D2109" s="7771" t="s">
        <v>4376</v>
      </c>
      <c r="E2109" s="7771" t="s">
        <v>4377</v>
      </c>
      <c r="F2109" s="7771" t="s">
        <v>2451</v>
      </c>
      <c r="G2109" s="7771" t="s">
        <v>28</v>
      </c>
      <c r="H2109" s="7771" t="s">
        <v>28</v>
      </c>
      <c r="I2109" s="7771" t="s">
        <v>921</v>
      </c>
    </row>
    <row customHeight="1" ht="11.25">
      <c r="A2110" s="7771" t="s">
        <v>2266</v>
      </c>
      <c r="B2110" s="7771" t="s">
        <v>16</v>
      </c>
      <c r="C2110" s="7771" t="s">
        <v>4381</v>
      </c>
      <c r="D2110" s="7771" t="s">
        <v>4382</v>
      </c>
      <c r="E2110" s="7771" t="s">
        <v>4383</v>
      </c>
      <c r="F2110" s="7771" t="s">
        <v>2320</v>
      </c>
      <c r="G2110" s="7771" t="s">
        <v>28</v>
      </c>
      <c r="H2110" s="7771" t="s">
        <v>28</v>
      </c>
      <c r="I2110" s="7771" t="s">
        <v>921</v>
      </c>
    </row>
    <row customHeight="1" ht="11.25">
      <c r="A2111" s="7771" t="s">
        <v>2266</v>
      </c>
      <c r="B2111" s="7771" t="s">
        <v>16</v>
      </c>
      <c r="C2111" s="7771" t="s">
        <v>5666</v>
      </c>
      <c r="D2111" s="7771" t="s">
        <v>5667</v>
      </c>
      <c r="E2111" s="7771" t="s">
        <v>5668</v>
      </c>
      <c r="F2111" s="7771" t="s">
        <v>2739</v>
      </c>
      <c r="G2111" s="7771" t="s">
        <v>28</v>
      </c>
      <c r="H2111" s="7771" t="s">
        <v>28</v>
      </c>
      <c r="I2111" s="7771" t="s">
        <v>921</v>
      </c>
    </row>
    <row customHeight="1" ht="11.25">
      <c r="A2112" s="7771" t="s">
        <v>2266</v>
      </c>
      <c r="B2112" s="7771" t="s">
        <v>16</v>
      </c>
      <c r="C2112" s="7771" t="s">
        <v>5669</v>
      </c>
      <c r="D2112" s="7771" t="s">
        <v>5670</v>
      </c>
      <c r="E2112" s="7771" t="s">
        <v>5671</v>
      </c>
      <c r="F2112" s="7771" t="s">
        <v>2441</v>
      </c>
      <c r="G2112" s="7771" t="s">
        <v>5672</v>
      </c>
      <c r="H2112" s="7771" t="s">
        <v>28</v>
      </c>
      <c r="I2112" s="7771" t="s">
        <v>921</v>
      </c>
    </row>
    <row customHeight="1" ht="11.25">
      <c r="A2113" s="7771" t="s">
        <v>2266</v>
      </c>
      <c r="B2113" s="7771" t="s">
        <v>16</v>
      </c>
      <c r="C2113" s="7771" t="s">
        <v>4388</v>
      </c>
      <c r="D2113" s="7771" t="s">
        <v>4389</v>
      </c>
      <c r="E2113" s="7771" t="s">
        <v>4390</v>
      </c>
      <c r="F2113" s="7771" t="s">
        <v>2280</v>
      </c>
      <c r="G2113" s="7771" t="s">
        <v>4391</v>
      </c>
      <c r="H2113" s="7771" t="s">
        <v>28</v>
      </c>
      <c r="I2113" s="7771" t="s">
        <v>921</v>
      </c>
    </row>
    <row customHeight="1" ht="11.25">
      <c r="A2114" s="7771" t="s">
        <v>2266</v>
      </c>
      <c r="B2114" s="7771" t="s">
        <v>16</v>
      </c>
      <c r="C2114" s="7771" t="s">
        <v>5673</v>
      </c>
      <c r="D2114" s="7771" t="s">
        <v>5674</v>
      </c>
      <c r="E2114" s="7771" t="s">
        <v>5675</v>
      </c>
      <c r="F2114" s="7771" t="s">
        <v>2385</v>
      </c>
      <c r="G2114" s="7771" t="s">
        <v>28</v>
      </c>
      <c r="H2114" s="7771" t="s">
        <v>28</v>
      </c>
      <c r="I2114" s="7771" t="s">
        <v>921</v>
      </c>
    </row>
    <row customHeight="1" ht="11.25">
      <c r="A2115" s="7771" t="s">
        <v>2266</v>
      </c>
      <c r="B2115" s="7771" t="s">
        <v>16</v>
      </c>
      <c r="C2115" s="7771" t="s">
        <v>4404</v>
      </c>
      <c r="D2115" s="7771" t="s">
        <v>4405</v>
      </c>
      <c r="E2115" s="7771" t="s">
        <v>4406</v>
      </c>
      <c r="F2115" s="7771" t="s">
        <v>2360</v>
      </c>
      <c r="G2115" s="7771" t="s">
        <v>4407</v>
      </c>
      <c r="H2115" s="7771" t="s">
        <v>28</v>
      </c>
      <c r="I2115" s="7771" t="s">
        <v>921</v>
      </c>
    </row>
    <row customHeight="1" ht="11.25">
      <c r="A2116" s="7771" t="s">
        <v>2266</v>
      </c>
      <c r="B2116" s="7771" t="s">
        <v>16</v>
      </c>
      <c r="C2116" s="7771" t="s">
        <v>5676</v>
      </c>
      <c r="D2116" s="7771" t="s">
        <v>5677</v>
      </c>
      <c r="E2116" s="7771" t="s">
        <v>5678</v>
      </c>
      <c r="F2116" s="7771" t="s">
        <v>2377</v>
      </c>
      <c r="G2116" s="7771" t="s">
        <v>5679</v>
      </c>
      <c r="H2116" s="7771" t="s">
        <v>28</v>
      </c>
      <c r="I2116" s="7771" t="s">
        <v>921</v>
      </c>
    </row>
    <row customHeight="1" ht="11.25">
      <c r="A2117" s="7771" t="s">
        <v>2266</v>
      </c>
      <c r="B2117" s="7771" t="s">
        <v>16</v>
      </c>
      <c r="C2117" s="7771" t="s">
        <v>4415</v>
      </c>
      <c r="D2117" s="7771" t="s">
        <v>4416</v>
      </c>
      <c r="E2117" s="7771" t="s">
        <v>4417</v>
      </c>
      <c r="F2117" s="7771" t="s">
        <v>2385</v>
      </c>
      <c r="G2117" s="7771" t="s">
        <v>28</v>
      </c>
      <c r="H2117" s="7771" t="s">
        <v>28</v>
      </c>
      <c r="I2117" s="7771" t="s">
        <v>921</v>
      </c>
    </row>
    <row customHeight="1" ht="11.25">
      <c r="A2118" s="7771" t="s">
        <v>2266</v>
      </c>
      <c r="B2118" s="7771" t="s">
        <v>16</v>
      </c>
      <c r="C2118" s="7771" t="s">
        <v>4418</v>
      </c>
      <c r="D2118" s="7771" t="s">
        <v>4419</v>
      </c>
      <c r="E2118" s="7771" t="s">
        <v>4420</v>
      </c>
      <c r="F2118" s="7771" t="s">
        <v>2430</v>
      </c>
      <c r="G2118" s="7771" t="s">
        <v>4421</v>
      </c>
      <c r="H2118" s="7771" t="s">
        <v>28</v>
      </c>
      <c r="I2118" s="7771" t="s">
        <v>921</v>
      </c>
    </row>
    <row customHeight="1" ht="11.25">
      <c r="A2119" s="7771" t="s">
        <v>2266</v>
      </c>
      <c r="B2119" s="7771" t="s">
        <v>16</v>
      </c>
      <c r="C2119" s="7771" t="s">
        <v>4422</v>
      </c>
      <c r="D2119" s="7771" t="s">
        <v>4423</v>
      </c>
      <c r="E2119" s="7771" t="s">
        <v>4424</v>
      </c>
      <c r="F2119" s="7771" t="s">
        <v>2385</v>
      </c>
      <c r="G2119" s="7771" t="s">
        <v>4425</v>
      </c>
      <c r="H2119" s="7771" t="s">
        <v>28</v>
      </c>
      <c r="I2119" s="7771" t="s">
        <v>921</v>
      </c>
    </row>
    <row customHeight="1" ht="11.25">
      <c r="A2120" s="7771" t="s">
        <v>2266</v>
      </c>
      <c r="B2120" s="7771" t="s">
        <v>16</v>
      </c>
      <c r="C2120" s="7771" t="s">
        <v>4426</v>
      </c>
      <c r="D2120" s="7771" t="s">
        <v>4427</v>
      </c>
      <c r="E2120" s="7771" t="s">
        <v>4428</v>
      </c>
      <c r="F2120" s="7771" t="s">
        <v>2486</v>
      </c>
      <c r="G2120" s="7771" t="s">
        <v>28</v>
      </c>
      <c r="H2120" s="7771" t="s">
        <v>28</v>
      </c>
      <c r="I2120" s="7771" t="s">
        <v>921</v>
      </c>
    </row>
    <row customHeight="1" ht="11.25">
      <c r="A2121" s="7771" t="s">
        <v>2266</v>
      </c>
      <c r="B2121" s="7771" t="s">
        <v>16</v>
      </c>
      <c r="C2121" s="7771" t="s">
        <v>4429</v>
      </c>
      <c r="D2121" s="7771" t="s">
        <v>4430</v>
      </c>
      <c r="E2121" s="7771" t="s">
        <v>4431</v>
      </c>
      <c r="F2121" s="7771" t="s">
        <v>2280</v>
      </c>
      <c r="G2121" s="7771" t="s">
        <v>28</v>
      </c>
      <c r="H2121" s="7771" t="s">
        <v>28</v>
      </c>
      <c r="I2121" s="7771" t="s">
        <v>921</v>
      </c>
    </row>
    <row customHeight="1" ht="11.25">
      <c r="A2122" s="7771" t="s">
        <v>2266</v>
      </c>
      <c r="B2122" s="7771" t="s">
        <v>16</v>
      </c>
      <c r="C2122" s="7771" t="s">
        <v>4432</v>
      </c>
      <c r="D2122" s="7771" t="s">
        <v>4433</v>
      </c>
      <c r="E2122" s="7771" t="s">
        <v>4434</v>
      </c>
      <c r="F2122" s="7771" t="s">
        <v>4435</v>
      </c>
      <c r="G2122" s="7771" t="s">
        <v>4436</v>
      </c>
      <c r="H2122" s="7771" t="s">
        <v>28</v>
      </c>
      <c r="I2122" s="7771" t="s">
        <v>921</v>
      </c>
    </row>
    <row customHeight="1" ht="11.25">
      <c r="A2123" s="7771" t="s">
        <v>2266</v>
      </c>
      <c r="B2123" s="7771" t="s">
        <v>16</v>
      </c>
      <c r="C2123" s="7771" t="s">
        <v>4437</v>
      </c>
      <c r="D2123" s="7771" t="s">
        <v>4438</v>
      </c>
      <c r="E2123" s="7771" t="s">
        <v>4439</v>
      </c>
      <c r="F2123" s="7771" t="s">
        <v>4440</v>
      </c>
      <c r="G2123" s="7771" t="s">
        <v>28</v>
      </c>
      <c r="H2123" s="7771" t="s">
        <v>28</v>
      </c>
      <c r="I2123" s="7771" t="s">
        <v>921</v>
      </c>
    </row>
    <row customHeight="1" ht="11.25">
      <c r="A2124" s="7771" t="s">
        <v>2266</v>
      </c>
      <c r="B2124" s="7771" t="s">
        <v>16</v>
      </c>
      <c r="C2124" s="7771" t="s">
        <v>4441</v>
      </c>
      <c r="D2124" s="7771" t="s">
        <v>4442</v>
      </c>
      <c r="E2124" s="7771" t="s">
        <v>4439</v>
      </c>
      <c r="F2124" s="7771" t="s">
        <v>4443</v>
      </c>
      <c r="G2124" s="7771" t="s">
        <v>28</v>
      </c>
      <c r="H2124" s="7771" t="s">
        <v>28</v>
      </c>
      <c r="I2124" s="7771" t="s">
        <v>921</v>
      </c>
    </row>
    <row customHeight="1" ht="11.25">
      <c r="A2125" s="7771" t="s">
        <v>2266</v>
      </c>
      <c r="B2125" s="7771" t="s">
        <v>16</v>
      </c>
      <c r="C2125" s="7771" t="s">
        <v>5680</v>
      </c>
      <c r="D2125" s="7771" t="s">
        <v>5681</v>
      </c>
      <c r="E2125" s="7771" t="s">
        <v>4498</v>
      </c>
      <c r="F2125" s="7771" t="s">
        <v>5682</v>
      </c>
      <c r="G2125" s="7771" t="s">
        <v>28</v>
      </c>
      <c r="H2125" s="7771" t="s">
        <v>28</v>
      </c>
      <c r="I2125" s="7771" t="s">
        <v>921</v>
      </c>
    </row>
    <row customHeight="1" ht="11.25">
      <c r="A2126" s="7771" t="s">
        <v>2266</v>
      </c>
      <c r="B2126" s="7771" t="s">
        <v>16</v>
      </c>
      <c r="C2126" s="7771" t="s">
        <v>4444</v>
      </c>
      <c r="D2126" s="7771" t="s">
        <v>4445</v>
      </c>
      <c r="E2126" s="7771" t="s">
        <v>4446</v>
      </c>
      <c r="F2126" s="7771" t="s">
        <v>2434</v>
      </c>
      <c r="G2126" s="7771" t="s">
        <v>28</v>
      </c>
      <c r="H2126" s="7771" t="s">
        <v>28</v>
      </c>
      <c r="I2126" s="7771" t="s">
        <v>921</v>
      </c>
    </row>
    <row customHeight="1" ht="11.25">
      <c r="A2127" s="7771" t="s">
        <v>2266</v>
      </c>
      <c r="B2127" s="7771" t="s">
        <v>16</v>
      </c>
      <c r="C2127" s="7771" t="s">
        <v>4447</v>
      </c>
      <c r="D2127" s="7771" t="s">
        <v>4448</v>
      </c>
      <c r="E2127" s="7771" t="s">
        <v>4449</v>
      </c>
      <c r="F2127" s="7771" t="s">
        <v>3726</v>
      </c>
      <c r="G2127" s="7771" t="s">
        <v>4450</v>
      </c>
      <c r="H2127" s="7771" t="s">
        <v>28</v>
      </c>
      <c r="I2127" s="7771" t="s">
        <v>921</v>
      </c>
    </row>
    <row customHeight="1" ht="11.25">
      <c r="A2128" s="7771" t="s">
        <v>2266</v>
      </c>
      <c r="B2128" s="7771" t="s">
        <v>16</v>
      </c>
      <c r="C2128" s="7771" t="s">
        <v>4466</v>
      </c>
      <c r="D2128" s="7771" t="s">
        <v>4465</v>
      </c>
      <c r="E2128" s="7771" t="s">
        <v>2756</v>
      </c>
      <c r="F2128" s="7771" t="s">
        <v>4454</v>
      </c>
      <c r="G2128" s="7771" t="s">
        <v>28</v>
      </c>
      <c r="H2128" s="7771" t="s">
        <v>28</v>
      </c>
      <c r="I2128" s="7771" t="s">
        <v>921</v>
      </c>
    </row>
    <row customHeight="1" ht="11.25">
      <c r="A2129" s="7771" t="s">
        <v>2266</v>
      </c>
      <c r="B2129" s="7771" t="s">
        <v>16</v>
      </c>
      <c r="C2129" s="7771" t="s">
        <v>4471</v>
      </c>
      <c r="D2129" s="7771" t="s">
        <v>4472</v>
      </c>
      <c r="E2129" s="7771" t="s">
        <v>4473</v>
      </c>
      <c r="F2129" s="7771" t="s">
        <v>4474</v>
      </c>
      <c r="G2129" s="7771" t="s">
        <v>4475</v>
      </c>
      <c r="H2129" s="7771" t="s">
        <v>28</v>
      </c>
      <c r="I2129" s="7771" t="s">
        <v>921</v>
      </c>
    </row>
    <row customHeight="1" ht="11.25">
      <c r="A2130" s="7771" t="s">
        <v>2266</v>
      </c>
      <c r="B2130" s="7771" t="s">
        <v>16</v>
      </c>
      <c r="C2130" s="7771" t="s">
        <v>4476</v>
      </c>
      <c r="D2130" s="7771" t="s">
        <v>4477</v>
      </c>
      <c r="E2130" s="7771" t="s">
        <v>4478</v>
      </c>
      <c r="F2130" s="7771" t="s">
        <v>4479</v>
      </c>
      <c r="G2130" s="7771" t="s">
        <v>4480</v>
      </c>
      <c r="H2130" s="7771" t="s">
        <v>28</v>
      </c>
      <c r="I2130" s="7771" t="s">
        <v>921</v>
      </c>
    </row>
    <row customHeight="1" ht="11.25">
      <c r="A2131" s="7771" t="s">
        <v>2266</v>
      </c>
      <c r="B2131" s="7771" t="s">
        <v>16</v>
      </c>
      <c r="C2131" s="7771" t="s">
        <v>4489</v>
      </c>
      <c r="D2131" s="7771" t="s">
        <v>4490</v>
      </c>
      <c r="E2131" s="7771" t="s">
        <v>4491</v>
      </c>
      <c r="F2131" s="7771" t="s">
        <v>2518</v>
      </c>
      <c r="G2131" s="7771" t="s">
        <v>4492</v>
      </c>
      <c r="H2131" s="7771" t="s">
        <v>28</v>
      </c>
      <c r="I2131" s="7771" t="s">
        <v>921</v>
      </c>
    </row>
    <row customHeight="1" ht="11.25">
      <c r="A2132" s="7771" t="s">
        <v>2266</v>
      </c>
      <c r="B2132" s="7771" t="s">
        <v>16</v>
      </c>
      <c r="C2132" s="7771" t="s">
        <v>4493</v>
      </c>
      <c r="D2132" s="7771" t="s">
        <v>4494</v>
      </c>
      <c r="E2132" s="7771" t="s">
        <v>4495</v>
      </c>
      <c r="F2132" s="7771" t="s">
        <v>2463</v>
      </c>
      <c r="G2132" s="7771" t="s">
        <v>28</v>
      </c>
      <c r="H2132" s="7771" t="s">
        <v>28</v>
      </c>
      <c r="I2132" s="7771" t="s">
        <v>921</v>
      </c>
    </row>
    <row customHeight="1" ht="11.25">
      <c r="A2133" s="7771" t="s">
        <v>2266</v>
      </c>
      <c r="B2133" s="7771" t="s">
        <v>16</v>
      </c>
      <c r="C2133" s="7771" t="s">
        <v>4496</v>
      </c>
      <c r="D2133" s="7771" t="s">
        <v>4497</v>
      </c>
      <c r="E2133" s="7771" t="s">
        <v>4498</v>
      </c>
      <c r="F2133" s="7771" t="s">
        <v>2441</v>
      </c>
      <c r="G2133" s="7771" t="s">
        <v>4499</v>
      </c>
      <c r="H2133" s="7771" t="s">
        <v>28</v>
      </c>
      <c r="I2133" s="7771" t="s">
        <v>921</v>
      </c>
    </row>
    <row customHeight="1" ht="11.25">
      <c r="A2134" s="7771" t="s">
        <v>2266</v>
      </c>
      <c r="B2134" s="7771" t="s">
        <v>16</v>
      </c>
      <c r="C2134" s="7771" t="s">
        <v>4503</v>
      </c>
      <c r="D2134" s="7771" t="s">
        <v>4504</v>
      </c>
      <c r="E2134" s="7771" t="s">
        <v>4505</v>
      </c>
      <c r="F2134" s="7771" t="s">
        <v>3726</v>
      </c>
      <c r="G2134" s="7771" t="s">
        <v>4506</v>
      </c>
      <c r="H2134" s="7771" t="s">
        <v>28</v>
      </c>
      <c r="I2134" s="7771" t="s">
        <v>921</v>
      </c>
    </row>
    <row customHeight="1" ht="11.25">
      <c r="A2135" s="7771" t="s">
        <v>2266</v>
      </c>
      <c r="B2135" s="7771" t="s">
        <v>16</v>
      </c>
      <c r="C2135" s="7771" t="s">
        <v>5952</v>
      </c>
      <c r="D2135" s="7771" t="s">
        <v>5953</v>
      </c>
      <c r="E2135" s="7771" t="s">
        <v>4509</v>
      </c>
      <c r="F2135" s="7771" t="s">
        <v>2441</v>
      </c>
      <c r="G2135" s="7771" t="s">
        <v>28</v>
      </c>
      <c r="H2135" s="7771" t="s">
        <v>28</v>
      </c>
      <c r="I2135" s="7771" t="s">
        <v>921</v>
      </c>
    </row>
    <row customHeight="1" ht="11.25">
      <c r="A2136" s="7771" t="s">
        <v>2266</v>
      </c>
      <c r="B2136" s="7771" t="s">
        <v>16</v>
      </c>
      <c r="C2136" s="7771" t="s">
        <v>4507</v>
      </c>
      <c r="D2136" s="7771" t="s">
        <v>4508</v>
      </c>
      <c r="E2136" s="7771" t="s">
        <v>4509</v>
      </c>
      <c r="F2136" s="7771" t="s">
        <v>4510</v>
      </c>
      <c r="G2136" s="7771" t="s">
        <v>28</v>
      </c>
      <c r="H2136" s="7771" t="s">
        <v>28</v>
      </c>
      <c r="I2136" s="7771" t="s">
        <v>921</v>
      </c>
    </row>
    <row customHeight="1" ht="11.25">
      <c r="A2137" s="7771" t="s">
        <v>2266</v>
      </c>
      <c r="B2137" s="7771" t="s">
        <v>16</v>
      </c>
      <c r="C2137" s="7771" t="s">
        <v>5954</v>
      </c>
      <c r="D2137" s="7771" t="s">
        <v>5955</v>
      </c>
      <c r="E2137" s="7771" t="s">
        <v>5956</v>
      </c>
      <c r="F2137" s="7771" t="s">
        <v>2518</v>
      </c>
      <c r="G2137" s="7771" t="s">
        <v>5957</v>
      </c>
      <c r="H2137" s="7771" t="s">
        <v>28</v>
      </c>
      <c r="I2137" s="7771" t="s">
        <v>921</v>
      </c>
    </row>
    <row customHeight="1" ht="11.25">
      <c r="A2138" s="7771" t="s">
        <v>2266</v>
      </c>
      <c r="B2138" s="7771" t="s">
        <v>16</v>
      </c>
      <c r="C2138" s="7771" t="s">
        <v>4541</v>
      </c>
      <c r="D2138" s="7771" t="s">
        <v>4542</v>
      </c>
      <c r="E2138" s="7771" t="s">
        <v>4543</v>
      </c>
      <c r="F2138" s="7771" t="s">
        <v>2280</v>
      </c>
      <c r="G2138" s="7771" t="s">
        <v>4544</v>
      </c>
      <c r="H2138" s="7771" t="s">
        <v>28</v>
      </c>
      <c r="I2138" s="7771" t="s">
        <v>921</v>
      </c>
    </row>
    <row customHeight="1" ht="11.25">
      <c r="A2139" s="7771" t="s">
        <v>2266</v>
      </c>
      <c r="B2139" s="7771" t="s">
        <v>16</v>
      </c>
      <c r="C2139" s="7771" t="s">
        <v>4556</v>
      </c>
      <c r="D2139" s="7771" t="s">
        <v>4557</v>
      </c>
      <c r="E2139" s="7771" t="s">
        <v>4558</v>
      </c>
      <c r="F2139" s="7771" t="s">
        <v>2377</v>
      </c>
      <c r="G2139" s="7771" t="s">
        <v>28</v>
      </c>
      <c r="H2139" s="7771" t="s">
        <v>28</v>
      </c>
      <c r="I2139" s="7771" t="s">
        <v>921</v>
      </c>
    </row>
    <row customHeight="1" ht="11.25">
      <c r="A2140" s="7771" t="s">
        <v>2266</v>
      </c>
      <c r="B2140" s="7771" t="s">
        <v>16</v>
      </c>
      <c r="C2140" s="7771" t="s">
        <v>4565</v>
      </c>
      <c r="D2140" s="7771" t="s">
        <v>4566</v>
      </c>
      <c r="E2140" s="7771" t="s">
        <v>4567</v>
      </c>
      <c r="F2140" s="7771" t="s">
        <v>2486</v>
      </c>
      <c r="G2140" s="7771" t="s">
        <v>28</v>
      </c>
      <c r="H2140" s="7771" t="s">
        <v>28</v>
      </c>
      <c r="I2140" s="7771" t="s">
        <v>921</v>
      </c>
    </row>
    <row customHeight="1" ht="11.25">
      <c r="A2141" s="7771" t="s">
        <v>2266</v>
      </c>
      <c r="B2141" s="7771" t="s">
        <v>16</v>
      </c>
      <c r="C2141" s="7771" t="s">
        <v>4571</v>
      </c>
      <c r="D2141" s="7771" t="s">
        <v>4572</v>
      </c>
      <c r="E2141" s="7771" t="s">
        <v>4573</v>
      </c>
      <c r="F2141" s="7771" t="s">
        <v>2360</v>
      </c>
      <c r="G2141" s="7771" t="s">
        <v>28</v>
      </c>
      <c r="H2141" s="7771" t="s">
        <v>28</v>
      </c>
      <c r="I2141" s="7771" t="s">
        <v>921</v>
      </c>
    </row>
    <row customHeight="1" ht="11.25">
      <c r="A2142" s="7771" t="s">
        <v>2266</v>
      </c>
      <c r="B2142" s="7771" t="s">
        <v>16</v>
      </c>
      <c r="C2142" s="7771" t="s">
        <v>4574</v>
      </c>
      <c r="D2142" s="7771" t="s">
        <v>4575</v>
      </c>
      <c r="E2142" s="7771" t="s">
        <v>4576</v>
      </c>
      <c r="F2142" s="7771" t="s">
        <v>2285</v>
      </c>
      <c r="G2142" s="7771" t="s">
        <v>28</v>
      </c>
      <c r="H2142" s="7771" t="s">
        <v>28</v>
      </c>
      <c r="I2142" s="7771" t="s">
        <v>921</v>
      </c>
    </row>
    <row customHeight="1" ht="11.25">
      <c r="A2143" s="7771" t="s">
        <v>2266</v>
      </c>
      <c r="B2143" s="7771" t="s">
        <v>16</v>
      </c>
      <c r="C2143" s="7771" t="s">
        <v>4582</v>
      </c>
      <c r="D2143" s="7771" t="s">
        <v>4583</v>
      </c>
      <c r="E2143" s="7771" t="s">
        <v>4584</v>
      </c>
      <c r="F2143" s="7771" t="s">
        <v>2356</v>
      </c>
      <c r="G2143" s="7771" t="s">
        <v>4585</v>
      </c>
      <c r="H2143" s="7771" t="s">
        <v>28</v>
      </c>
      <c r="I2143" s="7771" t="s">
        <v>921</v>
      </c>
    </row>
    <row customHeight="1" ht="11.25">
      <c r="A2144" s="7771" t="s">
        <v>2266</v>
      </c>
      <c r="B2144" s="7771" t="s">
        <v>16</v>
      </c>
      <c r="C2144" s="7771" t="s">
        <v>4586</v>
      </c>
      <c r="D2144" s="7771" t="s">
        <v>4587</v>
      </c>
      <c r="E2144" s="7771" t="s">
        <v>4588</v>
      </c>
      <c r="F2144" s="7771" t="s">
        <v>2372</v>
      </c>
      <c r="G2144" s="7771" t="s">
        <v>28</v>
      </c>
      <c r="H2144" s="7771" t="s">
        <v>28</v>
      </c>
      <c r="I2144" s="7771" t="s">
        <v>921</v>
      </c>
    </row>
    <row customHeight="1" ht="11.25">
      <c r="A2145" s="7771" t="s">
        <v>2266</v>
      </c>
      <c r="B2145" s="7771" t="s">
        <v>16</v>
      </c>
      <c r="C2145" s="7771" t="s">
        <v>4589</v>
      </c>
      <c r="D2145" s="7771" t="s">
        <v>4590</v>
      </c>
      <c r="E2145" s="7771" t="s">
        <v>4591</v>
      </c>
      <c r="F2145" s="7771" t="s">
        <v>2385</v>
      </c>
      <c r="G2145" s="7771" t="s">
        <v>4592</v>
      </c>
      <c r="H2145" s="7771" t="s">
        <v>28</v>
      </c>
      <c r="I2145" s="7771" t="s">
        <v>921</v>
      </c>
    </row>
    <row customHeight="1" ht="11.25">
      <c r="A2146" s="7771" t="s">
        <v>2266</v>
      </c>
      <c r="B2146" s="7771" t="s">
        <v>16</v>
      </c>
      <c r="C2146" s="7771" t="s">
        <v>4593</v>
      </c>
      <c r="D2146" s="7771" t="s">
        <v>4594</v>
      </c>
      <c r="E2146" s="7771" t="s">
        <v>4595</v>
      </c>
      <c r="F2146" s="7771" t="s">
        <v>2468</v>
      </c>
      <c r="G2146" s="7771" t="s">
        <v>4596</v>
      </c>
      <c r="H2146" s="7771" t="s">
        <v>28</v>
      </c>
      <c r="I2146" s="7771" t="s">
        <v>921</v>
      </c>
    </row>
    <row customHeight="1" ht="11.25">
      <c r="A2147" s="7771" t="s">
        <v>2266</v>
      </c>
      <c r="B2147" s="7771" t="s">
        <v>16</v>
      </c>
      <c r="C2147" s="7771" t="s">
        <v>4597</v>
      </c>
      <c r="D2147" s="7771" t="s">
        <v>4598</v>
      </c>
      <c r="E2147" s="7771" t="s">
        <v>4599</v>
      </c>
      <c r="F2147" s="7771" t="s">
        <v>2629</v>
      </c>
      <c r="G2147" s="7771" t="s">
        <v>28</v>
      </c>
      <c r="H2147" s="7771" t="s">
        <v>28</v>
      </c>
      <c r="I2147" s="7771" t="s">
        <v>921</v>
      </c>
    </row>
    <row customHeight="1" ht="11.25">
      <c r="A2148" s="7771" t="s">
        <v>2266</v>
      </c>
      <c r="B2148" s="7771" t="s">
        <v>16</v>
      </c>
      <c r="C2148" s="7771" t="s">
        <v>4604</v>
      </c>
      <c r="D2148" s="7771" t="s">
        <v>4605</v>
      </c>
      <c r="E2148" s="7771" t="s">
        <v>4606</v>
      </c>
      <c r="F2148" s="7771" t="s">
        <v>2347</v>
      </c>
      <c r="G2148" s="7771" t="s">
        <v>4607</v>
      </c>
      <c r="H2148" s="7771" t="s">
        <v>28</v>
      </c>
      <c r="I2148" s="7771" t="s">
        <v>921</v>
      </c>
    </row>
    <row customHeight="1" ht="11.25">
      <c r="A2149" s="7771" t="s">
        <v>2266</v>
      </c>
      <c r="B2149" s="7771" t="s">
        <v>16</v>
      </c>
      <c r="C2149" s="7771" t="s">
        <v>4611</v>
      </c>
      <c r="D2149" s="7771" t="s">
        <v>4612</v>
      </c>
      <c r="E2149" s="7771" t="s">
        <v>4613</v>
      </c>
      <c r="F2149" s="7771" t="s">
        <v>3027</v>
      </c>
      <c r="G2149" s="7771" t="s">
        <v>28</v>
      </c>
      <c r="H2149" s="7771" t="s">
        <v>28</v>
      </c>
      <c r="I2149" s="7771" t="s">
        <v>921</v>
      </c>
    </row>
    <row customHeight="1" ht="11.25">
      <c r="A2150" s="7771" t="s">
        <v>2266</v>
      </c>
      <c r="B2150" s="7771" t="s">
        <v>16</v>
      </c>
      <c r="C2150" s="7771" t="s">
        <v>4614</v>
      </c>
      <c r="D2150" s="7771" t="s">
        <v>4615</v>
      </c>
      <c r="E2150" s="7771" t="s">
        <v>4616</v>
      </c>
      <c r="F2150" s="7771" t="s">
        <v>4617</v>
      </c>
      <c r="G2150" s="7771" t="s">
        <v>4618</v>
      </c>
      <c r="H2150" s="7771" t="s">
        <v>28</v>
      </c>
      <c r="I2150" s="7771" t="s">
        <v>921</v>
      </c>
    </row>
    <row customHeight="1" ht="11.25">
      <c r="A2151" s="7771" t="s">
        <v>2266</v>
      </c>
      <c r="B2151" s="7771" t="s">
        <v>16</v>
      </c>
      <c r="C2151" s="7771" t="s">
        <v>4623</v>
      </c>
      <c r="D2151" s="7771" t="s">
        <v>4624</v>
      </c>
      <c r="E2151" s="7771" t="s">
        <v>4625</v>
      </c>
      <c r="F2151" s="7771" t="s">
        <v>2385</v>
      </c>
      <c r="G2151" s="7771" t="s">
        <v>28</v>
      </c>
      <c r="H2151" s="7771" t="s">
        <v>28</v>
      </c>
      <c r="I2151" s="7771" t="s">
        <v>921</v>
      </c>
    </row>
    <row customHeight="1" ht="11.25">
      <c r="A2152" s="7771" t="s">
        <v>2266</v>
      </c>
      <c r="B2152" s="7771" t="s">
        <v>16</v>
      </c>
      <c r="C2152" s="7771" t="s">
        <v>5709</v>
      </c>
      <c r="D2152" s="7771" t="s">
        <v>5710</v>
      </c>
      <c r="E2152" s="7771" t="s">
        <v>5711</v>
      </c>
      <c r="F2152" s="7771" t="s">
        <v>4057</v>
      </c>
      <c r="G2152" s="7771" t="s">
        <v>4181</v>
      </c>
      <c r="H2152" s="7771" t="s">
        <v>28</v>
      </c>
      <c r="I2152" s="7771" t="s">
        <v>921</v>
      </c>
    </row>
    <row customHeight="1" ht="11.25">
      <c r="A2153" s="7771" t="s">
        <v>2266</v>
      </c>
      <c r="B2153" s="7771" t="s">
        <v>16</v>
      </c>
      <c r="C2153" s="7771" t="s">
        <v>4629</v>
      </c>
      <c r="D2153" s="7771" t="s">
        <v>4630</v>
      </c>
      <c r="E2153" s="7771" t="s">
        <v>4631</v>
      </c>
      <c r="F2153" s="7771" t="s">
        <v>2446</v>
      </c>
      <c r="G2153" s="7771" t="s">
        <v>4632</v>
      </c>
      <c r="H2153" s="7771" t="s">
        <v>28</v>
      </c>
      <c r="I2153" s="7771" t="s">
        <v>921</v>
      </c>
    </row>
    <row customHeight="1" ht="11.25">
      <c r="A2154" s="7771" t="s">
        <v>2266</v>
      </c>
      <c r="B2154" s="7771" t="s">
        <v>16</v>
      </c>
      <c r="C2154" s="7771" t="s">
        <v>4633</v>
      </c>
      <c r="D2154" s="7771" t="s">
        <v>4634</v>
      </c>
      <c r="E2154" s="7771" t="s">
        <v>4635</v>
      </c>
      <c r="F2154" s="7771" t="s">
        <v>2441</v>
      </c>
      <c r="G2154" s="7771" t="s">
        <v>4636</v>
      </c>
      <c r="H2154" s="7771" t="s">
        <v>28</v>
      </c>
      <c r="I2154" s="7771" t="s">
        <v>921</v>
      </c>
    </row>
    <row customHeight="1" ht="11.25">
      <c r="A2155" s="7771" t="s">
        <v>2266</v>
      </c>
      <c r="B2155" s="7771" t="s">
        <v>16</v>
      </c>
      <c r="C2155" s="7771" t="s">
        <v>4637</v>
      </c>
      <c r="D2155" s="7771" t="s">
        <v>4638</v>
      </c>
      <c r="E2155" s="7771" t="s">
        <v>4639</v>
      </c>
      <c r="F2155" s="7771" t="s">
        <v>2629</v>
      </c>
      <c r="G2155" s="7771" t="s">
        <v>28</v>
      </c>
      <c r="H2155" s="7771" t="s">
        <v>28</v>
      </c>
      <c r="I2155" s="7771" t="s">
        <v>921</v>
      </c>
    </row>
    <row customHeight="1" ht="11.25">
      <c r="A2156" s="7771" t="s">
        <v>2266</v>
      </c>
      <c r="B2156" s="7771" t="s">
        <v>16</v>
      </c>
      <c r="C2156" s="7771" t="s">
        <v>4643</v>
      </c>
      <c r="D2156" s="7771" t="s">
        <v>4644</v>
      </c>
      <c r="E2156" s="7771" t="s">
        <v>4645</v>
      </c>
      <c r="F2156" s="7771" t="s">
        <v>2295</v>
      </c>
      <c r="G2156" s="7771" t="s">
        <v>28</v>
      </c>
      <c r="H2156" s="7771" t="s">
        <v>28</v>
      </c>
      <c r="I2156" s="7771" t="s">
        <v>921</v>
      </c>
    </row>
    <row customHeight="1" ht="11.25">
      <c r="A2157" s="7771" t="s">
        <v>2266</v>
      </c>
      <c r="B2157" s="7771" t="s">
        <v>16</v>
      </c>
      <c r="C2157" s="7771" t="s">
        <v>4646</v>
      </c>
      <c r="D2157" s="7771" t="s">
        <v>4647</v>
      </c>
      <c r="E2157" s="7771" t="s">
        <v>4648</v>
      </c>
      <c r="F2157" s="7771" t="s">
        <v>2385</v>
      </c>
      <c r="G2157" s="7771" t="s">
        <v>4649</v>
      </c>
      <c r="H2157" s="7771" t="s">
        <v>28</v>
      </c>
      <c r="I2157" s="7771" t="s">
        <v>921</v>
      </c>
    </row>
    <row customHeight="1" ht="11.25">
      <c r="A2158" s="7771" t="s">
        <v>2266</v>
      </c>
      <c r="B2158" s="7771" t="s">
        <v>16</v>
      </c>
      <c r="C2158" s="7771" t="s">
        <v>4650</v>
      </c>
      <c r="D2158" s="7771" t="s">
        <v>4651</v>
      </c>
      <c r="E2158" s="7771" t="s">
        <v>4652</v>
      </c>
      <c r="F2158" s="7771" t="s">
        <v>2655</v>
      </c>
      <c r="G2158" s="7771" t="s">
        <v>28</v>
      </c>
      <c r="H2158" s="7771" t="s">
        <v>28</v>
      </c>
      <c r="I2158" s="7771" t="s">
        <v>921</v>
      </c>
    </row>
    <row customHeight="1" ht="11.25">
      <c r="A2159" s="7771" t="s">
        <v>2266</v>
      </c>
      <c r="B2159" s="7771" t="s">
        <v>16</v>
      </c>
      <c r="C2159" s="7771" t="s">
        <v>4653</v>
      </c>
      <c r="D2159" s="7771" t="s">
        <v>4654</v>
      </c>
      <c r="E2159" s="7771" t="s">
        <v>4655</v>
      </c>
      <c r="F2159" s="7771" t="s">
        <v>2300</v>
      </c>
      <c r="G2159" s="7771" t="s">
        <v>28</v>
      </c>
      <c r="H2159" s="7771" t="s">
        <v>28</v>
      </c>
      <c r="I2159" s="7771" t="s">
        <v>921</v>
      </c>
    </row>
    <row customHeight="1" ht="11.25">
      <c r="A2160" s="7771" t="s">
        <v>2266</v>
      </c>
      <c r="B2160" s="7771" t="s">
        <v>16</v>
      </c>
      <c r="C2160" s="7771" t="s">
        <v>5712</v>
      </c>
      <c r="D2160" s="7771" t="s">
        <v>5713</v>
      </c>
      <c r="E2160" s="7771" t="s">
        <v>5714</v>
      </c>
      <c r="F2160" s="7771" t="s">
        <v>2753</v>
      </c>
      <c r="G2160" s="7771" t="s">
        <v>5715</v>
      </c>
      <c r="H2160" s="7771" t="s">
        <v>28</v>
      </c>
      <c r="I2160" s="7771" t="s">
        <v>921</v>
      </c>
    </row>
    <row customHeight="1" ht="11.25">
      <c r="A2161" s="7771" t="s">
        <v>2266</v>
      </c>
      <c r="B2161" s="7771" t="s">
        <v>16</v>
      </c>
      <c r="C2161" s="7771" t="s">
        <v>4656</v>
      </c>
      <c r="D2161" s="7771" t="s">
        <v>4657</v>
      </c>
      <c r="E2161" s="7771" t="s">
        <v>4658</v>
      </c>
      <c r="F2161" s="7771" t="s">
        <v>2280</v>
      </c>
      <c r="G2161" s="7771" t="s">
        <v>28</v>
      </c>
      <c r="H2161" s="7771" t="s">
        <v>28</v>
      </c>
      <c r="I2161" s="7771" t="s">
        <v>921</v>
      </c>
    </row>
    <row customHeight="1" ht="11.25">
      <c r="A2162" s="7771" t="s">
        <v>2266</v>
      </c>
      <c r="B2162" s="7771" t="s">
        <v>16</v>
      </c>
      <c r="C2162" s="7771" t="s">
        <v>5716</v>
      </c>
      <c r="D2162" s="7771" t="s">
        <v>5717</v>
      </c>
      <c r="E2162" s="7771" t="s">
        <v>5718</v>
      </c>
      <c r="F2162" s="7771" t="s">
        <v>2430</v>
      </c>
      <c r="G2162" s="7771" t="s">
        <v>28</v>
      </c>
      <c r="H2162" s="7771" t="s">
        <v>28</v>
      </c>
      <c r="I2162" s="7771" t="s">
        <v>921</v>
      </c>
    </row>
    <row customHeight="1" ht="11.25">
      <c r="A2163" s="7771" t="s">
        <v>2266</v>
      </c>
      <c r="B2163" s="7771" t="s">
        <v>16</v>
      </c>
      <c r="C2163" s="7771" t="s">
        <v>4662</v>
      </c>
      <c r="D2163" s="7771" t="s">
        <v>4663</v>
      </c>
      <c r="E2163" s="7771" t="s">
        <v>4664</v>
      </c>
      <c r="F2163" s="7771" t="s">
        <v>2829</v>
      </c>
      <c r="G2163" s="7771" t="s">
        <v>28</v>
      </c>
      <c r="H2163" s="7771" t="s">
        <v>28</v>
      </c>
      <c r="I2163" s="7771" t="s">
        <v>921</v>
      </c>
    </row>
    <row customHeight="1" ht="11.25">
      <c r="A2164" s="7771" t="s">
        <v>2266</v>
      </c>
      <c r="B2164" s="7771" t="s">
        <v>16</v>
      </c>
      <c r="C2164" s="7771" t="s">
        <v>5719</v>
      </c>
      <c r="D2164" s="7771" t="s">
        <v>5720</v>
      </c>
      <c r="E2164" s="7771" t="s">
        <v>5721</v>
      </c>
      <c r="F2164" s="7771" t="s">
        <v>2280</v>
      </c>
      <c r="G2164" s="7771" t="s">
        <v>28</v>
      </c>
      <c r="H2164" s="7771" t="s">
        <v>28</v>
      </c>
      <c r="I2164" s="7771" t="s">
        <v>921</v>
      </c>
    </row>
    <row customHeight="1" ht="11.25">
      <c r="A2165" s="7771" t="s">
        <v>2266</v>
      </c>
      <c r="B2165" s="7771" t="s">
        <v>16</v>
      </c>
      <c r="C2165" s="7771" t="s">
        <v>5722</v>
      </c>
      <c r="D2165" s="7771" t="s">
        <v>5723</v>
      </c>
      <c r="E2165" s="7771" t="s">
        <v>4591</v>
      </c>
      <c r="F2165" s="7771" t="s">
        <v>5724</v>
      </c>
      <c r="G2165" s="7771" t="s">
        <v>28</v>
      </c>
      <c r="H2165" s="7771" t="s">
        <v>28</v>
      </c>
      <c r="I2165" s="7771" t="s">
        <v>921</v>
      </c>
    </row>
    <row customHeight="1" ht="11.25">
      <c r="A2166" s="7771" t="s">
        <v>2266</v>
      </c>
      <c r="B2166" s="7771" t="s">
        <v>16</v>
      </c>
      <c r="C2166" s="7771" t="s">
        <v>5725</v>
      </c>
      <c r="D2166" s="7771" t="s">
        <v>5726</v>
      </c>
      <c r="E2166" s="7771" t="s">
        <v>5727</v>
      </c>
      <c r="F2166" s="7771" t="s">
        <v>2280</v>
      </c>
      <c r="G2166" s="7771" t="s">
        <v>28</v>
      </c>
      <c r="H2166" s="7771" t="s">
        <v>28</v>
      </c>
      <c r="I2166" s="7771" t="s">
        <v>921</v>
      </c>
    </row>
    <row customHeight="1" ht="11.25">
      <c r="A2167" s="7771" t="s">
        <v>2266</v>
      </c>
      <c r="B2167" s="7771" t="s">
        <v>16</v>
      </c>
      <c r="C2167" s="7771" t="s">
        <v>5728</v>
      </c>
      <c r="D2167" s="7771" t="s">
        <v>5729</v>
      </c>
      <c r="E2167" s="7771" t="s">
        <v>5730</v>
      </c>
      <c r="F2167" s="7771" t="s">
        <v>5731</v>
      </c>
      <c r="G2167" s="7771" t="s">
        <v>28</v>
      </c>
      <c r="H2167" s="7771" t="s">
        <v>28</v>
      </c>
      <c r="I2167" s="7771" t="s">
        <v>921</v>
      </c>
    </row>
    <row customHeight="1" ht="11.25">
      <c r="A2168" s="7771" t="s">
        <v>2266</v>
      </c>
      <c r="B2168" s="7771" t="s">
        <v>16</v>
      </c>
      <c r="C2168" s="7771" t="s">
        <v>5958</v>
      </c>
      <c r="D2168" s="7771" t="s">
        <v>5959</v>
      </c>
      <c r="E2168" s="7771" t="s">
        <v>5960</v>
      </c>
      <c r="F2168" s="7771" t="s">
        <v>5961</v>
      </c>
      <c r="G2168" s="7771" t="s">
        <v>28</v>
      </c>
      <c r="H2168" s="7771" t="s">
        <v>28</v>
      </c>
      <c r="I2168" s="7771" t="s">
        <v>921</v>
      </c>
    </row>
    <row customHeight="1" ht="11.25">
      <c r="A2169" s="7771" t="s">
        <v>2266</v>
      </c>
      <c r="B2169" s="7771" t="s">
        <v>16</v>
      </c>
      <c r="C2169" s="7771" t="s">
        <v>5732</v>
      </c>
      <c r="D2169" s="7771" t="s">
        <v>5733</v>
      </c>
      <c r="E2169" s="7771" t="s">
        <v>5734</v>
      </c>
      <c r="F2169" s="7771" t="s">
        <v>5735</v>
      </c>
      <c r="G2169" s="7771" t="s">
        <v>28</v>
      </c>
      <c r="H2169" s="7771" t="s">
        <v>28</v>
      </c>
      <c r="I2169" s="7771" t="s">
        <v>921</v>
      </c>
    </row>
    <row customHeight="1" ht="11.25">
      <c r="A2170" s="7771" t="s">
        <v>2266</v>
      </c>
      <c r="B2170" s="7771" t="s">
        <v>16</v>
      </c>
      <c r="C2170" s="7771" t="s">
        <v>4671</v>
      </c>
      <c r="D2170" s="7771" t="s">
        <v>4672</v>
      </c>
      <c r="E2170" s="7771" t="s">
        <v>4673</v>
      </c>
      <c r="F2170" s="7771" t="s">
        <v>2441</v>
      </c>
      <c r="G2170" s="7771" t="s">
        <v>28</v>
      </c>
      <c r="H2170" s="7771" t="s">
        <v>28</v>
      </c>
      <c r="I2170" s="7771" t="s">
        <v>921</v>
      </c>
    </row>
    <row customHeight="1" ht="11.25">
      <c r="A2171" s="7771" t="s">
        <v>2266</v>
      </c>
      <c r="B2171" s="7771" t="s">
        <v>16</v>
      </c>
      <c r="C2171" s="7771" t="s">
        <v>5736</v>
      </c>
      <c r="D2171" s="7771" t="s">
        <v>5737</v>
      </c>
      <c r="E2171" s="7771" t="s">
        <v>5738</v>
      </c>
      <c r="F2171" s="7771" t="s">
        <v>2356</v>
      </c>
      <c r="G2171" s="7771" t="s">
        <v>28</v>
      </c>
      <c r="H2171" s="7771" t="s">
        <v>28</v>
      </c>
      <c r="I2171" s="7771" t="s">
        <v>921</v>
      </c>
    </row>
    <row customHeight="1" ht="11.25">
      <c r="A2172" s="7771" t="s">
        <v>2266</v>
      </c>
      <c r="B2172" s="7771" t="s">
        <v>16</v>
      </c>
      <c r="C2172" s="7771" t="s">
        <v>4674</v>
      </c>
      <c r="D2172" s="7771" t="s">
        <v>4675</v>
      </c>
      <c r="E2172" s="7771" t="s">
        <v>4676</v>
      </c>
      <c r="F2172" s="7771" t="s">
        <v>4677</v>
      </c>
      <c r="G2172" s="7771" t="s">
        <v>28</v>
      </c>
      <c r="H2172" s="7771" t="s">
        <v>28</v>
      </c>
      <c r="I2172" s="7771" t="s">
        <v>921</v>
      </c>
    </row>
    <row customHeight="1" ht="11.25">
      <c r="A2173" s="7771" t="s">
        <v>2266</v>
      </c>
      <c r="B2173" s="7771" t="s">
        <v>16</v>
      </c>
      <c r="C2173" s="7771" t="s">
        <v>4678</v>
      </c>
      <c r="D2173" s="7771" t="s">
        <v>4679</v>
      </c>
      <c r="E2173" s="7771" t="s">
        <v>4680</v>
      </c>
      <c r="F2173" s="7771" t="s">
        <v>2356</v>
      </c>
      <c r="G2173" s="7771" t="s">
        <v>4681</v>
      </c>
      <c r="H2173" s="7771" t="s">
        <v>28</v>
      </c>
      <c r="I2173" s="7771" t="s">
        <v>921</v>
      </c>
    </row>
    <row customHeight="1" ht="11.25">
      <c r="A2174" s="7771" t="s">
        <v>2266</v>
      </c>
      <c r="B2174" s="7771" t="s">
        <v>16</v>
      </c>
      <c r="C2174" s="7771" t="s">
        <v>5962</v>
      </c>
      <c r="D2174" s="7771" t="s">
        <v>5963</v>
      </c>
      <c r="E2174" s="7771" t="s">
        <v>5964</v>
      </c>
      <c r="F2174" s="7771" t="s">
        <v>2390</v>
      </c>
      <c r="G2174" s="7771" t="s">
        <v>5965</v>
      </c>
      <c r="H2174" s="7771" t="s">
        <v>28</v>
      </c>
      <c r="I2174" s="7771" t="s">
        <v>921</v>
      </c>
    </row>
    <row customHeight="1" ht="11.25">
      <c r="A2175" s="7771" t="s">
        <v>2266</v>
      </c>
      <c r="B2175" s="7771" t="s">
        <v>16</v>
      </c>
      <c r="C2175" s="7771" t="s">
        <v>4693</v>
      </c>
      <c r="D2175" s="7771" t="s">
        <v>4694</v>
      </c>
      <c r="E2175" s="7771" t="s">
        <v>4695</v>
      </c>
      <c r="F2175" s="7771" t="s">
        <v>2330</v>
      </c>
      <c r="G2175" s="7771" t="s">
        <v>28</v>
      </c>
      <c r="H2175" s="7771" t="s">
        <v>28</v>
      </c>
      <c r="I2175" s="7771" t="s">
        <v>921</v>
      </c>
    </row>
    <row customHeight="1" ht="11.25">
      <c r="A2176" s="7771" t="s">
        <v>2266</v>
      </c>
      <c r="B2176" s="7771" t="s">
        <v>16</v>
      </c>
      <c r="C2176" s="7771" t="s">
        <v>4696</v>
      </c>
      <c r="D2176" s="7771" t="s">
        <v>4697</v>
      </c>
      <c r="E2176" s="7771" t="s">
        <v>4698</v>
      </c>
      <c r="F2176" s="7771" t="s">
        <v>2629</v>
      </c>
      <c r="G2176" s="7771" t="s">
        <v>28</v>
      </c>
      <c r="H2176" s="7771" t="s">
        <v>28</v>
      </c>
      <c r="I2176" s="7771" t="s">
        <v>921</v>
      </c>
    </row>
    <row customHeight="1" ht="11.25">
      <c r="A2177" s="7771" t="s">
        <v>2266</v>
      </c>
      <c r="B2177" s="7771" t="s">
        <v>16</v>
      </c>
      <c r="C2177" s="7771" t="s">
        <v>4699</v>
      </c>
      <c r="D2177" s="7771" t="s">
        <v>4700</v>
      </c>
      <c r="E2177" s="7771" t="s">
        <v>4701</v>
      </c>
      <c r="F2177" s="7771" t="s">
        <v>2829</v>
      </c>
      <c r="G2177" s="7771" t="s">
        <v>28</v>
      </c>
      <c r="H2177" s="7771" t="s">
        <v>28</v>
      </c>
      <c r="I2177" s="7771" t="s">
        <v>921</v>
      </c>
    </row>
    <row customHeight="1" ht="11.25">
      <c r="A2178" s="7771" t="s">
        <v>2266</v>
      </c>
      <c r="B2178" s="7771" t="s">
        <v>16</v>
      </c>
      <c r="C2178" s="7771" t="s">
        <v>4702</v>
      </c>
      <c r="D2178" s="7771" t="s">
        <v>4703</v>
      </c>
      <c r="E2178" s="7771" t="s">
        <v>4704</v>
      </c>
      <c r="F2178" s="7771" t="s">
        <v>2441</v>
      </c>
      <c r="G2178" s="7771" t="s">
        <v>4705</v>
      </c>
      <c r="H2178" s="7771" t="s">
        <v>28</v>
      </c>
      <c r="I2178" s="7771" t="s">
        <v>921</v>
      </c>
    </row>
    <row customHeight="1" ht="11.25">
      <c r="A2179" s="7771" t="s">
        <v>2266</v>
      </c>
      <c r="B2179" s="7771" t="s">
        <v>16</v>
      </c>
      <c r="C2179" s="7771" t="s">
        <v>4710</v>
      </c>
      <c r="D2179" s="7771" t="s">
        <v>4711</v>
      </c>
      <c r="E2179" s="7771" t="s">
        <v>4712</v>
      </c>
      <c r="F2179" s="7771" t="s">
        <v>2300</v>
      </c>
      <c r="G2179" s="7771" t="s">
        <v>28</v>
      </c>
      <c r="H2179" s="7771" t="s">
        <v>28</v>
      </c>
      <c r="I2179" s="7771" t="s">
        <v>921</v>
      </c>
    </row>
    <row customHeight="1" ht="11.25">
      <c r="A2180" s="7771" t="s">
        <v>2266</v>
      </c>
      <c r="B2180" s="7771" t="s">
        <v>16</v>
      </c>
      <c r="C2180" s="7771" t="s">
        <v>4713</v>
      </c>
      <c r="D2180" s="7771" t="s">
        <v>4714</v>
      </c>
      <c r="E2180" s="7771" t="s">
        <v>4715</v>
      </c>
      <c r="F2180" s="7771" t="s">
        <v>2430</v>
      </c>
      <c r="G2180" s="7771" t="s">
        <v>28</v>
      </c>
      <c r="H2180" s="7771" t="s">
        <v>28</v>
      </c>
      <c r="I2180" s="7771" t="s">
        <v>921</v>
      </c>
    </row>
    <row customHeight="1" ht="11.25">
      <c r="A2181" s="7771" t="s">
        <v>2266</v>
      </c>
      <c r="B2181" s="7771" t="s">
        <v>16</v>
      </c>
      <c r="C2181" s="7771" t="s">
        <v>4716</v>
      </c>
      <c r="D2181" s="7771" t="s">
        <v>4717</v>
      </c>
      <c r="E2181" s="7771" t="s">
        <v>4718</v>
      </c>
      <c r="F2181" s="7771" t="s">
        <v>2385</v>
      </c>
      <c r="G2181" s="7771" t="s">
        <v>4719</v>
      </c>
      <c r="H2181" s="7771" t="s">
        <v>28</v>
      </c>
      <c r="I2181" s="7771" t="s">
        <v>921</v>
      </c>
    </row>
    <row customHeight="1" ht="11.25">
      <c r="A2182" s="7771" t="s">
        <v>2266</v>
      </c>
      <c r="B2182" s="7771" t="s">
        <v>16</v>
      </c>
      <c r="C2182" s="7771" t="s">
        <v>4724</v>
      </c>
      <c r="D2182" s="7771" t="s">
        <v>4725</v>
      </c>
      <c r="E2182" s="7771" t="s">
        <v>4726</v>
      </c>
      <c r="F2182" s="7771" t="s">
        <v>2356</v>
      </c>
      <c r="G2182" s="7771" t="s">
        <v>4727</v>
      </c>
      <c r="H2182" s="7771" t="s">
        <v>28</v>
      </c>
      <c r="I2182" s="7771" t="s">
        <v>921</v>
      </c>
    </row>
    <row customHeight="1" ht="11.25">
      <c r="A2183" s="7771" t="s">
        <v>2266</v>
      </c>
      <c r="B2183" s="7771" t="s">
        <v>16</v>
      </c>
      <c r="C2183" s="7771" t="s">
        <v>4734</v>
      </c>
      <c r="D2183" s="7771" t="s">
        <v>4735</v>
      </c>
      <c r="E2183" s="7771" t="s">
        <v>4736</v>
      </c>
      <c r="F2183" s="7771" t="s">
        <v>4737</v>
      </c>
      <c r="G2183" s="7771" t="s">
        <v>4738</v>
      </c>
      <c r="H2183" s="7771" t="s">
        <v>28</v>
      </c>
      <c r="I2183" s="7771" t="s">
        <v>921</v>
      </c>
    </row>
    <row customHeight="1" ht="11.25">
      <c r="A2184" s="7771" t="s">
        <v>2266</v>
      </c>
      <c r="B2184" s="7771" t="s">
        <v>16</v>
      </c>
      <c r="C2184" s="7771" t="s">
        <v>4739</v>
      </c>
      <c r="D2184" s="7771" t="s">
        <v>4740</v>
      </c>
      <c r="E2184" s="7771" t="s">
        <v>4741</v>
      </c>
      <c r="F2184" s="7771" t="s">
        <v>4742</v>
      </c>
      <c r="G2184" s="7771" t="s">
        <v>4743</v>
      </c>
      <c r="H2184" s="7771" t="s">
        <v>28</v>
      </c>
      <c r="I2184" s="7771" t="s">
        <v>921</v>
      </c>
    </row>
    <row customHeight="1" ht="11.25">
      <c r="A2185" s="7771" t="s">
        <v>2266</v>
      </c>
      <c r="B2185" s="7771" t="s">
        <v>16</v>
      </c>
      <c r="C2185" s="7771" t="s">
        <v>4744</v>
      </c>
      <c r="D2185" s="7771" t="s">
        <v>4745</v>
      </c>
      <c r="E2185" s="7771" t="s">
        <v>4746</v>
      </c>
      <c r="F2185" s="7771" t="s">
        <v>4747</v>
      </c>
      <c r="G2185" s="7771" t="s">
        <v>4748</v>
      </c>
      <c r="H2185" s="7771" t="s">
        <v>28</v>
      </c>
      <c r="I2185" s="7771" t="s">
        <v>921</v>
      </c>
    </row>
    <row customHeight="1" ht="11.25">
      <c r="A2186" s="7771" t="s">
        <v>2266</v>
      </c>
      <c r="B2186" s="7771" t="s">
        <v>16</v>
      </c>
      <c r="C2186" s="7771" t="s">
        <v>5966</v>
      </c>
      <c r="D2186" s="7771" t="s">
        <v>5967</v>
      </c>
      <c r="E2186" s="7771" t="s">
        <v>2898</v>
      </c>
      <c r="F2186" s="7771" t="s">
        <v>5968</v>
      </c>
      <c r="G2186" s="7771" t="s">
        <v>5969</v>
      </c>
      <c r="H2186" s="7771" t="s">
        <v>28</v>
      </c>
      <c r="I2186" s="7771" t="s">
        <v>921</v>
      </c>
    </row>
    <row customHeight="1" ht="11.25">
      <c r="A2187" s="7771" t="s">
        <v>2266</v>
      </c>
      <c r="B2187" s="7771" t="s">
        <v>16</v>
      </c>
      <c r="C2187" s="7771" t="s">
        <v>5751</v>
      </c>
      <c r="D2187" s="7771" t="s">
        <v>5752</v>
      </c>
      <c r="E2187" s="7771" t="s">
        <v>2898</v>
      </c>
      <c r="F2187" s="7771" t="s">
        <v>5753</v>
      </c>
      <c r="G2187" s="7771" t="s">
        <v>2899</v>
      </c>
      <c r="H2187" s="7771" t="s">
        <v>28</v>
      </c>
      <c r="I2187" s="7771" t="s">
        <v>921</v>
      </c>
    </row>
    <row customHeight="1" ht="11.25">
      <c r="A2188" s="7771" t="s">
        <v>2266</v>
      </c>
      <c r="B2188" s="7771" t="s">
        <v>16</v>
      </c>
      <c r="C2188" s="7771" t="s">
        <v>5757</v>
      </c>
      <c r="D2188" s="7771" t="s">
        <v>5758</v>
      </c>
      <c r="E2188" s="7771" t="s">
        <v>2765</v>
      </c>
      <c r="F2188" s="7771" t="s">
        <v>5759</v>
      </c>
      <c r="G2188" s="7771" t="s">
        <v>28</v>
      </c>
      <c r="H2188" s="7771" t="s">
        <v>28</v>
      </c>
      <c r="I2188" s="7771" t="s">
        <v>921</v>
      </c>
    </row>
    <row customHeight="1" ht="11.25">
      <c r="A2189" s="7771" t="s">
        <v>2266</v>
      </c>
      <c r="B2189" s="7771" t="s">
        <v>16</v>
      </c>
      <c r="C2189" s="7771" t="s">
        <v>5760</v>
      </c>
      <c r="D2189" s="7771" t="s">
        <v>5761</v>
      </c>
      <c r="E2189" s="7771" t="s">
        <v>4498</v>
      </c>
      <c r="F2189" s="7771" t="s">
        <v>5762</v>
      </c>
      <c r="G2189" s="7771" t="s">
        <v>28</v>
      </c>
      <c r="H2189" s="7771" t="s">
        <v>28</v>
      </c>
      <c r="I2189" s="7771" t="s">
        <v>921</v>
      </c>
    </row>
    <row customHeight="1" ht="11.25">
      <c r="A2190" s="7771" t="s">
        <v>2266</v>
      </c>
      <c r="B2190" s="7771" t="s">
        <v>16</v>
      </c>
      <c r="C2190" s="7771" t="s">
        <v>5763</v>
      </c>
      <c r="D2190" s="7771" t="s">
        <v>5764</v>
      </c>
      <c r="E2190" s="7771" t="s">
        <v>5173</v>
      </c>
      <c r="F2190" s="7771" t="s">
        <v>5765</v>
      </c>
      <c r="G2190" s="7771" t="s">
        <v>28</v>
      </c>
      <c r="H2190" s="7771" t="s">
        <v>28</v>
      </c>
      <c r="I2190" s="7771" t="s">
        <v>921</v>
      </c>
    </row>
    <row customHeight="1" ht="11.25">
      <c r="A2191" s="7771" t="s">
        <v>2266</v>
      </c>
      <c r="B2191" s="7771" t="s">
        <v>16</v>
      </c>
      <c r="C2191" s="7771" t="s">
        <v>4756</v>
      </c>
      <c r="D2191" s="7771" t="s">
        <v>4757</v>
      </c>
      <c r="E2191" s="7771" t="s">
        <v>4434</v>
      </c>
      <c r="F2191" s="7771" t="s">
        <v>4758</v>
      </c>
      <c r="G2191" s="7771" t="s">
        <v>28</v>
      </c>
      <c r="H2191" s="7771" t="s">
        <v>28</v>
      </c>
      <c r="I2191" s="7771" t="s">
        <v>921</v>
      </c>
    </row>
    <row customHeight="1" ht="11.25">
      <c r="A2192" s="7771" t="s">
        <v>2266</v>
      </c>
      <c r="B2192" s="7771" t="s">
        <v>16</v>
      </c>
      <c r="C2192" s="7771" t="s">
        <v>4759</v>
      </c>
      <c r="D2192" s="7771" t="s">
        <v>4760</v>
      </c>
      <c r="E2192" s="7771" t="s">
        <v>4761</v>
      </c>
      <c r="F2192" s="7771" t="s">
        <v>4762</v>
      </c>
      <c r="G2192" s="7771" t="s">
        <v>4763</v>
      </c>
      <c r="H2192" s="7771" t="s">
        <v>28</v>
      </c>
      <c r="I2192" s="7771" t="s">
        <v>921</v>
      </c>
    </row>
    <row customHeight="1" ht="11.25">
      <c r="A2193" s="7771" t="s">
        <v>2266</v>
      </c>
      <c r="B2193" s="7771" t="s">
        <v>16</v>
      </c>
      <c r="C2193" s="7771" t="s">
        <v>4764</v>
      </c>
      <c r="D2193" s="7771" t="s">
        <v>4765</v>
      </c>
      <c r="E2193" s="7771" t="s">
        <v>4766</v>
      </c>
      <c r="F2193" s="7771" t="s">
        <v>2739</v>
      </c>
      <c r="G2193" s="7771" t="s">
        <v>4767</v>
      </c>
      <c r="H2193" s="7771" t="s">
        <v>28</v>
      </c>
      <c r="I2193" s="7771" t="s">
        <v>921</v>
      </c>
    </row>
    <row customHeight="1" ht="11.25">
      <c r="A2194" s="7771" t="s">
        <v>2266</v>
      </c>
      <c r="B2194" s="7771" t="s">
        <v>16</v>
      </c>
      <c r="C2194" s="7771" t="s">
        <v>4768</v>
      </c>
      <c r="D2194" s="7771" t="s">
        <v>4769</v>
      </c>
      <c r="E2194" s="7771" t="s">
        <v>4009</v>
      </c>
      <c r="F2194" s="7771" t="s">
        <v>4770</v>
      </c>
      <c r="G2194" s="7771" t="s">
        <v>28</v>
      </c>
      <c r="H2194" s="7771" t="s">
        <v>28</v>
      </c>
      <c r="I2194" s="7771" t="s">
        <v>921</v>
      </c>
    </row>
    <row customHeight="1" ht="11.25">
      <c r="A2195" s="7771" t="s">
        <v>2266</v>
      </c>
      <c r="B2195" s="7771" t="s">
        <v>16</v>
      </c>
      <c r="C2195" s="7771" t="s">
        <v>4771</v>
      </c>
      <c r="D2195" s="7771" t="s">
        <v>4772</v>
      </c>
      <c r="E2195" s="7771" t="s">
        <v>4498</v>
      </c>
      <c r="F2195" s="7771" t="s">
        <v>4773</v>
      </c>
      <c r="G2195" s="7771" t="s">
        <v>28</v>
      </c>
      <c r="H2195" s="7771" t="s">
        <v>28</v>
      </c>
      <c r="I2195" s="7771" t="s">
        <v>921</v>
      </c>
    </row>
    <row customHeight="1" ht="11.25">
      <c r="A2196" s="7771" t="s">
        <v>2266</v>
      </c>
      <c r="B2196" s="7771" t="s">
        <v>16</v>
      </c>
      <c r="C2196" s="7771" t="s">
        <v>2554</v>
      </c>
      <c r="D2196" s="7771" t="s">
        <v>2555</v>
      </c>
      <c r="E2196" s="7771" t="s">
        <v>2556</v>
      </c>
      <c r="F2196" s="7771" t="s">
        <v>2463</v>
      </c>
      <c r="G2196" s="7771" t="s">
        <v>28</v>
      </c>
      <c r="H2196" s="7771" t="s">
        <v>28</v>
      </c>
      <c r="I2196" s="7771" t="s">
        <v>1636</v>
      </c>
    </row>
    <row customHeight="1" ht="11.25">
      <c r="A2197" s="7771" t="s">
        <v>2266</v>
      </c>
      <c r="B2197" s="7771" t="s">
        <v>16</v>
      </c>
      <c r="C2197" s="7771" t="s">
        <v>5970</v>
      </c>
      <c r="D2197" s="7771" t="s">
        <v>5971</v>
      </c>
      <c r="E2197" s="7771" t="s">
        <v>5972</v>
      </c>
      <c r="F2197" s="7771" t="s">
        <v>2295</v>
      </c>
      <c r="G2197" s="7771" t="s">
        <v>28</v>
      </c>
      <c r="H2197" s="7771" t="s">
        <v>28</v>
      </c>
      <c r="I2197" s="7771" t="s">
        <v>1636</v>
      </c>
    </row>
    <row customHeight="1" ht="11.25">
      <c r="A2198" s="7771" t="s">
        <v>2266</v>
      </c>
      <c r="B2198" s="7771" t="s">
        <v>16</v>
      </c>
      <c r="C2198" s="7771" t="s">
        <v>5973</v>
      </c>
      <c r="D2198" s="7771" t="s">
        <v>5974</v>
      </c>
      <c r="E2198" s="7771" t="s">
        <v>5975</v>
      </c>
      <c r="F2198" s="7771" t="s">
        <v>2739</v>
      </c>
      <c r="G2198" s="7771" t="s">
        <v>5976</v>
      </c>
      <c r="H2198" s="7771" t="s">
        <v>28</v>
      </c>
      <c r="I2198" s="7771" t="s">
        <v>1636</v>
      </c>
    </row>
    <row customHeight="1" ht="11.25">
      <c r="A2199" s="7771" t="s">
        <v>2266</v>
      </c>
      <c r="B2199" s="7771" t="s">
        <v>16</v>
      </c>
      <c r="C2199" s="7771" t="s">
        <v>5977</v>
      </c>
      <c r="D2199" s="7771" t="s">
        <v>5978</v>
      </c>
      <c r="E2199" s="7771" t="s">
        <v>5979</v>
      </c>
      <c r="F2199" s="7771" t="s">
        <v>590</v>
      </c>
      <c r="G2199" s="7771" t="s">
        <v>28</v>
      </c>
      <c r="H2199" s="7771" t="s">
        <v>28</v>
      </c>
      <c r="I2199" s="7771" t="s">
        <v>1636</v>
      </c>
    </row>
    <row customHeight="1" ht="11.25">
      <c r="A2200" s="7771" t="s">
        <v>2266</v>
      </c>
      <c r="B2200" s="7771" t="s">
        <v>16</v>
      </c>
      <c r="C2200" s="7771" t="s">
        <v>5980</v>
      </c>
      <c r="D2200" s="7771" t="s">
        <v>5981</v>
      </c>
      <c r="E2200" s="7771" t="s">
        <v>5982</v>
      </c>
      <c r="F2200" s="7771" t="s">
        <v>590</v>
      </c>
      <c r="G2200" s="7771" t="s">
        <v>28</v>
      </c>
      <c r="H2200" s="7771" t="s">
        <v>28</v>
      </c>
      <c r="I2200" s="7771" t="s">
        <v>1636</v>
      </c>
    </row>
    <row customHeight="1" ht="11.25">
      <c r="A2201" s="7771" t="s">
        <v>2266</v>
      </c>
      <c r="B2201" s="7771" t="s">
        <v>16</v>
      </c>
      <c r="C2201" s="7771" t="s">
        <v>28</v>
      </c>
      <c r="D2201" s="7771" t="s">
        <v>3011</v>
      </c>
      <c r="E2201" s="7771" t="s">
        <v>3012</v>
      </c>
      <c r="F2201" s="7771" t="s">
        <v>2285</v>
      </c>
      <c r="G2201" s="7771" t="s">
        <v>28</v>
      </c>
      <c r="H2201" s="7771" t="s">
        <v>28</v>
      </c>
      <c r="I2201" s="7771" t="s">
        <v>1636</v>
      </c>
    </row>
    <row customHeight="1" ht="11.25">
      <c r="A2202" s="7771" t="s">
        <v>2266</v>
      </c>
      <c r="B2202" s="7771" t="s">
        <v>16</v>
      </c>
      <c r="C2202" s="7771" t="s">
        <v>5983</v>
      </c>
      <c r="D2202" s="7771" t="s">
        <v>5984</v>
      </c>
      <c r="E2202" s="7771" t="s">
        <v>5985</v>
      </c>
      <c r="F2202" s="7771" t="s">
        <v>3125</v>
      </c>
      <c r="G2202" s="7771" t="s">
        <v>28</v>
      </c>
      <c r="H2202" s="7771" t="s">
        <v>28</v>
      </c>
      <c r="I2202" s="7771" t="s">
        <v>1636</v>
      </c>
    </row>
    <row customHeight="1" ht="11.25">
      <c r="A2203" s="7771" t="s">
        <v>2266</v>
      </c>
      <c r="B2203" s="7771" t="s">
        <v>16</v>
      </c>
      <c r="C2203" s="7771" t="s">
        <v>5986</v>
      </c>
      <c r="D2203" s="7771" t="s">
        <v>5987</v>
      </c>
      <c r="E2203" s="7771" t="s">
        <v>5988</v>
      </c>
      <c r="F2203" s="7771" t="s">
        <v>3111</v>
      </c>
      <c r="G2203" s="7771" t="s">
        <v>5989</v>
      </c>
      <c r="H2203" s="7771" t="s">
        <v>28</v>
      </c>
      <c r="I2203" s="7771" t="s">
        <v>1636</v>
      </c>
    </row>
    <row customHeight="1" ht="11.25">
      <c r="A2204" s="7771" t="s">
        <v>2266</v>
      </c>
      <c r="B2204" s="7771" t="s">
        <v>16</v>
      </c>
      <c r="C2204" s="7771" t="s">
        <v>5990</v>
      </c>
      <c r="D2204" s="7771" t="s">
        <v>5991</v>
      </c>
      <c r="E2204" s="7771" t="s">
        <v>5992</v>
      </c>
      <c r="F2204" s="7771" t="s">
        <v>2290</v>
      </c>
      <c r="G2204" s="7771" t="s">
        <v>28</v>
      </c>
      <c r="H2204" s="7771" t="s">
        <v>28</v>
      </c>
      <c r="I2204" s="7771" t="s">
        <v>1636</v>
      </c>
    </row>
    <row customHeight="1" ht="11.25">
      <c r="A2205" s="7771" t="s">
        <v>2266</v>
      </c>
      <c r="B2205" s="7771" t="s">
        <v>16</v>
      </c>
      <c r="C2205" s="7771" t="s">
        <v>5993</v>
      </c>
      <c r="D2205" s="7771" t="s">
        <v>5994</v>
      </c>
      <c r="E2205" s="7771" t="s">
        <v>5995</v>
      </c>
      <c r="F2205" s="7771" t="s">
        <v>3222</v>
      </c>
      <c r="G2205" s="7771" t="s">
        <v>28</v>
      </c>
      <c r="H2205" s="7771" t="s">
        <v>28</v>
      </c>
      <c r="I2205" s="7771" t="s">
        <v>1636</v>
      </c>
    </row>
    <row customHeight="1" ht="11.25">
      <c r="A2206" s="7771" t="s">
        <v>2266</v>
      </c>
      <c r="B2206" s="7771" t="s">
        <v>16</v>
      </c>
      <c r="C2206" s="7771" t="s">
        <v>5996</v>
      </c>
      <c r="D2206" s="7771" t="s">
        <v>5997</v>
      </c>
      <c r="E2206" s="7771" t="s">
        <v>5998</v>
      </c>
      <c r="F2206" s="7771" t="s">
        <v>2745</v>
      </c>
      <c r="G2206" s="7771" t="s">
        <v>5999</v>
      </c>
      <c r="H2206" s="7771" t="s">
        <v>28</v>
      </c>
      <c r="I2206" s="7771" t="s">
        <v>1636</v>
      </c>
    </row>
    <row customHeight="1" ht="11.25">
      <c r="A2207" s="7771" t="s">
        <v>2266</v>
      </c>
      <c r="B2207" s="7771" t="s">
        <v>16</v>
      </c>
      <c r="C2207" s="7771" t="s">
        <v>6000</v>
      </c>
      <c r="D2207" s="7771" t="s">
        <v>6001</v>
      </c>
      <c r="E2207" s="7771" t="s">
        <v>6002</v>
      </c>
      <c r="F2207" s="7771" t="s">
        <v>2753</v>
      </c>
      <c r="G2207" s="7771" t="s">
        <v>28</v>
      </c>
      <c r="H2207" s="7771" t="s">
        <v>28</v>
      </c>
      <c r="I2207" s="7771" t="s">
        <v>1636</v>
      </c>
    </row>
    <row customHeight="1" ht="11.25">
      <c r="A2208" s="7771" t="s">
        <v>2266</v>
      </c>
      <c r="B2208" s="7771" t="s">
        <v>16</v>
      </c>
      <c r="C2208" s="7771" t="s">
        <v>6003</v>
      </c>
      <c r="D2208" s="7771" t="s">
        <v>6004</v>
      </c>
      <c r="E2208" s="7771" t="s">
        <v>6005</v>
      </c>
      <c r="F2208" s="7771" t="s">
        <v>3974</v>
      </c>
      <c r="G2208" s="7771" t="s">
        <v>6006</v>
      </c>
      <c r="H2208" s="7771" t="s">
        <v>28</v>
      </c>
      <c r="I2208" s="7771" t="s">
        <v>1636</v>
      </c>
    </row>
    <row customHeight="1" ht="11.25">
      <c r="A2209" s="7771" t="s">
        <v>2266</v>
      </c>
      <c r="B2209" s="7771" t="s">
        <v>16</v>
      </c>
      <c r="C2209" s="7771" t="s">
        <v>6007</v>
      </c>
      <c r="D2209" s="7771" t="s">
        <v>6008</v>
      </c>
      <c r="E2209" s="7771" t="s">
        <v>6009</v>
      </c>
      <c r="F2209" s="7771" t="s">
        <v>2446</v>
      </c>
      <c r="G2209" s="7771" t="s">
        <v>6010</v>
      </c>
      <c r="H2209" s="7771" t="s">
        <v>28</v>
      </c>
      <c r="I2209" s="7771" t="s">
        <v>1636</v>
      </c>
    </row>
    <row customHeight="1" ht="11.25">
      <c r="A2210" s="7771" t="s">
        <v>2266</v>
      </c>
      <c r="B2210" s="7771" t="s">
        <v>16</v>
      </c>
      <c r="C2210" s="7771" t="s">
        <v>6011</v>
      </c>
      <c r="D2210" s="7771" t="s">
        <v>6012</v>
      </c>
      <c r="E2210" s="7771" t="s">
        <v>6013</v>
      </c>
      <c r="F2210" s="7771" t="s">
        <v>2446</v>
      </c>
      <c r="G2210" s="7771" t="s">
        <v>28</v>
      </c>
      <c r="H2210" s="7771" t="s">
        <v>28</v>
      </c>
      <c r="I2210" s="7771" t="s">
        <v>1636</v>
      </c>
    </row>
    <row customHeight="1" ht="11.25">
      <c r="A2211" s="7771" t="s">
        <v>2266</v>
      </c>
      <c r="B2211" s="7771" t="s">
        <v>16</v>
      </c>
      <c r="C2211" s="7771" t="s">
        <v>6014</v>
      </c>
      <c r="D2211" s="7771" t="s">
        <v>6015</v>
      </c>
      <c r="E2211" s="7771" t="s">
        <v>6016</v>
      </c>
      <c r="F2211" s="7771" t="s">
        <v>6017</v>
      </c>
      <c r="G2211" s="7771" t="s">
        <v>28</v>
      </c>
      <c r="H2211" s="7771" t="s">
        <v>28</v>
      </c>
      <c r="I2211" s="7771" t="s">
        <v>1636</v>
      </c>
    </row>
    <row customHeight="1" ht="11.25">
      <c r="A2212" s="7771" t="s">
        <v>2266</v>
      </c>
      <c r="B2212" s="7771" t="s">
        <v>16</v>
      </c>
      <c r="C2212" s="7771" t="s">
        <v>6018</v>
      </c>
      <c r="D2212" s="7771" t="s">
        <v>6019</v>
      </c>
      <c r="E2212" s="7771" t="s">
        <v>6020</v>
      </c>
      <c r="F2212" s="7771" t="s">
        <v>2295</v>
      </c>
      <c r="G2212" s="7771" t="s">
        <v>28</v>
      </c>
      <c r="H2212" s="7771" t="s">
        <v>28</v>
      </c>
      <c r="I2212" s="7771" t="s">
        <v>1636</v>
      </c>
    </row>
    <row customHeight="1" ht="11.25">
      <c r="A2213" s="7771" t="s">
        <v>2266</v>
      </c>
      <c r="B2213" s="7771" t="s">
        <v>16</v>
      </c>
      <c r="C2213" s="7771" t="s">
        <v>6021</v>
      </c>
      <c r="D2213" s="7771" t="s">
        <v>6022</v>
      </c>
      <c r="E2213" s="7771" t="s">
        <v>6023</v>
      </c>
      <c r="F2213" s="7771" t="s">
        <v>2330</v>
      </c>
      <c r="G2213" s="7771" t="s">
        <v>6024</v>
      </c>
      <c r="H2213" s="7771" t="s">
        <v>28</v>
      </c>
      <c r="I2213" s="7771" t="s">
        <v>1636</v>
      </c>
    </row>
    <row customHeight="1" ht="11.25">
      <c r="A2214" s="7771" t="s">
        <v>2266</v>
      </c>
      <c r="B2214" s="7771" t="s">
        <v>16</v>
      </c>
      <c r="C2214" s="7771" t="s">
        <v>6025</v>
      </c>
      <c r="D2214" s="7771" t="s">
        <v>6026</v>
      </c>
      <c r="E2214" s="7771" t="s">
        <v>6027</v>
      </c>
      <c r="F2214" s="7771" t="s">
        <v>3966</v>
      </c>
      <c r="G2214" s="7771" t="s">
        <v>28</v>
      </c>
      <c r="H2214" s="7771" t="s">
        <v>28</v>
      </c>
      <c r="I2214" s="7771" t="s">
        <v>1636</v>
      </c>
    </row>
    <row customHeight="1" ht="11.25">
      <c r="A2215" s="7771" t="s">
        <v>2266</v>
      </c>
      <c r="B2215" s="7771" t="s">
        <v>16</v>
      </c>
      <c r="C2215" s="7771" t="s">
        <v>6028</v>
      </c>
      <c r="D2215" s="7771" t="s">
        <v>6029</v>
      </c>
      <c r="E2215" s="7771" t="s">
        <v>6030</v>
      </c>
      <c r="F2215" s="7771" t="s">
        <v>2285</v>
      </c>
      <c r="G2215" s="7771" t="s">
        <v>6031</v>
      </c>
      <c r="H2215" s="7771" t="s">
        <v>28</v>
      </c>
      <c r="I2215" s="7771" t="s">
        <v>1636</v>
      </c>
    </row>
    <row customHeight="1" ht="11.25">
      <c r="A2216" s="7771" t="s">
        <v>2266</v>
      </c>
      <c r="B2216" s="7771" t="s">
        <v>16</v>
      </c>
      <c r="C2216" s="7771" t="s">
        <v>6032</v>
      </c>
      <c r="D2216" s="7771" t="s">
        <v>6033</v>
      </c>
      <c r="E2216" s="7771" t="s">
        <v>6034</v>
      </c>
      <c r="F2216" s="7771" t="s">
        <v>6035</v>
      </c>
      <c r="G2216" s="7771" t="s">
        <v>28</v>
      </c>
      <c r="H2216" s="7771" t="s">
        <v>28</v>
      </c>
      <c r="I2216" s="7771" t="s">
        <v>1636</v>
      </c>
    </row>
    <row customHeight="1" ht="11.25">
      <c r="A2217" s="7771" t="s">
        <v>2266</v>
      </c>
      <c r="B2217" s="7771" t="s">
        <v>16</v>
      </c>
      <c r="C2217" s="7771" t="s">
        <v>6036</v>
      </c>
      <c r="D2217" s="7771" t="s">
        <v>6037</v>
      </c>
      <c r="E2217" s="7771" t="s">
        <v>6038</v>
      </c>
      <c r="F2217" s="7771" t="s">
        <v>3125</v>
      </c>
      <c r="G2217" s="7771" t="s">
        <v>28</v>
      </c>
      <c r="H2217" s="7771" t="s">
        <v>28</v>
      </c>
      <c r="I2217" s="7771" t="s">
        <v>1636</v>
      </c>
    </row>
    <row customHeight="1" ht="11.25">
      <c r="A2218" s="7771" t="s">
        <v>2266</v>
      </c>
      <c r="B2218" s="7771" t="s">
        <v>16</v>
      </c>
      <c r="C2218" s="7771" t="s">
        <v>6039</v>
      </c>
      <c r="D2218" s="7771" t="s">
        <v>6040</v>
      </c>
      <c r="E2218" s="7771" t="s">
        <v>6041</v>
      </c>
      <c r="F2218" s="7771" t="s">
        <v>2377</v>
      </c>
      <c r="G2218" s="7771" t="s">
        <v>28</v>
      </c>
      <c r="H2218" s="7771" t="s">
        <v>28</v>
      </c>
      <c r="I2218" s="7771" t="s">
        <v>1636</v>
      </c>
    </row>
    <row customHeight="1" ht="11.25">
      <c r="A2219" s="7771" t="s">
        <v>2266</v>
      </c>
      <c r="B2219" s="7771" t="s">
        <v>16</v>
      </c>
      <c r="C2219" s="7771" t="s">
        <v>6042</v>
      </c>
      <c r="D2219" s="7771" t="s">
        <v>6043</v>
      </c>
      <c r="E2219" s="7771" t="s">
        <v>6044</v>
      </c>
      <c r="F2219" s="7771" t="s">
        <v>3125</v>
      </c>
      <c r="G2219" s="7771" t="s">
        <v>28</v>
      </c>
      <c r="H2219" s="7771" t="s">
        <v>28</v>
      </c>
      <c r="I2219" s="7771" t="s">
        <v>1636</v>
      </c>
    </row>
    <row customHeight="1" ht="11.25">
      <c r="A2220" s="7771" t="s">
        <v>2266</v>
      </c>
      <c r="B2220" s="7771" t="s">
        <v>16</v>
      </c>
      <c r="C2220" s="7771" t="s">
        <v>6045</v>
      </c>
      <c r="D2220" s="7771" t="s">
        <v>6046</v>
      </c>
      <c r="E2220" s="7771" t="s">
        <v>6047</v>
      </c>
      <c r="F2220" s="7771" t="s">
        <v>2624</v>
      </c>
      <c r="G2220" s="7771" t="s">
        <v>28</v>
      </c>
      <c r="H2220" s="7771" t="s">
        <v>28</v>
      </c>
      <c r="I2220" s="7771" t="s">
        <v>1636</v>
      </c>
    </row>
    <row customHeight="1" ht="11.25">
      <c r="A2221" s="7771" t="s">
        <v>2266</v>
      </c>
      <c r="B2221" s="7771" t="s">
        <v>16</v>
      </c>
      <c r="C2221" s="7771" t="s">
        <v>6048</v>
      </c>
      <c r="D2221" s="7771" t="s">
        <v>6049</v>
      </c>
      <c r="E2221" s="7771" t="s">
        <v>6050</v>
      </c>
      <c r="F2221" s="7771" t="s">
        <v>2347</v>
      </c>
      <c r="G2221" s="7771" t="s">
        <v>6051</v>
      </c>
      <c r="H2221" s="7771" t="s">
        <v>28</v>
      </c>
      <c r="I2221" s="7771" t="s">
        <v>1636</v>
      </c>
    </row>
    <row customHeight="1" ht="11.25">
      <c r="A2222" s="7771" t="s">
        <v>2266</v>
      </c>
      <c r="B2222" s="7771" t="s">
        <v>16</v>
      </c>
      <c r="C2222" s="7771" t="s">
        <v>6052</v>
      </c>
      <c r="D2222" s="7771" t="s">
        <v>6053</v>
      </c>
      <c r="E2222" s="7771" t="s">
        <v>6054</v>
      </c>
      <c r="F2222" s="7771" t="s">
        <v>2745</v>
      </c>
      <c r="G2222" s="7771" t="s">
        <v>28</v>
      </c>
      <c r="H2222" s="7771" t="s">
        <v>28</v>
      </c>
      <c r="I2222" s="7771" t="s">
        <v>1636</v>
      </c>
    </row>
    <row customHeight="1" ht="11.25">
      <c r="A2223" s="7771" t="s">
        <v>2266</v>
      </c>
      <c r="B2223" s="7771" t="s">
        <v>16</v>
      </c>
      <c r="C2223" s="7771" t="s">
        <v>6055</v>
      </c>
      <c r="D2223" s="7771" t="s">
        <v>6056</v>
      </c>
      <c r="E2223" s="7771" t="s">
        <v>6057</v>
      </c>
      <c r="F2223" s="7771" t="s">
        <v>2385</v>
      </c>
      <c r="G2223" s="7771" t="s">
        <v>6058</v>
      </c>
      <c r="H2223" s="7771" t="s">
        <v>28</v>
      </c>
      <c r="I2223" s="7771" t="s">
        <v>1636</v>
      </c>
    </row>
    <row customHeight="1" ht="11.25">
      <c r="A2224" s="7771" t="s">
        <v>2266</v>
      </c>
      <c r="B2224" s="7771" t="s">
        <v>16</v>
      </c>
      <c r="C2224" s="7771" t="s">
        <v>6059</v>
      </c>
      <c r="D2224" s="7771" t="s">
        <v>6060</v>
      </c>
      <c r="E2224" s="7771" t="s">
        <v>6061</v>
      </c>
      <c r="F2224" s="7771" t="s">
        <v>2451</v>
      </c>
      <c r="G2224" s="7771" t="s">
        <v>6062</v>
      </c>
      <c r="H2224" s="7771" t="s">
        <v>28</v>
      </c>
      <c r="I2224" s="7771" t="s">
        <v>1636</v>
      </c>
    </row>
    <row customHeight="1" ht="11.25">
      <c r="A2225" s="7771" t="s">
        <v>2266</v>
      </c>
      <c r="B2225" s="7771" t="s">
        <v>16</v>
      </c>
      <c r="C2225" s="7771" t="s">
        <v>6063</v>
      </c>
      <c r="D2225" s="7771" t="s">
        <v>6064</v>
      </c>
      <c r="E2225" s="7771" t="s">
        <v>6065</v>
      </c>
      <c r="F2225" s="7771" t="s">
        <v>2372</v>
      </c>
      <c r="G2225" s="7771" t="s">
        <v>6066</v>
      </c>
      <c r="H2225" s="7771" t="s">
        <v>28</v>
      </c>
      <c r="I2225" s="7771" t="s">
        <v>1636</v>
      </c>
    </row>
    <row customHeight="1" ht="11.25">
      <c r="A2226" s="7771" t="s">
        <v>2266</v>
      </c>
      <c r="B2226" s="7771" t="s">
        <v>16</v>
      </c>
      <c r="C2226" s="7771" t="s">
        <v>6067</v>
      </c>
      <c r="D2226" s="7771" t="s">
        <v>6068</v>
      </c>
      <c r="E2226" s="7771" t="s">
        <v>6069</v>
      </c>
      <c r="F2226" s="7771" t="s">
        <v>2761</v>
      </c>
      <c r="G2226" s="7771" t="s">
        <v>28</v>
      </c>
      <c r="H2226" s="7771" t="s">
        <v>28</v>
      </c>
      <c r="I2226" s="7771" t="s">
        <v>1636</v>
      </c>
    </row>
    <row customHeight="1" ht="11.25">
      <c r="A2227" s="7771" t="s">
        <v>2266</v>
      </c>
      <c r="B2227" s="7771" t="s">
        <v>16</v>
      </c>
      <c r="C2227" s="7771" t="s">
        <v>6070</v>
      </c>
      <c r="D2227" s="7771" t="s">
        <v>6071</v>
      </c>
      <c r="E2227" s="7771" t="s">
        <v>6072</v>
      </c>
      <c r="F2227" s="7771" t="s">
        <v>2360</v>
      </c>
      <c r="G2227" s="7771" t="s">
        <v>28</v>
      </c>
      <c r="H2227" s="7771" t="s">
        <v>28</v>
      </c>
      <c r="I2227" s="7771" t="s">
        <v>1636</v>
      </c>
    </row>
    <row customHeight="1" ht="11.25">
      <c r="A2228" s="7771" t="s">
        <v>2266</v>
      </c>
      <c r="B2228" s="7771" t="s">
        <v>16</v>
      </c>
      <c r="C2228" s="7771" t="s">
        <v>6073</v>
      </c>
      <c r="D2228" s="7771" t="s">
        <v>6074</v>
      </c>
      <c r="E2228" s="7771" t="s">
        <v>6075</v>
      </c>
      <c r="F2228" s="7771" t="s">
        <v>3974</v>
      </c>
      <c r="G2228" s="7771" t="s">
        <v>28</v>
      </c>
      <c r="H2228" s="7771" t="s">
        <v>28</v>
      </c>
      <c r="I2228" s="7771" t="s">
        <v>1636</v>
      </c>
    </row>
    <row customHeight="1" ht="11.25">
      <c r="A2229" s="7771" t="s">
        <v>2266</v>
      </c>
      <c r="B2229" s="7771" t="s">
        <v>16</v>
      </c>
      <c r="C2229" s="7771" t="s">
        <v>6076</v>
      </c>
      <c r="D2229" s="7771" t="s">
        <v>6077</v>
      </c>
      <c r="E2229" s="7771" t="s">
        <v>6078</v>
      </c>
      <c r="F2229" s="7771" t="s">
        <v>2800</v>
      </c>
      <c r="G2229" s="7771" t="s">
        <v>6079</v>
      </c>
      <c r="H2229" s="7771" t="s">
        <v>28</v>
      </c>
      <c r="I2229" s="7771" t="s">
        <v>1636</v>
      </c>
    </row>
    <row customHeight="1" ht="11.25">
      <c r="A2230" s="7771" t="s">
        <v>2266</v>
      </c>
      <c r="B2230" s="7771" t="s">
        <v>16</v>
      </c>
      <c r="C2230" s="7771" t="s">
        <v>6080</v>
      </c>
      <c r="D2230" s="7771" t="s">
        <v>6081</v>
      </c>
      <c r="E2230" s="7771" t="s">
        <v>6082</v>
      </c>
      <c r="F2230" s="7771" t="s">
        <v>2441</v>
      </c>
      <c r="G2230" s="7771" t="s">
        <v>28</v>
      </c>
      <c r="H2230" s="7771" t="s">
        <v>28</v>
      </c>
      <c r="I2230" s="7771" t="s">
        <v>1636</v>
      </c>
    </row>
    <row customHeight="1" ht="11.25">
      <c r="A2231" s="7771" t="s">
        <v>2266</v>
      </c>
      <c r="B2231" s="7771" t="s">
        <v>16</v>
      </c>
      <c r="C2231" s="7771" t="s">
        <v>6083</v>
      </c>
      <c r="D2231" s="7771" t="s">
        <v>6084</v>
      </c>
      <c r="E2231" s="7771" t="s">
        <v>6085</v>
      </c>
      <c r="F2231" s="7771" t="s">
        <v>2412</v>
      </c>
      <c r="G2231" s="7771" t="s">
        <v>28</v>
      </c>
      <c r="H2231" s="7771" t="s">
        <v>28</v>
      </c>
      <c r="I2231" s="7771" t="s">
        <v>1636</v>
      </c>
    </row>
    <row customHeight="1" ht="11.25">
      <c r="A2232" s="7771" t="s">
        <v>2266</v>
      </c>
      <c r="B2232" s="7771" t="s">
        <v>16</v>
      </c>
      <c r="C2232" s="7771" t="s">
        <v>6086</v>
      </c>
      <c r="D2232" s="7771" t="s">
        <v>6087</v>
      </c>
      <c r="E2232" s="7771" t="s">
        <v>6088</v>
      </c>
      <c r="F2232" s="7771" t="s">
        <v>2385</v>
      </c>
      <c r="G2232" s="7771" t="s">
        <v>6089</v>
      </c>
      <c r="H2232" s="7771" t="s">
        <v>28</v>
      </c>
      <c r="I2232" s="7771" t="s">
        <v>1636</v>
      </c>
    </row>
    <row customHeight="1" ht="11.25">
      <c r="A2233" s="7771" t="s">
        <v>2266</v>
      </c>
      <c r="B2233" s="7771" t="s">
        <v>16</v>
      </c>
      <c r="C2233" s="7771" t="s">
        <v>6090</v>
      </c>
      <c r="D2233" s="7771" t="s">
        <v>6091</v>
      </c>
      <c r="E2233" s="7771" t="s">
        <v>6092</v>
      </c>
      <c r="F2233" s="7771" t="s">
        <v>3125</v>
      </c>
      <c r="G2233" s="7771" t="s">
        <v>6093</v>
      </c>
      <c r="H2233" s="7771" t="s">
        <v>28</v>
      </c>
      <c r="I2233" s="7771" t="s">
        <v>1636</v>
      </c>
    </row>
    <row customHeight="1" ht="11.25">
      <c r="A2234" s="7771" t="s">
        <v>2266</v>
      </c>
      <c r="B2234" s="7771" t="s">
        <v>16</v>
      </c>
      <c r="C2234" s="7771" t="s">
        <v>6094</v>
      </c>
      <c r="D2234" s="7771" t="s">
        <v>6095</v>
      </c>
      <c r="E2234" s="7771" t="s">
        <v>6096</v>
      </c>
      <c r="F2234" s="7771" t="s">
        <v>3222</v>
      </c>
      <c r="G2234" s="7771" t="s">
        <v>6097</v>
      </c>
      <c r="H2234" s="7771" t="s">
        <v>28</v>
      </c>
      <c r="I2234" s="7771" t="s">
        <v>1636</v>
      </c>
    </row>
    <row customHeight="1" ht="11.25">
      <c r="A2235" s="7771" t="s">
        <v>2266</v>
      </c>
      <c r="B2235" s="7771" t="s">
        <v>16</v>
      </c>
      <c r="C2235" s="7771" t="s">
        <v>6098</v>
      </c>
      <c r="D2235" s="7771" t="s">
        <v>6099</v>
      </c>
      <c r="E2235" s="7771" t="s">
        <v>6100</v>
      </c>
      <c r="F2235" s="7771" t="s">
        <v>4065</v>
      </c>
      <c r="G2235" s="7771" t="s">
        <v>6101</v>
      </c>
      <c r="H2235" s="7771" t="s">
        <v>28</v>
      </c>
      <c r="I2235" s="7771" t="s">
        <v>1636</v>
      </c>
    </row>
    <row customHeight="1" ht="11.25">
      <c r="A2236" s="7771" t="s">
        <v>2266</v>
      </c>
      <c r="B2236" s="7771" t="s">
        <v>16</v>
      </c>
      <c r="C2236" s="7771" t="s">
        <v>6102</v>
      </c>
      <c r="D2236" s="7771" t="s">
        <v>6103</v>
      </c>
      <c r="E2236" s="7771" t="s">
        <v>6104</v>
      </c>
      <c r="F2236" s="7771" t="s">
        <v>2446</v>
      </c>
      <c r="G2236" s="7771" t="s">
        <v>28</v>
      </c>
      <c r="H2236" s="7771" t="s">
        <v>28</v>
      </c>
      <c r="I2236" s="7771" t="s">
        <v>1636</v>
      </c>
    </row>
    <row customHeight="1" ht="11.25">
      <c r="A2237" s="7771" t="s">
        <v>2266</v>
      </c>
      <c r="B2237" s="7771" t="s">
        <v>16</v>
      </c>
      <c r="C2237" s="7771" t="s">
        <v>6105</v>
      </c>
      <c r="D2237" s="7771" t="s">
        <v>6106</v>
      </c>
      <c r="E2237" s="7771" t="s">
        <v>6107</v>
      </c>
      <c r="F2237" s="7771" t="s">
        <v>2486</v>
      </c>
      <c r="G2237" s="7771" t="s">
        <v>6108</v>
      </c>
      <c r="H2237" s="7771" t="s">
        <v>28</v>
      </c>
      <c r="I2237" s="7771" t="s">
        <v>1636</v>
      </c>
    </row>
    <row customHeight="1" ht="11.25">
      <c r="A2238" s="7771" t="s">
        <v>2266</v>
      </c>
      <c r="B2238" s="7771" t="s">
        <v>16</v>
      </c>
      <c r="C2238" s="7771" t="s">
        <v>6109</v>
      </c>
      <c r="D2238" s="7771" t="s">
        <v>6110</v>
      </c>
      <c r="E2238" s="7771" t="s">
        <v>6111</v>
      </c>
      <c r="F2238" s="7771" t="s">
        <v>6112</v>
      </c>
      <c r="G2238" s="7771" t="s">
        <v>6113</v>
      </c>
      <c r="H2238" s="7771" t="s">
        <v>28</v>
      </c>
      <c r="I2238" s="7771" t="s">
        <v>1636</v>
      </c>
    </row>
    <row customHeight="1" ht="11.25">
      <c r="A2239" s="7771" t="s">
        <v>2266</v>
      </c>
      <c r="B2239" s="7771" t="s">
        <v>16</v>
      </c>
      <c r="C2239" s="7771" t="s">
        <v>6114</v>
      </c>
      <c r="D2239" s="7771" t="s">
        <v>6115</v>
      </c>
      <c r="E2239" s="7771" t="s">
        <v>6116</v>
      </c>
      <c r="F2239" s="7771" t="s">
        <v>2290</v>
      </c>
      <c r="G2239" s="7771" t="s">
        <v>6117</v>
      </c>
      <c r="H2239" s="7771" t="s">
        <v>28</v>
      </c>
      <c r="I2239" s="7771" t="s">
        <v>1636</v>
      </c>
    </row>
    <row customHeight="1" ht="11.25">
      <c r="A2240" s="7771" t="s">
        <v>2266</v>
      </c>
      <c r="B2240" s="7771" t="s">
        <v>16</v>
      </c>
      <c r="C2240" s="7771" t="s">
        <v>6118</v>
      </c>
      <c r="D2240" s="7771" t="s">
        <v>6119</v>
      </c>
      <c r="E2240" s="7771" t="s">
        <v>6120</v>
      </c>
      <c r="F2240" s="7771" t="s">
        <v>2320</v>
      </c>
      <c r="G2240" s="7771" t="s">
        <v>6121</v>
      </c>
      <c r="H2240" s="7771" t="s">
        <v>28</v>
      </c>
      <c r="I2240" s="7771" t="s">
        <v>1636</v>
      </c>
    </row>
    <row customHeight="1" ht="11.25">
      <c r="A2241" s="7771" t="s">
        <v>2266</v>
      </c>
      <c r="B2241" s="7771" t="s">
        <v>16</v>
      </c>
      <c r="C2241" s="7771" t="s">
        <v>6122</v>
      </c>
      <c r="D2241" s="7771" t="s">
        <v>6123</v>
      </c>
      <c r="E2241" s="7771" t="s">
        <v>6124</v>
      </c>
      <c r="F2241" s="7771" t="s">
        <v>2280</v>
      </c>
      <c r="G2241" s="7771" t="s">
        <v>6125</v>
      </c>
      <c r="H2241" s="7771" t="s">
        <v>28</v>
      </c>
      <c r="I2241" s="7771" t="s">
        <v>1636</v>
      </c>
    </row>
    <row customHeight="1" ht="11.25">
      <c r="A2242" s="7771" t="s">
        <v>2266</v>
      </c>
      <c r="B2242" s="7771" t="s">
        <v>16</v>
      </c>
      <c r="C2242" s="7771" t="s">
        <v>6126</v>
      </c>
      <c r="D2242" s="7771" t="s">
        <v>6127</v>
      </c>
      <c r="E2242" s="7771" t="s">
        <v>6128</v>
      </c>
      <c r="F2242" s="7771" t="s">
        <v>5301</v>
      </c>
      <c r="G2242" s="7771" t="s">
        <v>28</v>
      </c>
      <c r="H2242" s="7771" t="s">
        <v>28</v>
      </c>
      <c r="I2242" s="7771" t="s">
        <v>1636</v>
      </c>
    </row>
    <row customHeight="1" ht="11.25">
      <c r="A2243" s="7771" t="s">
        <v>2266</v>
      </c>
      <c r="B2243" s="7771" t="s">
        <v>16</v>
      </c>
      <c r="C2243" s="7771" t="s">
        <v>6129</v>
      </c>
      <c r="D2243" s="7771" t="s">
        <v>6130</v>
      </c>
      <c r="E2243" s="7771" t="s">
        <v>6131</v>
      </c>
      <c r="F2243" s="7771" t="s">
        <v>3027</v>
      </c>
      <c r="G2243" s="7771" t="s">
        <v>28</v>
      </c>
      <c r="H2243" s="7771" t="s">
        <v>28</v>
      </c>
      <c r="I2243" s="7771" t="s">
        <v>1636</v>
      </c>
    </row>
    <row customHeight="1" ht="11.25">
      <c r="A2244" s="7771" t="s">
        <v>2266</v>
      </c>
      <c r="B2244" s="7771" t="s">
        <v>16</v>
      </c>
      <c r="C2244" s="7771" t="s">
        <v>6132</v>
      </c>
      <c r="D2244" s="7771" t="s">
        <v>6133</v>
      </c>
      <c r="E2244" s="7771" t="s">
        <v>6134</v>
      </c>
      <c r="F2244" s="7771" t="s">
        <v>2377</v>
      </c>
      <c r="G2244" s="7771" t="s">
        <v>28</v>
      </c>
      <c r="H2244" s="7771" t="s">
        <v>28</v>
      </c>
      <c r="I2244" s="7771" t="s">
        <v>1636</v>
      </c>
    </row>
    <row customHeight="1" ht="11.25">
      <c r="A2245" s="7771" t="s">
        <v>2266</v>
      </c>
      <c r="B2245" s="7771" t="s">
        <v>16</v>
      </c>
      <c r="C2245" s="7771" t="s">
        <v>3810</v>
      </c>
      <c r="D2245" s="7771" t="s">
        <v>3811</v>
      </c>
      <c r="E2245" s="7771" t="s">
        <v>3812</v>
      </c>
      <c r="F2245" s="7771" t="s">
        <v>2739</v>
      </c>
      <c r="G2245" s="7771" t="s">
        <v>3813</v>
      </c>
      <c r="H2245" s="7771" t="s">
        <v>28</v>
      </c>
      <c r="I2245" s="7771" t="s">
        <v>1636</v>
      </c>
    </row>
    <row customHeight="1" ht="11.25">
      <c r="A2246" s="7771" t="s">
        <v>2266</v>
      </c>
      <c r="B2246" s="7771" t="s">
        <v>16</v>
      </c>
      <c r="C2246" s="7771" t="s">
        <v>6135</v>
      </c>
      <c r="D2246" s="7771" t="s">
        <v>6136</v>
      </c>
      <c r="E2246" s="7771" t="s">
        <v>6137</v>
      </c>
      <c r="F2246" s="7771" t="s">
        <v>2280</v>
      </c>
      <c r="G2246" s="7771" t="s">
        <v>28</v>
      </c>
      <c r="H2246" s="7771" t="s">
        <v>28</v>
      </c>
      <c r="I2246" s="7771" t="s">
        <v>1636</v>
      </c>
    </row>
    <row customHeight="1" ht="11.25">
      <c r="A2247" s="7771" t="s">
        <v>2266</v>
      </c>
      <c r="B2247" s="7771" t="s">
        <v>16</v>
      </c>
      <c r="C2247" s="7771" t="s">
        <v>6138</v>
      </c>
      <c r="D2247" s="7771" t="s">
        <v>6139</v>
      </c>
      <c r="E2247" s="7771" t="s">
        <v>6140</v>
      </c>
      <c r="F2247" s="7771" t="s">
        <v>3966</v>
      </c>
      <c r="G2247" s="7771" t="s">
        <v>28</v>
      </c>
      <c r="H2247" s="7771" t="s">
        <v>28</v>
      </c>
      <c r="I2247" s="7771" t="s">
        <v>1636</v>
      </c>
    </row>
    <row customHeight="1" ht="11.25">
      <c r="A2248" s="7771" t="s">
        <v>2266</v>
      </c>
      <c r="B2248" s="7771" t="s">
        <v>16</v>
      </c>
      <c r="C2248" s="7771" t="s">
        <v>6141</v>
      </c>
      <c r="D2248" s="7771" t="s">
        <v>6142</v>
      </c>
      <c r="E2248" s="7771" t="s">
        <v>6143</v>
      </c>
      <c r="F2248" s="7771" t="s">
        <v>6017</v>
      </c>
      <c r="G2248" s="7771" t="s">
        <v>28</v>
      </c>
      <c r="H2248" s="7771" t="s">
        <v>28</v>
      </c>
      <c r="I2248" s="7771" t="s">
        <v>1636</v>
      </c>
    </row>
    <row customHeight="1" ht="11.25">
      <c r="A2249" s="7771" t="s">
        <v>2266</v>
      </c>
      <c r="B2249" s="7771" t="s">
        <v>16</v>
      </c>
      <c r="C2249" s="7771" t="s">
        <v>6144</v>
      </c>
      <c r="D2249" s="7771" t="s">
        <v>6145</v>
      </c>
      <c r="E2249" s="7771" t="s">
        <v>6146</v>
      </c>
      <c r="F2249" s="7771" t="s">
        <v>2800</v>
      </c>
      <c r="G2249" s="7771" t="s">
        <v>28</v>
      </c>
      <c r="H2249" s="7771" t="s">
        <v>28</v>
      </c>
      <c r="I2249" s="7771" t="s">
        <v>1636</v>
      </c>
    </row>
    <row customHeight="1" ht="11.25">
      <c r="A2250" s="7771" t="s">
        <v>2266</v>
      </c>
      <c r="B2250" s="7771" t="s">
        <v>16</v>
      </c>
      <c r="C2250" s="7771" t="s">
        <v>6147</v>
      </c>
      <c r="D2250" s="7771" t="s">
        <v>6148</v>
      </c>
      <c r="E2250" s="7771" t="s">
        <v>6149</v>
      </c>
      <c r="F2250" s="7771" t="s">
        <v>2894</v>
      </c>
      <c r="G2250" s="7771" t="s">
        <v>28</v>
      </c>
      <c r="H2250" s="7771" t="s">
        <v>28</v>
      </c>
      <c r="I2250" s="7771" t="s">
        <v>1636</v>
      </c>
    </row>
    <row customHeight="1" ht="11.25">
      <c r="A2251" s="7771" t="s">
        <v>2266</v>
      </c>
      <c r="B2251" s="7771" t="s">
        <v>16</v>
      </c>
      <c r="C2251" s="7771" t="s">
        <v>6150</v>
      </c>
      <c r="D2251" s="7771" t="s">
        <v>6151</v>
      </c>
      <c r="E2251" s="7771" t="s">
        <v>6152</v>
      </c>
      <c r="F2251" s="7771" t="s">
        <v>2368</v>
      </c>
      <c r="G2251" s="7771" t="s">
        <v>6153</v>
      </c>
      <c r="H2251" s="7771" t="s">
        <v>28</v>
      </c>
      <c r="I2251" s="7771" t="s">
        <v>1636</v>
      </c>
    </row>
    <row customHeight="1" ht="11.25">
      <c r="A2252" s="7771" t="s">
        <v>2266</v>
      </c>
      <c r="B2252" s="7771" t="s">
        <v>16</v>
      </c>
      <c r="C2252" s="7771" t="s">
        <v>6154</v>
      </c>
      <c r="D2252" s="7771" t="s">
        <v>6155</v>
      </c>
      <c r="E2252" s="7771" t="s">
        <v>6156</v>
      </c>
      <c r="F2252" s="7771" t="s">
        <v>2372</v>
      </c>
      <c r="G2252" s="7771" t="s">
        <v>6157</v>
      </c>
      <c r="H2252" s="7771" t="s">
        <v>28</v>
      </c>
      <c r="I2252" s="7771" t="s">
        <v>1636</v>
      </c>
    </row>
    <row customHeight="1" ht="11.25">
      <c r="A2253" s="7771" t="s">
        <v>2266</v>
      </c>
      <c r="B2253" s="7771" t="s">
        <v>16</v>
      </c>
      <c r="C2253" s="7771" t="s">
        <v>6158</v>
      </c>
      <c r="D2253" s="7771" t="s">
        <v>6159</v>
      </c>
      <c r="E2253" s="7771" t="s">
        <v>6160</v>
      </c>
      <c r="F2253" s="7771" t="s">
        <v>2596</v>
      </c>
      <c r="G2253" s="7771" t="s">
        <v>28</v>
      </c>
      <c r="H2253" s="7771" t="s">
        <v>28</v>
      </c>
      <c r="I2253" s="7771" t="s">
        <v>1636</v>
      </c>
    </row>
    <row customHeight="1" ht="11.25">
      <c r="A2254" s="7771" t="s">
        <v>2266</v>
      </c>
      <c r="B2254" s="7771" t="s">
        <v>16</v>
      </c>
      <c r="C2254" s="7771" t="s">
        <v>6161</v>
      </c>
      <c r="D2254" s="7771" t="s">
        <v>6162</v>
      </c>
      <c r="E2254" s="7771" t="s">
        <v>6163</v>
      </c>
      <c r="F2254" s="7771" t="s">
        <v>5961</v>
      </c>
      <c r="G2254" s="7771" t="s">
        <v>6164</v>
      </c>
      <c r="H2254" s="7771" t="s">
        <v>28</v>
      </c>
      <c r="I2254" s="7771" t="s">
        <v>1636</v>
      </c>
    </row>
    <row customHeight="1" ht="11.25">
      <c r="A2255" s="7771" t="s">
        <v>2266</v>
      </c>
      <c r="B2255" s="7771" t="s">
        <v>16</v>
      </c>
      <c r="C2255" s="7771" t="s">
        <v>6165</v>
      </c>
      <c r="D2255" s="7771" t="s">
        <v>6166</v>
      </c>
      <c r="E2255" s="7771" t="s">
        <v>6167</v>
      </c>
      <c r="F2255" s="7771" t="s">
        <v>6168</v>
      </c>
      <c r="G2255" s="7771" t="s">
        <v>6169</v>
      </c>
      <c r="H2255" s="7771" t="s">
        <v>28</v>
      </c>
      <c r="I2255" s="7771" t="s">
        <v>1636</v>
      </c>
    </row>
    <row customHeight="1" ht="11.25">
      <c r="A2256" s="7771" t="s">
        <v>2266</v>
      </c>
      <c r="B2256" s="7771" t="s">
        <v>16</v>
      </c>
      <c r="C2256" s="7771" t="s">
        <v>6170</v>
      </c>
      <c r="D2256" s="7771" t="s">
        <v>6171</v>
      </c>
      <c r="E2256" s="7771" t="s">
        <v>6172</v>
      </c>
      <c r="F2256" s="7771" t="s">
        <v>2629</v>
      </c>
      <c r="G2256" s="7771" t="s">
        <v>28</v>
      </c>
      <c r="H2256" s="7771" t="s">
        <v>28</v>
      </c>
      <c r="I2256" s="7771" t="s">
        <v>1636</v>
      </c>
    </row>
    <row customHeight="1" ht="11.25">
      <c r="A2257" s="7771" t="s">
        <v>2266</v>
      </c>
      <c r="B2257" s="7771" t="s">
        <v>16</v>
      </c>
      <c r="C2257" s="7771" t="s">
        <v>6173</v>
      </c>
      <c r="D2257" s="7771" t="s">
        <v>6174</v>
      </c>
      <c r="E2257" s="7771" t="s">
        <v>6175</v>
      </c>
      <c r="F2257" s="7771" t="s">
        <v>2377</v>
      </c>
      <c r="G2257" s="7771" t="s">
        <v>6176</v>
      </c>
      <c r="H2257" s="7771" t="s">
        <v>28</v>
      </c>
      <c r="I2257" s="7771" t="s">
        <v>1636</v>
      </c>
    </row>
    <row customHeight="1" ht="11.25">
      <c r="A2258" s="7771" t="s">
        <v>2266</v>
      </c>
      <c r="B2258" s="7771" t="s">
        <v>16</v>
      </c>
      <c r="C2258" s="7771" t="s">
        <v>6177</v>
      </c>
      <c r="D2258" s="7771" t="s">
        <v>6178</v>
      </c>
      <c r="E2258" s="7771" t="s">
        <v>6179</v>
      </c>
      <c r="F2258" s="7771" t="s">
        <v>2723</v>
      </c>
      <c r="G2258" s="7771" t="s">
        <v>6180</v>
      </c>
      <c r="H2258" s="7771" t="s">
        <v>28</v>
      </c>
      <c r="I2258" s="7771" t="s">
        <v>1636</v>
      </c>
    </row>
    <row customHeight="1" ht="11.25">
      <c r="A2259" s="7771" t="s">
        <v>2266</v>
      </c>
      <c r="B2259" s="7771" t="s">
        <v>16</v>
      </c>
      <c r="C2259" s="7771" t="s">
        <v>6181</v>
      </c>
      <c r="D2259" s="7771" t="s">
        <v>6182</v>
      </c>
      <c r="E2259" s="7771" t="s">
        <v>6183</v>
      </c>
      <c r="F2259" s="7771" t="s">
        <v>2399</v>
      </c>
      <c r="G2259" s="7771" t="s">
        <v>28</v>
      </c>
      <c r="H2259" s="7771" t="s">
        <v>28</v>
      </c>
      <c r="I2259" s="7771" t="s">
        <v>1636</v>
      </c>
    </row>
    <row customHeight="1" ht="11.25">
      <c r="A2260" s="7771" t="s">
        <v>2266</v>
      </c>
      <c r="B2260" s="7771" t="s">
        <v>16</v>
      </c>
      <c r="C2260" s="7771" t="s">
        <v>6184</v>
      </c>
      <c r="D2260" s="7771" t="s">
        <v>6185</v>
      </c>
      <c r="E2260" s="7771" t="s">
        <v>6186</v>
      </c>
      <c r="F2260" s="7771" t="s">
        <v>3726</v>
      </c>
      <c r="G2260" s="7771" t="s">
        <v>28</v>
      </c>
      <c r="H2260" s="7771" t="s">
        <v>28</v>
      </c>
      <c r="I2260" s="7771" t="s">
        <v>1636</v>
      </c>
    </row>
    <row customHeight="1" ht="11.25">
      <c r="A2261" s="7771" t="s">
        <v>2266</v>
      </c>
      <c r="B2261" s="7771" t="s">
        <v>16</v>
      </c>
      <c r="C2261" s="7771" t="s">
        <v>6187</v>
      </c>
      <c r="D2261" s="7771" t="s">
        <v>6188</v>
      </c>
      <c r="E2261" s="7771" t="s">
        <v>6189</v>
      </c>
      <c r="F2261" s="7771" t="s">
        <v>2285</v>
      </c>
      <c r="G2261" s="7771" t="s">
        <v>28</v>
      </c>
      <c r="H2261" s="7771" t="s">
        <v>28</v>
      </c>
      <c r="I2261" s="7771" t="s">
        <v>1636</v>
      </c>
    </row>
    <row customHeight="1" ht="11.25">
      <c r="A2262" s="7771" t="s">
        <v>2266</v>
      </c>
      <c r="B2262" s="7771" t="s">
        <v>16</v>
      </c>
      <c r="C2262" s="7771" t="s">
        <v>6190</v>
      </c>
      <c r="D2262" s="7771" t="s">
        <v>6191</v>
      </c>
      <c r="E2262" s="7771" t="s">
        <v>6192</v>
      </c>
      <c r="F2262" s="7771" t="s">
        <v>2745</v>
      </c>
      <c r="G2262" s="7771" t="s">
        <v>6193</v>
      </c>
      <c r="H2262" s="7771" t="s">
        <v>28</v>
      </c>
      <c r="I2262" s="7771" t="s">
        <v>1636</v>
      </c>
    </row>
    <row customHeight="1" ht="11.25">
      <c r="A2263" s="7771" t="s">
        <v>2266</v>
      </c>
      <c r="B2263" s="7771" t="s">
        <v>16</v>
      </c>
      <c r="C2263" s="7771" t="s">
        <v>6194</v>
      </c>
      <c r="D2263" s="7771" t="s">
        <v>6195</v>
      </c>
      <c r="E2263" s="7771" t="s">
        <v>6196</v>
      </c>
      <c r="F2263" s="7771" t="s">
        <v>2325</v>
      </c>
      <c r="G2263" s="7771" t="s">
        <v>6197</v>
      </c>
      <c r="H2263" s="7771" t="s">
        <v>28</v>
      </c>
      <c r="I2263" s="7771" t="s">
        <v>1636</v>
      </c>
    </row>
    <row customHeight="1" ht="11.25">
      <c r="A2264" s="7771" t="s">
        <v>2266</v>
      </c>
      <c r="B2264" s="7771" t="s">
        <v>16</v>
      </c>
      <c r="C2264" s="7771" t="s">
        <v>6198</v>
      </c>
      <c r="D2264" s="7771" t="s">
        <v>6199</v>
      </c>
      <c r="E2264" s="7771" t="s">
        <v>6200</v>
      </c>
      <c r="F2264" s="7771" t="s">
        <v>4065</v>
      </c>
      <c r="G2264" s="7771" t="s">
        <v>6201</v>
      </c>
      <c r="H2264" s="7771" t="s">
        <v>28</v>
      </c>
      <c r="I2264" s="7771" t="s">
        <v>1636</v>
      </c>
    </row>
    <row customHeight="1" ht="11.25">
      <c r="A2265" s="7771" t="s">
        <v>2266</v>
      </c>
      <c r="B2265" s="7771" t="s">
        <v>16</v>
      </c>
      <c r="C2265" s="7771" t="s">
        <v>6202</v>
      </c>
      <c r="D2265" s="7771" t="s">
        <v>6203</v>
      </c>
      <c r="E2265" s="7771" t="s">
        <v>6204</v>
      </c>
      <c r="F2265" s="7771" t="s">
        <v>2280</v>
      </c>
      <c r="G2265" s="7771" t="s">
        <v>6205</v>
      </c>
      <c r="H2265" s="7771" t="s">
        <v>28</v>
      </c>
      <c r="I2265" s="7771" t="s">
        <v>1636</v>
      </c>
    </row>
    <row customHeight="1" ht="11.25">
      <c r="A2266" s="7771" t="s">
        <v>2266</v>
      </c>
      <c r="B2266" s="7771" t="s">
        <v>16</v>
      </c>
      <c r="C2266" s="7771" t="s">
        <v>6206</v>
      </c>
      <c r="D2266" s="7771" t="s">
        <v>6207</v>
      </c>
      <c r="E2266" s="7771" t="s">
        <v>6208</v>
      </c>
      <c r="F2266" s="7771" t="s">
        <v>2295</v>
      </c>
      <c r="G2266" s="7771" t="s">
        <v>6209</v>
      </c>
      <c r="H2266" s="7771" t="s">
        <v>28</v>
      </c>
      <c r="I2266" s="7771" t="s">
        <v>1636</v>
      </c>
    </row>
    <row customHeight="1" ht="11.25">
      <c r="A2267" s="7771" t="s">
        <v>2266</v>
      </c>
      <c r="B2267" s="7771" t="s">
        <v>16</v>
      </c>
      <c r="C2267" s="7771" t="s">
        <v>6210</v>
      </c>
      <c r="D2267" s="7771" t="s">
        <v>6211</v>
      </c>
      <c r="E2267" s="7771" t="s">
        <v>6212</v>
      </c>
      <c r="F2267" s="7771" t="s">
        <v>2753</v>
      </c>
      <c r="G2267" s="7771" t="s">
        <v>6213</v>
      </c>
      <c r="H2267" s="7771" t="s">
        <v>28</v>
      </c>
      <c r="I2267" s="7771" t="s">
        <v>1636</v>
      </c>
    </row>
    <row customHeight="1" ht="11.25">
      <c r="A2268" s="7771" t="s">
        <v>2266</v>
      </c>
      <c r="B2268" s="7771" t="s">
        <v>16</v>
      </c>
      <c r="C2268" s="7771" t="s">
        <v>6214</v>
      </c>
      <c r="D2268" s="7771" t="s">
        <v>6215</v>
      </c>
      <c r="E2268" s="7771" t="s">
        <v>6216</v>
      </c>
      <c r="F2268" s="7771" t="s">
        <v>2592</v>
      </c>
      <c r="G2268" s="7771" t="s">
        <v>28</v>
      </c>
      <c r="H2268" s="7771" t="s">
        <v>28</v>
      </c>
      <c r="I2268" s="7771" t="s">
        <v>1636</v>
      </c>
    </row>
    <row customHeight="1" ht="11.25">
      <c r="A2269" s="7771" t="s">
        <v>2266</v>
      </c>
      <c r="B2269" s="7771" t="s">
        <v>16</v>
      </c>
      <c r="C2269" s="7771" t="s">
        <v>6217</v>
      </c>
      <c r="D2269" s="7771" t="s">
        <v>6218</v>
      </c>
      <c r="E2269" s="7771" t="s">
        <v>6219</v>
      </c>
      <c r="F2269" s="7771" t="s">
        <v>6220</v>
      </c>
      <c r="G2269" s="7771" t="s">
        <v>28</v>
      </c>
      <c r="H2269" s="7771" t="s">
        <v>28</v>
      </c>
      <c r="I2269" s="7771" t="s">
        <v>1636</v>
      </c>
    </row>
    <row customHeight="1" ht="11.25">
      <c r="A2270" s="7771" t="s">
        <v>2266</v>
      </c>
      <c r="B2270" s="7771" t="s">
        <v>16</v>
      </c>
      <c r="C2270" s="7771" t="s">
        <v>6221</v>
      </c>
      <c r="D2270" s="7771" t="s">
        <v>6222</v>
      </c>
      <c r="E2270" s="7771" t="s">
        <v>6223</v>
      </c>
      <c r="F2270" s="7771" t="s">
        <v>2846</v>
      </c>
      <c r="G2270" s="7771" t="s">
        <v>28</v>
      </c>
      <c r="H2270" s="7771" t="s">
        <v>28</v>
      </c>
      <c r="I2270" s="7771" t="s">
        <v>1636</v>
      </c>
    </row>
    <row customHeight="1" ht="11.25">
      <c r="A2271" s="7771" t="s">
        <v>2266</v>
      </c>
      <c r="B2271" s="7771" t="s">
        <v>16</v>
      </c>
      <c r="C2271" s="7771" t="s">
        <v>6224</v>
      </c>
      <c r="D2271" s="7771" t="s">
        <v>6225</v>
      </c>
      <c r="E2271" s="7771" t="s">
        <v>6226</v>
      </c>
      <c r="F2271" s="7771" t="s">
        <v>2300</v>
      </c>
      <c r="G2271" s="7771" t="s">
        <v>6227</v>
      </c>
      <c r="H2271" s="7771" t="s">
        <v>28</v>
      </c>
      <c r="I2271" s="7771" t="s">
        <v>1636</v>
      </c>
    </row>
    <row customHeight="1" ht="11.25">
      <c r="A2272" s="7771" t="s">
        <v>2266</v>
      </c>
      <c r="B2272" s="7771" t="s">
        <v>16</v>
      </c>
      <c r="C2272" s="7771" t="s">
        <v>6228</v>
      </c>
      <c r="D2272" s="7771" t="s">
        <v>6225</v>
      </c>
      <c r="E2272" s="7771" t="s">
        <v>6229</v>
      </c>
      <c r="F2272" s="7771" t="s">
        <v>2592</v>
      </c>
      <c r="G2272" s="7771" t="s">
        <v>28</v>
      </c>
      <c r="H2272" s="7771" t="s">
        <v>28</v>
      </c>
      <c r="I2272" s="7771" t="s">
        <v>1636</v>
      </c>
    </row>
    <row customHeight="1" ht="11.25">
      <c r="A2273" s="7771" t="s">
        <v>2266</v>
      </c>
      <c r="B2273" s="7771" t="s">
        <v>16</v>
      </c>
      <c r="C2273" s="7771" t="s">
        <v>6230</v>
      </c>
      <c r="D2273" s="7771" t="s">
        <v>6231</v>
      </c>
      <c r="E2273" s="7771" t="s">
        <v>6232</v>
      </c>
      <c r="F2273" s="7771" t="s">
        <v>2451</v>
      </c>
      <c r="G2273" s="7771" t="s">
        <v>6233</v>
      </c>
      <c r="H2273" s="7771" t="s">
        <v>28</v>
      </c>
      <c r="I2273" s="7771" t="s">
        <v>1636</v>
      </c>
    </row>
    <row customHeight="1" ht="11.25">
      <c r="A2274" s="7771" t="s">
        <v>2266</v>
      </c>
      <c r="B2274" s="7771" t="s">
        <v>16</v>
      </c>
      <c r="C2274" s="7771" t="s">
        <v>6234</v>
      </c>
      <c r="D2274" s="7771" t="s">
        <v>4228</v>
      </c>
      <c r="E2274" s="7771" t="s">
        <v>6235</v>
      </c>
      <c r="F2274" s="7771" t="s">
        <v>2295</v>
      </c>
      <c r="G2274" s="7771" t="s">
        <v>28</v>
      </c>
      <c r="H2274" s="7771" t="s">
        <v>28</v>
      </c>
      <c r="I2274" s="7771" t="s">
        <v>1636</v>
      </c>
    </row>
    <row customHeight="1" ht="11.25">
      <c r="A2275" s="7771" t="s">
        <v>2266</v>
      </c>
      <c r="B2275" s="7771" t="s">
        <v>16</v>
      </c>
      <c r="C2275" s="7771" t="s">
        <v>5576</v>
      </c>
      <c r="D2275" s="7771" t="s">
        <v>5577</v>
      </c>
      <c r="E2275" s="7771" t="s">
        <v>5578</v>
      </c>
      <c r="F2275" s="7771" t="s">
        <v>2347</v>
      </c>
      <c r="G2275" s="7771" t="s">
        <v>28</v>
      </c>
      <c r="H2275" s="7771" t="s">
        <v>28</v>
      </c>
      <c r="I2275" s="7771" t="s">
        <v>1636</v>
      </c>
    </row>
    <row customHeight="1" ht="11.25">
      <c r="A2276" s="7771" t="s">
        <v>2266</v>
      </c>
      <c r="B2276" s="7771" t="s">
        <v>16</v>
      </c>
      <c r="C2276" s="7771" t="s">
        <v>6236</v>
      </c>
      <c r="D2276" s="7771" t="s">
        <v>6237</v>
      </c>
      <c r="E2276" s="7771" t="s">
        <v>6238</v>
      </c>
      <c r="F2276" s="7771" t="s">
        <v>2446</v>
      </c>
      <c r="G2276" s="7771" t="s">
        <v>6239</v>
      </c>
      <c r="H2276" s="7771" t="s">
        <v>28</v>
      </c>
      <c r="I2276" s="7771" t="s">
        <v>1636</v>
      </c>
    </row>
    <row customHeight="1" ht="11.25">
      <c r="A2277" s="7771" t="s">
        <v>2266</v>
      </c>
      <c r="B2277" s="7771" t="s">
        <v>16</v>
      </c>
      <c r="C2277" s="7771" t="s">
        <v>6240</v>
      </c>
      <c r="D2277" s="7771" t="s">
        <v>6241</v>
      </c>
      <c r="E2277" s="7771" t="s">
        <v>6242</v>
      </c>
      <c r="F2277" s="7771" t="s">
        <v>3222</v>
      </c>
      <c r="G2277" s="7771" t="s">
        <v>28</v>
      </c>
      <c r="H2277" s="7771" t="s">
        <v>28</v>
      </c>
      <c r="I2277" s="7771" t="s">
        <v>1636</v>
      </c>
    </row>
    <row customHeight="1" ht="11.25">
      <c r="A2278" s="7771" t="s">
        <v>2266</v>
      </c>
      <c r="B2278" s="7771" t="s">
        <v>16</v>
      </c>
      <c r="C2278" s="7771" t="s">
        <v>6243</v>
      </c>
      <c r="D2278" s="7771" t="s">
        <v>6244</v>
      </c>
      <c r="E2278" s="7771" t="s">
        <v>6245</v>
      </c>
      <c r="F2278" s="7771" t="s">
        <v>2441</v>
      </c>
      <c r="G2278" s="7771" t="s">
        <v>6246</v>
      </c>
      <c r="H2278" s="7771" t="s">
        <v>28</v>
      </c>
      <c r="I2278" s="7771" t="s">
        <v>1636</v>
      </c>
    </row>
    <row customHeight="1" ht="11.25">
      <c r="A2279" s="7771" t="s">
        <v>2266</v>
      </c>
      <c r="B2279" s="7771" t="s">
        <v>16</v>
      </c>
      <c r="C2279" s="7771" t="s">
        <v>6247</v>
      </c>
      <c r="D2279" s="7771" t="s">
        <v>6248</v>
      </c>
      <c r="E2279" s="7771" t="s">
        <v>6249</v>
      </c>
      <c r="F2279" s="7771" t="s">
        <v>2342</v>
      </c>
      <c r="G2279" s="7771" t="s">
        <v>28</v>
      </c>
      <c r="H2279" s="7771" t="s">
        <v>28</v>
      </c>
      <c r="I2279" s="7771" t="s">
        <v>1636</v>
      </c>
    </row>
    <row customHeight="1" ht="11.25">
      <c r="A2280" s="7771" t="s">
        <v>2266</v>
      </c>
      <c r="B2280" s="7771" t="s">
        <v>16</v>
      </c>
      <c r="C2280" s="7771" t="s">
        <v>6250</v>
      </c>
      <c r="D2280" s="7771" t="s">
        <v>6251</v>
      </c>
      <c r="E2280" s="7771" t="s">
        <v>6252</v>
      </c>
      <c r="F2280" s="7771" t="s">
        <v>2399</v>
      </c>
      <c r="G2280" s="7771" t="s">
        <v>6253</v>
      </c>
      <c r="H2280" s="7771" t="s">
        <v>28</v>
      </c>
      <c r="I2280" s="7771" t="s">
        <v>1636</v>
      </c>
    </row>
    <row customHeight="1" ht="11.25">
      <c r="A2281" s="7771" t="s">
        <v>2266</v>
      </c>
      <c r="B2281" s="7771" t="s">
        <v>16</v>
      </c>
      <c r="C2281" s="7771" t="s">
        <v>6254</v>
      </c>
      <c r="D2281" s="7771" t="s">
        <v>6255</v>
      </c>
      <c r="E2281" s="7771" t="s">
        <v>6256</v>
      </c>
      <c r="F2281" s="7771" t="s">
        <v>3016</v>
      </c>
      <c r="G2281" s="7771" t="s">
        <v>28</v>
      </c>
      <c r="H2281" s="7771" t="s">
        <v>28</v>
      </c>
      <c r="I2281" s="7771" t="s">
        <v>1636</v>
      </c>
    </row>
    <row customHeight="1" ht="11.25">
      <c r="A2282" s="7771" t="s">
        <v>2266</v>
      </c>
      <c r="B2282" s="7771" t="s">
        <v>16</v>
      </c>
      <c r="C2282" s="7771" t="s">
        <v>6257</v>
      </c>
      <c r="D2282" s="7771" t="s">
        <v>6258</v>
      </c>
      <c r="E2282" s="7771" t="s">
        <v>6259</v>
      </c>
      <c r="F2282" s="7771" t="s">
        <v>2320</v>
      </c>
      <c r="G2282" s="7771" t="s">
        <v>6260</v>
      </c>
      <c r="H2282" s="7771" t="s">
        <v>28</v>
      </c>
      <c r="I2282" s="7771" t="s">
        <v>1636</v>
      </c>
    </row>
    <row customHeight="1" ht="11.25">
      <c r="A2283" s="7771" t="s">
        <v>2266</v>
      </c>
      <c r="B2283" s="7771" t="s">
        <v>16</v>
      </c>
      <c r="C2283" s="7771" t="s">
        <v>6261</v>
      </c>
      <c r="D2283" s="7771" t="s">
        <v>6262</v>
      </c>
      <c r="E2283" s="7771" t="s">
        <v>6263</v>
      </c>
      <c r="F2283" s="7771" t="s">
        <v>6264</v>
      </c>
      <c r="G2283" s="7771" t="s">
        <v>28</v>
      </c>
      <c r="H2283" s="7771" t="s">
        <v>28</v>
      </c>
      <c r="I2283" s="7771" t="s">
        <v>1636</v>
      </c>
    </row>
    <row customHeight="1" ht="11.25">
      <c r="A2284" s="7771" t="s">
        <v>2266</v>
      </c>
      <c r="B2284" s="7771" t="s">
        <v>16</v>
      </c>
      <c r="C2284" s="7771" t="s">
        <v>6265</v>
      </c>
      <c r="D2284" s="7771" t="s">
        <v>6266</v>
      </c>
      <c r="E2284" s="7771" t="s">
        <v>6267</v>
      </c>
      <c r="F2284" s="7771" t="s">
        <v>3222</v>
      </c>
      <c r="G2284" s="7771" t="s">
        <v>6268</v>
      </c>
      <c r="H2284" s="7771" t="s">
        <v>28</v>
      </c>
      <c r="I2284" s="7771" t="s">
        <v>1636</v>
      </c>
    </row>
    <row customHeight="1" ht="11.25">
      <c r="A2285" s="7771" t="s">
        <v>2266</v>
      </c>
      <c r="B2285" s="7771" t="s">
        <v>16</v>
      </c>
      <c r="C2285" s="7771" t="s">
        <v>6269</v>
      </c>
      <c r="D2285" s="7771" t="s">
        <v>6270</v>
      </c>
      <c r="E2285" s="7771" t="s">
        <v>6271</v>
      </c>
      <c r="F2285" s="7771" t="s">
        <v>2280</v>
      </c>
      <c r="G2285" s="7771" t="s">
        <v>28</v>
      </c>
      <c r="H2285" s="7771" t="s">
        <v>28</v>
      </c>
      <c r="I2285" s="7771" t="s">
        <v>1636</v>
      </c>
    </row>
    <row customHeight="1" ht="11.25">
      <c r="A2286" s="7771" t="s">
        <v>2266</v>
      </c>
      <c r="B2286" s="7771" t="s">
        <v>16</v>
      </c>
      <c r="C2286" s="7771" t="s">
        <v>6272</v>
      </c>
      <c r="D2286" s="7771" t="s">
        <v>6273</v>
      </c>
      <c r="E2286" s="7771" t="s">
        <v>6274</v>
      </c>
      <c r="F2286" s="7771" t="s">
        <v>3966</v>
      </c>
      <c r="G2286" s="7771" t="s">
        <v>28</v>
      </c>
      <c r="H2286" s="7771" t="s">
        <v>28</v>
      </c>
      <c r="I2286" s="7771" t="s">
        <v>1636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8FEC82-FAE3-C42E-270D-D160A8912382}" mc:Ignorable="x14ac xr xr2 xr3">
  <sheetPr>
    <tabColor rgb="FFFFCC99"/>
  </sheetPr>
  <dimension ref="A1:G61"/>
  <sheetViews>
    <sheetView topLeftCell="A1" showGridLines="0" workbookViewId="0">
      <selection activeCell="A1" sqref="A1"/>
    </sheetView>
  </sheetViews>
  <sheetFormatPr customHeight="1" defaultRowHeight="11.25"/>
  <cols>
    <col min="1" max="1" style="12053" width="9.140625"/>
  </cols>
  <sheetData>
    <row customHeight="1" ht="11.25">
      <c r="A1" s="543" t="s">
        <v>6275</v>
      </c>
      <c r="B1" s="232" t="s">
        <v>6276</v>
      </c>
      <c r="C1" s="232" t="s">
        <v>6277</v>
      </c>
      <c r="D1" s="232" t="s">
        <v>6278</v>
      </c>
      <c r="E1" s="119" t="s">
        <v>6279</v>
      </c>
      <c r="F1" s="119" t="s">
        <v>6280</v>
      </c>
      <c r="G1" s="119" t="s">
        <v>6281</v>
      </c>
    </row>
    <row customHeight="1" ht="11.25">
      <c r="A2" s="543" t="s">
        <v>16</v>
      </c>
      <c r="B2" s="0" t="s">
        <v>6282</v>
      </c>
      <c r="C2" s="0" t="s">
        <v>6283</v>
      </c>
      <c r="D2" s="0" t="s">
        <v>6282</v>
      </c>
      <c r="E2" s="0" t="s">
        <v>6283</v>
      </c>
      <c r="F2" s="0" t="s">
        <v>6284</v>
      </c>
      <c r="G2" s="0" t="s">
        <v>112</v>
      </c>
    </row>
    <row customHeight="1" ht="11.25">
      <c r="A3" s="543" t="s">
        <v>16</v>
      </c>
      <c r="B3" s="0" t="s">
        <v>6285</v>
      </c>
      <c r="C3" s="0" t="s">
        <v>6286</v>
      </c>
      <c r="D3" s="0" t="s">
        <v>6285</v>
      </c>
      <c r="E3" s="0" t="s">
        <v>6286</v>
      </c>
      <c r="F3" s="0" t="s">
        <v>6284</v>
      </c>
      <c r="G3" s="0" t="s">
        <v>113</v>
      </c>
    </row>
    <row customHeight="1" ht="11.25">
      <c r="A4" s="543" t="s">
        <v>16</v>
      </c>
      <c r="B4" s="0" t="s">
        <v>6287</v>
      </c>
      <c r="C4" s="0" t="s">
        <v>6288</v>
      </c>
      <c r="D4" s="0" t="s">
        <v>6287</v>
      </c>
      <c r="E4" s="0" t="s">
        <v>6288</v>
      </c>
      <c r="F4" s="0" t="s">
        <v>6284</v>
      </c>
      <c r="G4" s="0" t="s">
        <v>93</v>
      </c>
    </row>
    <row customHeight="1" ht="11.25">
      <c r="A5" s="543" t="s">
        <v>16</v>
      </c>
      <c r="B5" s="0" t="s">
        <v>6289</v>
      </c>
      <c r="C5" s="0" t="s">
        <v>6290</v>
      </c>
      <c r="D5" s="0" t="s">
        <v>6289</v>
      </c>
      <c r="E5" s="0" t="s">
        <v>6290</v>
      </c>
      <c r="F5" s="0" t="s">
        <v>6284</v>
      </c>
      <c r="G5" s="0" t="s">
        <v>94</v>
      </c>
    </row>
    <row customHeight="1" ht="11.25">
      <c r="A6" s="543" t="s">
        <v>16</v>
      </c>
      <c r="B6" s="0" t="s">
        <v>6291</v>
      </c>
      <c r="C6" s="0" t="s">
        <v>6292</v>
      </c>
      <c r="D6" s="0" t="s">
        <v>6291</v>
      </c>
      <c r="E6" s="0" t="s">
        <v>6292</v>
      </c>
      <c r="F6" s="0" t="s">
        <v>6284</v>
      </c>
      <c r="G6" s="0" t="s">
        <v>114</v>
      </c>
    </row>
    <row customHeight="1" ht="11.25">
      <c r="A7" s="543" t="s">
        <v>16</v>
      </c>
      <c r="B7" s="0" t="s">
        <v>6293</v>
      </c>
      <c r="C7" s="0" t="s">
        <v>6294</v>
      </c>
      <c r="D7" s="0" t="s">
        <v>6293</v>
      </c>
      <c r="E7" s="0" t="s">
        <v>6294</v>
      </c>
      <c r="F7" s="0" t="s">
        <v>6284</v>
      </c>
      <c r="G7" s="0" t="s">
        <v>95</v>
      </c>
    </row>
    <row customHeight="1" ht="11.25">
      <c r="A8" s="543" t="s">
        <v>16</v>
      </c>
      <c r="B8" s="0" t="s">
        <v>6295</v>
      </c>
      <c r="C8" s="0" t="s">
        <v>6296</v>
      </c>
      <c r="D8" s="0" t="s">
        <v>6295</v>
      </c>
      <c r="E8" s="0" t="s">
        <v>6296</v>
      </c>
      <c r="F8" s="0" t="s">
        <v>6284</v>
      </c>
      <c r="G8" s="0" t="s">
        <v>96</v>
      </c>
    </row>
    <row customHeight="1" ht="11.25">
      <c r="A9" s="543" t="s">
        <v>16</v>
      </c>
      <c r="B9" s="0" t="s">
        <v>6297</v>
      </c>
      <c r="C9" s="0" t="s">
        <v>6298</v>
      </c>
      <c r="D9" s="0" t="s">
        <v>6297</v>
      </c>
      <c r="E9" s="0" t="s">
        <v>6298</v>
      </c>
      <c r="F9" s="0" t="s">
        <v>6284</v>
      </c>
      <c r="G9" s="0" t="s">
        <v>115</v>
      </c>
    </row>
    <row customHeight="1" ht="11.25">
      <c r="A10" s="543" t="s">
        <v>16</v>
      </c>
      <c r="B10" s="0" t="s">
        <v>6299</v>
      </c>
      <c r="C10" s="0" t="s">
        <v>6300</v>
      </c>
      <c r="D10" s="0" t="s">
        <v>6299</v>
      </c>
      <c r="E10" s="0" t="s">
        <v>6300</v>
      </c>
      <c r="F10" s="0" t="s">
        <v>6284</v>
      </c>
      <c r="G10" s="0" t="s">
        <v>151</v>
      </c>
    </row>
    <row customHeight="1" ht="11.25">
      <c r="A11" s="543" t="s">
        <v>16</v>
      </c>
      <c r="B11" s="0" t="s">
        <v>6301</v>
      </c>
      <c r="C11" s="0" t="s">
        <v>6302</v>
      </c>
      <c r="D11" s="0" t="s">
        <v>6301</v>
      </c>
      <c r="E11" s="0" t="s">
        <v>6302</v>
      </c>
      <c r="F11" s="0" t="s">
        <v>6284</v>
      </c>
      <c r="G11" s="0" t="s">
        <v>152</v>
      </c>
    </row>
    <row customHeight="1" ht="11.25">
      <c r="A12" s="543" t="s">
        <v>16</v>
      </c>
      <c r="B12" s="0" t="s">
        <v>6303</v>
      </c>
      <c r="C12" s="0" t="s">
        <v>6304</v>
      </c>
      <c r="D12" s="0" t="s">
        <v>6303</v>
      </c>
      <c r="E12" s="0" t="s">
        <v>6304</v>
      </c>
      <c r="F12" s="0" t="s">
        <v>6284</v>
      </c>
      <c r="G12" s="0" t="s">
        <v>153</v>
      </c>
    </row>
    <row customHeight="1" ht="11.25">
      <c r="A13" s="543" t="s">
        <v>16</v>
      </c>
      <c r="B13" s="0" t="s">
        <v>6305</v>
      </c>
      <c r="C13" s="0" t="s">
        <v>6306</v>
      </c>
      <c r="D13" s="0" t="s">
        <v>6305</v>
      </c>
      <c r="E13" s="0" t="s">
        <v>6306</v>
      </c>
      <c r="F13" s="0" t="s">
        <v>6284</v>
      </c>
      <c r="G13" s="0" t="s">
        <v>154</v>
      </c>
    </row>
    <row customHeight="1" ht="11.25">
      <c r="A14" s="543" t="s">
        <v>16</v>
      </c>
      <c r="B14" s="0" t="s">
        <v>6307</v>
      </c>
      <c r="C14" s="0" t="s">
        <v>6308</v>
      </c>
      <c r="D14" s="0" t="s">
        <v>6307</v>
      </c>
      <c r="E14" s="0" t="s">
        <v>6308</v>
      </c>
      <c r="F14" s="0" t="s">
        <v>6284</v>
      </c>
      <c r="G14" s="0" t="s">
        <v>155</v>
      </c>
    </row>
    <row customHeight="1" ht="11.25">
      <c r="A15" s="543" t="s">
        <v>16</v>
      </c>
      <c r="B15" s="0" t="s">
        <v>6309</v>
      </c>
      <c r="C15" s="0" t="s">
        <v>6310</v>
      </c>
      <c r="D15" s="0" t="s">
        <v>6309</v>
      </c>
      <c r="E15" s="0" t="s">
        <v>6310</v>
      </c>
      <c r="F15" s="0" t="s">
        <v>6284</v>
      </c>
      <c r="G15" s="0" t="s">
        <v>156</v>
      </c>
    </row>
    <row customHeight="1" ht="11.25">
      <c r="A16" s="543" t="s">
        <v>16</v>
      </c>
      <c r="B16" s="0" t="s">
        <v>6311</v>
      </c>
      <c r="C16" s="0" t="s">
        <v>6312</v>
      </c>
      <c r="D16" s="0" t="s">
        <v>6311</v>
      </c>
      <c r="E16" s="0" t="s">
        <v>6312</v>
      </c>
      <c r="F16" s="0" t="s">
        <v>6284</v>
      </c>
      <c r="G16" s="0" t="s">
        <v>1481</v>
      </c>
    </row>
    <row customHeight="1" ht="11.25">
      <c r="A17" s="543" t="s">
        <v>16</v>
      </c>
      <c r="B17" s="0" t="s">
        <v>6313</v>
      </c>
      <c r="C17" s="0" t="s">
        <v>6314</v>
      </c>
      <c r="D17" s="0" t="s">
        <v>6313</v>
      </c>
      <c r="E17" s="0" t="s">
        <v>6314</v>
      </c>
      <c r="F17" s="0" t="s">
        <v>6284</v>
      </c>
      <c r="G17" s="0" t="s">
        <v>1487</v>
      </c>
    </row>
    <row customHeight="1" ht="11.25">
      <c r="A18" s="543" t="s">
        <v>16</v>
      </c>
      <c r="B18" s="0" t="s">
        <v>6315</v>
      </c>
      <c r="C18" s="0" t="s">
        <v>6316</v>
      </c>
      <c r="D18" s="0" t="s">
        <v>6315</v>
      </c>
      <c r="E18" s="0" t="s">
        <v>6316</v>
      </c>
      <c r="F18" s="0" t="s">
        <v>6284</v>
      </c>
      <c r="G18" s="0" t="s">
        <v>1499</v>
      </c>
    </row>
    <row customHeight="1" ht="11.25">
      <c r="A19" s="543" t="s">
        <v>16</v>
      </c>
      <c r="B19" s="0" t="s">
        <v>6317</v>
      </c>
      <c r="C19" s="0" t="s">
        <v>6318</v>
      </c>
      <c r="D19" s="0" t="s">
        <v>6317</v>
      </c>
      <c r="E19" s="0" t="s">
        <v>6318</v>
      </c>
      <c r="F19" s="0" t="s">
        <v>6284</v>
      </c>
      <c r="G19" s="0" t="s">
        <v>1513</v>
      </c>
    </row>
    <row customHeight="1" ht="11.25">
      <c r="A20" s="543" t="s">
        <v>16</v>
      </c>
      <c r="B20" s="0" t="s">
        <v>6319</v>
      </c>
      <c r="C20" s="0" t="s">
        <v>6320</v>
      </c>
      <c r="D20" s="0" t="s">
        <v>6319</v>
      </c>
      <c r="E20" s="0" t="s">
        <v>6320</v>
      </c>
      <c r="F20" s="0" t="s">
        <v>6284</v>
      </c>
      <c r="G20" s="0" t="s">
        <v>1525</v>
      </c>
    </row>
    <row customHeight="1" ht="11.25">
      <c r="A21" s="543" t="s">
        <v>16</v>
      </c>
      <c r="B21" s="0" t="s">
        <v>6321</v>
      </c>
      <c r="C21" s="0" t="s">
        <v>6322</v>
      </c>
      <c r="D21" s="0" t="s">
        <v>6321</v>
      </c>
      <c r="E21" s="0" t="s">
        <v>6322</v>
      </c>
      <c r="F21" s="0" t="s">
        <v>6284</v>
      </c>
      <c r="G21" s="0" t="s">
        <v>1534</v>
      </c>
    </row>
    <row customHeight="1" ht="11.25">
      <c r="A22" s="543" t="s">
        <v>16</v>
      </c>
      <c r="B22" s="0" t="s">
        <v>6323</v>
      </c>
      <c r="C22" s="0" t="s">
        <v>6324</v>
      </c>
      <c r="D22" s="0" t="s">
        <v>6323</v>
      </c>
      <c r="E22" s="0" t="s">
        <v>6324</v>
      </c>
      <c r="F22" s="0" t="s">
        <v>6284</v>
      </c>
      <c r="G22" s="0" t="s">
        <v>1550</v>
      </c>
    </row>
    <row customHeight="1" ht="11.25">
      <c r="A23" s="543" t="s">
        <v>16</v>
      </c>
      <c r="B23" s="0" t="s">
        <v>6325</v>
      </c>
      <c r="C23" s="0" t="s">
        <v>6326</v>
      </c>
      <c r="D23" s="0" t="s">
        <v>6325</v>
      </c>
      <c r="E23" s="0" t="s">
        <v>6326</v>
      </c>
      <c r="F23" s="0" t="s">
        <v>6284</v>
      </c>
      <c r="G23" s="0" t="s">
        <v>1557</v>
      </c>
    </row>
    <row customHeight="1" ht="11.25">
      <c r="A24" s="543" t="s">
        <v>16</v>
      </c>
      <c r="B24" s="0" t="s">
        <v>6327</v>
      </c>
      <c r="C24" s="0" t="s">
        <v>6328</v>
      </c>
      <c r="D24" s="0" t="s">
        <v>6327</v>
      </c>
      <c r="E24" s="0" t="s">
        <v>6328</v>
      </c>
      <c r="F24" s="0" t="s">
        <v>6284</v>
      </c>
      <c r="G24" s="0" t="s">
        <v>1565</v>
      </c>
    </row>
    <row customHeight="1" ht="11.25">
      <c r="A25" s="543" t="s">
        <v>16</v>
      </c>
      <c r="B25" s="0" t="s">
        <v>6329</v>
      </c>
      <c r="C25" s="0" t="s">
        <v>6330</v>
      </c>
      <c r="D25" s="0" t="s">
        <v>6329</v>
      </c>
      <c r="E25" s="0" t="s">
        <v>6330</v>
      </c>
      <c r="F25" s="0" t="s">
        <v>6284</v>
      </c>
      <c r="G25" s="0" t="s">
        <v>1572</v>
      </c>
    </row>
    <row customHeight="1" ht="11.25">
      <c r="A26" s="543" t="s">
        <v>16</v>
      </c>
      <c r="B26" s="0" t="s">
        <v>6331</v>
      </c>
      <c r="C26" s="0" t="s">
        <v>6332</v>
      </c>
      <c r="D26" s="0" t="s">
        <v>6331</v>
      </c>
      <c r="E26" s="0" t="s">
        <v>6332</v>
      </c>
      <c r="F26" s="0" t="s">
        <v>6284</v>
      </c>
      <c r="G26" s="0" t="s">
        <v>1576</v>
      </c>
    </row>
    <row customHeight="1" ht="11.25">
      <c r="A27" s="543" t="s">
        <v>16</v>
      </c>
      <c r="B27" s="0" t="s">
        <v>6333</v>
      </c>
      <c r="C27" s="0" t="s">
        <v>6334</v>
      </c>
      <c r="D27" s="0" t="s">
        <v>6333</v>
      </c>
      <c r="E27" s="0" t="s">
        <v>6334</v>
      </c>
      <c r="F27" s="0" t="s">
        <v>6284</v>
      </c>
      <c r="G27" s="0" t="s">
        <v>1581</v>
      </c>
    </row>
    <row customHeight="1" ht="11.25">
      <c r="A28" s="543" t="s">
        <v>16</v>
      </c>
      <c r="B28" s="0" t="s">
        <v>103</v>
      </c>
      <c r="C28" s="0" t="s">
        <v>104</v>
      </c>
      <c r="D28" s="0" t="s">
        <v>103</v>
      </c>
      <c r="E28" s="0" t="s">
        <v>104</v>
      </c>
      <c r="F28" s="0" t="s">
        <v>6284</v>
      </c>
      <c r="G28" s="0" t="s">
        <v>102</v>
      </c>
    </row>
    <row customHeight="1" ht="11.25">
      <c r="A29" s="543" t="s">
        <v>16</v>
      </c>
      <c r="B29" s="0" t="s">
        <v>6335</v>
      </c>
      <c r="C29" s="0" t="s">
        <v>6336</v>
      </c>
      <c r="D29" s="0" t="s">
        <v>6335</v>
      </c>
      <c r="E29" s="0" t="s">
        <v>6336</v>
      </c>
      <c r="F29" s="0" t="s">
        <v>6284</v>
      </c>
      <c r="G29" s="0" t="s">
        <v>1590</v>
      </c>
    </row>
    <row customHeight="1" ht="11.25">
      <c r="A30" s="543" t="s">
        <v>16</v>
      </c>
      <c r="B30" s="0" t="s">
        <v>6337</v>
      </c>
      <c r="C30" s="0" t="s">
        <v>6338</v>
      </c>
      <c r="D30" s="0" t="s">
        <v>6337</v>
      </c>
      <c r="E30" s="0" t="s">
        <v>6338</v>
      </c>
      <c r="F30" s="0" t="s">
        <v>6284</v>
      </c>
      <c r="G30" s="0" t="s">
        <v>1593</v>
      </c>
    </row>
    <row customHeight="1" ht="11.25">
      <c r="A31" s="543" t="s">
        <v>16</v>
      </c>
      <c r="B31" s="0" t="s">
        <v>6339</v>
      </c>
      <c r="C31" s="0" t="s">
        <v>6340</v>
      </c>
      <c r="D31" s="0" t="s">
        <v>6339</v>
      </c>
      <c r="E31" s="0" t="s">
        <v>6340</v>
      </c>
      <c r="F31" s="0" t="s">
        <v>6284</v>
      </c>
      <c r="G31" s="0" t="s">
        <v>1599</v>
      </c>
    </row>
    <row customHeight="1" ht="11.25">
      <c r="A32" s="543" t="s">
        <v>16</v>
      </c>
      <c r="B32" s="0" t="s">
        <v>6341</v>
      </c>
      <c r="C32" s="0" t="s">
        <v>6342</v>
      </c>
      <c r="D32" s="0" t="s">
        <v>6341</v>
      </c>
      <c r="E32" s="0" t="s">
        <v>6342</v>
      </c>
      <c r="F32" s="0" t="s">
        <v>6284</v>
      </c>
      <c r="G32" s="0" t="s">
        <v>1601</v>
      </c>
    </row>
    <row customHeight="1" ht="11.25">
      <c r="A33" s="543" t="s">
        <v>16</v>
      </c>
      <c r="B33" s="0" t="s">
        <v>6343</v>
      </c>
      <c r="C33" s="0" t="s">
        <v>6344</v>
      </c>
      <c r="D33" s="0" t="s">
        <v>6343</v>
      </c>
      <c r="E33" s="0" t="s">
        <v>6344</v>
      </c>
      <c r="F33" s="0" t="s">
        <v>6284</v>
      </c>
      <c r="G33" s="0" t="s">
        <v>1603</v>
      </c>
    </row>
    <row customHeight="1" ht="11.25">
      <c r="A34" s="543" t="s">
        <v>16</v>
      </c>
      <c r="B34" s="0" t="s">
        <v>6345</v>
      </c>
      <c r="C34" s="0" t="s">
        <v>6346</v>
      </c>
      <c r="D34" s="0" t="s">
        <v>6345</v>
      </c>
      <c r="E34" s="0" t="s">
        <v>6346</v>
      </c>
      <c r="F34" s="0" t="s">
        <v>6284</v>
      </c>
      <c r="G34" s="0" t="s">
        <v>1605</v>
      </c>
    </row>
    <row customHeight="1" ht="11.25">
      <c r="A35" s="543" t="s">
        <v>16</v>
      </c>
      <c r="B35" s="0" t="s">
        <v>6347</v>
      </c>
      <c r="C35" s="0" t="s">
        <v>6348</v>
      </c>
      <c r="D35" s="0" t="s">
        <v>6347</v>
      </c>
      <c r="E35" s="0" t="s">
        <v>6348</v>
      </c>
      <c r="F35" s="0" t="s">
        <v>6284</v>
      </c>
      <c r="G35" s="0" t="s">
        <v>1610</v>
      </c>
    </row>
    <row customHeight="1" ht="11.25">
      <c r="A36" s="543" t="s">
        <v>16</v>
      </c>
      <c r="B36" s="0" t="s">
        <v>6349</v>
      </c>
      <c r="C36" s="0" t="s">
        <v>6350</v>
      </c>
      <c r="D36" s="0" t="s">
        <v>6349</v>
      </c>
      <c r="E36" s="0" t="s">
        <v>6350</v>
      </c>
      <c r="F36" s="0" t="s">
        <v>6284</v>
      </c>
      <c r="G36" s="0" t="s">
        <v>1615</v>
      </c>
    </row>
    <row customHeight="1" ht="11.25">
      <c r="A37" s="543" t="s">
        <v>16</v>
      </c>
      <c r="B37" s="0" t="s">
        <v>6351</v>
      </c>
      <c r="C37" s="0" t="s">
        <v>6352</v>
      </c>
      <c r="D37" s="0" t="s">
        <v>6351</v>
      </c>
      <c r="E37" s="0" t="s">
        <v>6352</v>
      </c>
      <c r="F37" s="0" t="s">
        <v>6284</v>
      </c>
      <c r="G37" s="0" t="s">
        <v>1618</v>
      </c>
    </row>
    <row customHeight="1" ht="11.25">
      <c r="A38" s="543" t="s">
        <v>16</v>
      </c>
      <c r="B38" s="0" t="s">
        <v>6353</v>
      </c>
      <c r="C38" s="0" t="s">
        <v>6354</v>
      </c>
      <c r="D38" s="0" t="s">
        <v>6353</v>
      </c>
      <c r="E38" s="0" t="s">
        <v>6354</v>
      </c>
      <c r="F38" s="0" t="s">
        <v>6284</v>
      </c>
      <c r="G38" s="0" t="s">
        <v>1626</v>
      </c>
    </row>
    <row customHeight="1" ht="11.25">
      <c r="A39" s="543" t="s">
        <v>16</v>
      </c>
      <c r="B39" s="0" t="s">
        <v>6355</v>
      </c>
      <c r="C39" s="0" t="s">
        <v>6356</v>
      </c>
      <c r="D39" s="0" t="s">
        <v>6355</v>
      </c>
      <c r="E39" s="0" t="s">
        <v>6356</v>
      </c>
      <c r="F39" s="0" t="s">
        <v>6284</v>
      </c>
      <c r="G39" s="0" t="s">
        <v>1632</v>
      </c>
    </row>
    <row customHeight="1" ht="11.25">
      <c r="A40" s="543" t="s">
        <v>16</v>
      </c>
      <c r="B40" s="0" t="s">
        <v>6357</v>
      </c>
      <c r="C40" s="0" t="s">
        <v>6358</v>
      </c>
      <c r="D40" s="0" t="s">
        <v>6357</v>
      </c>
      <c r="E40" s="0" t="s">
        <v>6358</v>
      </c>
      <c r="F40" s="0" t="s">
        <v>6284</v>
      </c>
      <c r="G40" s="0" t="s">
        <v>1637</v>
      </c>
    </row>
    <row customHeight="1" ht="11.25">
      <c r="A41" s="543" t="s">
        <v>16</v>
      </c>
      <c r="B41" s="0" t="s">
        <v>6359</v>
      </c>
      <c r="C41" s="0" t="s">
        <v>6360</v>
      </c>
      <c r="D41" s="0" t="s">
        <v>6359</v>
      </c>
      <c r="E41" s="0" t="s">
        <v>6360</v>
      </c>
      <c r="F41" s="0" t="s">
        <v>6284</v>
      </c>
      <c r="G41" s="0" t="s">
        <v>1641</v>
      </c>
    </row>
    <row customHeight="1" ht="11.25">
      <c r="A42" s="543" t="s">
        <v>16</v>
      </c>
      <c r="B42" s="0" t="s">
        <v>6361</v>
      </c>
      <c r="C42" s="0" t="s">
        <v>6362</v>
      </c>
      <c r="D42" s="0" t="s">
        <v>6361</v>
      </c>
      <c r="E42" s="0" t="s">
        <v>6362</v>
      </c>
      <c r="F42" s="0" t="s">
        <v>6284</v>
      </c>
      <c r="G42" s="0" t="s">
        <v>1644</v>
      </c>
    </row>
    <row customHeight="1" ht="11.25">
      <c r="A43" s="543" t="s">
        <v>16</v>
      </c>
      <c r="B43" s="0" t="s">
        <v>6363</v>
      </c>
      <c r="C43" s="0" t="s">
        <v>6364</v>
      </c>
      <c r="D43" s="0" t="s">
        <v>6363</v>
      </c>
      <c r="E43" s="0" t="s">
        <v>6364</v>
      </c>
      <c r="F43" s="0" t="s">
        <v>6284</v>
      </c>
      <c r="G43" s="0" t="s">
        <v>1651</v>
      </c>
    </row>
    <row customHeight="1" ht="11.25">
      <c r="A44" s="543" t="s">
        <v>16</v>
      </c>
      <c r="B44" s="0" t="s">
        <v>6365</v>
      </c>
      <c r="C44" s="0" t="s">
        <v>6366</v>
      </c>
      <c r="D44" s="0" t="s">
        <v>6365</v>
      </c>
      <c r="E44" s="0" t="s">
        <v>6366</v>
      </c>
      <c r="F44" s="0" t="s">
        <v>6284</v>
      </c>
      <c r="G44" s="0" t="s">
        <v>1660</v>
      </c>
    </row>
    <row customHeight="1" ht="11.25">
      <c r="A45" s="543" t="s">
        <v>16</v>
      </c>
      <c r="B45" s="0" t="s">
        <v>6367</v>
      </c>
      <c r="C45" s="0" t="s">
        <v>6368</v>
      </c>
      <c r="D45" s="0" t="s">
        <v>6367</v>
      </c>
      <c r="E45" s="0" t="s">
        <v>6368</v>
      </c>
      <c r="F45" s="0" t="s">
        <v>6284</v>
      </c>
      <c r="G45" s="0" t="s">
        <v>1665</v>
      </c>
    </row>
    <row customHeight="1" ht="11.25">
      <c r="A46" s="543" t="s">
        <v>16</v>
      </c>
      <c r="B46" s="0" t="s">
        <v>6369</v>
      </c>
      <c r="C46" s="0" t="s">
        <v>6370</v>
      </c>
      <c r="D46" s="0" t="s">
        <v>6369</v>
      </c>
      <c r="E46" s="0" t="s">
        <v>6370</v>
      </c>
      <c r="F46" s="0" t="s">
        <v>6284</v>
      </c>
      <c r="G46" s="0" t="s">
        <v>1669</v>
      </c>
    </row>
    <row customHeight="1" ht="11.25">
      <c r="A47" s="543" t="s">
        <v>16</v>
      </c>
      <c r="B47" s="0" t="s">
        <v>6371</v>
      </c>
      <c r="C47" s="0" t="s">
        <v>6372</v>
      </c>
      <c r="D47" s="0" t="s">
        <v>6371</v>
      </c>
      <c r="E47" s="0" t="s">
        <v>6372</v>
      </c>
      <c r="F47" s="0" t="s">
        <v>6284</v>
      </c>
      <c r="G47" s="0" t="s">
        <v>1675</v>
      </c>
    </row>
    <row customHeight="1" ht="11.25">
      <c r="A48" s="543" t="s">
        <v>16</v>
      </c>
      <c r="B48" s="0" t="s">
        <v>6373</v>
      </c>
      <c r="C48" s="0" t="s">
        <v>6374</v>
      </c>
      <c r="D48" s="0" t="s">
        <v>6373</v>
      </c>
      <c r="E48" s="0" t="s">
        <v>6374</v>
      </c>
      <c r="F48" s="0" t="s">
        <v>6284</v>
      </c>
      <c r="G48" s="0" t="s">
        <v>1680</v>
      </c>
    </row>
    <row customHeight="1" ht="11.25">
      <c r="A49" s="543" t="s">
        <v>16</v>
      </c>
      <c r="B49" s="0" t="s">
        <v>6375</v>
      </c>
      <c r="C49" s="0" t="s">
        <v>6376</v>
      </c>
      <c r="D49" s="0" t="s">
        <v>6375</v>
      </c>
      <c r="E49" s="0" t="s">
        <v>6376</v>
      </c>
      <c r="F49" s="0" t="s">
        <v>6284</v>
      </c>
      <c r="G49" s="0" t="s">
        <v>1683</v>
      </c>
    </row>
    <row customHeight="1" ht="11.25">
      <c r="A50" s="543" t="s">
        <v>16</v>
      </c>
      <c r="B50" s="0" t="s">
        <v>6377</v>
      </c>
      <c r="C50" s="0" t="s">
        <v>6378</v>
      </c>
      <c r="D50" s="0" t="s">
        <v>6377</v>
      </c>
      <c r="E50" s="0" t="s">
        <v>6378</v>
      </c>
      <c r="F50" s="0" t="s">
        <v>6284</v>
      </c>
      <c r="G50" s="0" t="s">
        <v>1687</v>
      </c>
    </row>
    <row customHeight="1" ht="11.25">
      <c r="A51" s="543" t="s">
        <v>16</v>
      </c>
      <c r="B51" s="0" t="s">
        <v>6379</v>
      </c>
      <c r="C51" s="0" t="s">
        <v>6380</v>
      </c>
      <c r="D51" s="0" t="s">
        <v>6379</v>
      </c>
      <c r="E51" s="0" t="s">
        <v>6380</v>
      </c>
      <c r="F51" s="0" t="s">
        <v>6284</v>
      </c>
      <c r="G51" s="0" t="s">
        <v>1691</v>
      </c>
    </row>
    <row customHeight="1" ht="11.25">
      <c r="A52" s="543" t="s">
        <v>16</v>
      </c>
      <c r="B52" s="0" t="s">
        <v>6381</v>
      </c>
      <c r="C52" s="0" t="s">
        <v>6382</v>
      </c>
      <c r="D52" s="0" t="s">
        <v>6381</v>
      </c>
      <c r="E52" s="0" t="s">
        <v>6382</v>
      </c>
      <c r="F52" s="0" t="s">
        <v>6284</v>
      </c>
      <c r="G52" s="0" t="s">
        <v>1695</v>
      </c>
    </row>
    <row customHeight="1" ht="11.25">
      <c r="A53" s="543" t="s">
        <v>16</v>
      </c>
      <c r="B53" s="0" t="s">
        <v>6383</v>
      </c>
      <c r="C53" s="0" t="s">
        <v>6384</v>
      </c>
      <c r="D53" s="0" t="s">
        <v>6383</v>
      </c>
      <c r="E53" s="0" t="s">
        <v>6384</v>
      </c>
      <c r="F53" s="0" t="s">
        <v>6284</v>
      </c>
      <c r="G53" s="0" t="s">
        <v>1697</v>
      </c>
    </row>
    <row customHeight="1" ht="11.25">
      <c r="A54" s="543" t="s">
        <v>16</v>
      </c>
      <c r="B54" s="0" t="s">
        <v>6385</v>
      </c>
      <c r="C54" s="0" t="s">
        <v>6386</v>
      </c>
      <c r="D54" s="0" t="s">
        <v>6385</v>
      </c>
      <c r="E54" s="0" t="s">
        <v>6386</v>
      </c>
      <c r="F54" s="0" t="s">
        <v>6284</v>
      </c>
      <c r="G54" s="0" t="s">
        <v>1700</v>
      </c>
    </row>
    <row customHeight="1" ht="11.25">
      <c r="A55" s="543" t="s">
        <v>16</v>
      </c>
      <c r="B55" s="0" t="s">
        <v>6387</v>
      </c>
      <c r="C55" s="0" t="s">
        <v>6388</v>
      </c>
      <c r="D55" s="0" t="s">
        <v>6387</v>
      </c>
      <c r="E55" s="0" t="s">
        <v>6388</v>
      </c>
      <c r="F55" s="0" t="s">
        <v>6284</v>
      </c>
      <c r="G55" s="0" t="s">
        <v>1704</v>
      </c>
    </row>
    <row customHeight="1" ht="11.25">
      <c r="A56" s="543" t="s">
        <v>16</v>
      </c>
      <c r="B56" s="0" t="s">
        <v>6389</v>
      </c>
      <c r="C56" s="0" t="s">
        <v>6390</v>
      </c>
      <c r="D56" s="0" t="s">
        <v>6389</v>
      </c>
      <c r="E56" s="0" t="s">
        <v>6390</v>
      </c>
      <c r="F56" s="0" t="s">
        <v>6284</v>
      </c>
      <c r="G56" s="0" t="s">
        <v>1707</v>
      </c>
    </row>
    <row customHeight="1" ht="11.25">
      <c r="A57" s="543" t="s">
        <v>16</v>
      </c>
      <c r="B57" s="0" t="s">
        <v>6391</v>
      </c>
      <c r="C57" s="0" t="s">
        <v>6392</v>
      </c>
      <c r="D57" s="0" t="s">
        <v>6391</v>
      </c>
      <c r="E57" s="0" t="s">
        <v>6392</v>
      </c>
      <c r="F57" s="0" t="s">
        <v>6284</v>
      </c>
      <c r="G57" s="0" t="s">
        <v>1710</v>
      </c>
    </row>
    <row customHeight="1" ht="11.25">
      <c r="A58" s="543" t="s">
        <v>16</v>
      </c>
      <c r="B58" s="0" t="s">
        <v>6393</v>
      </c>
      <c r="C58" s="0" t="s">
        <v>6394</v>
      </c>
      <c r="D58" s="0" t="s">
        <v>6393</v>
      </c>
      <c r="E58" s="0" t="s">
        <v>6394</v>
      </c>
      <c r="F58" s="0" t="s">
        <v>6284</v>
      </c>
      <c r="G58" s="0" t="s">
        <v>1713</v>
      </c>
    </row>
    <row customHeight="1" ht="11.25">
      <c r="A59" s="543" t="s">
        <v>16</v>
      </c>
      <c r="B59" s="0" t="s">
        <v>6395</v>
      </c>
      <c r="C59" s="0" t="s">
        <v>6396</v>
      </c>
      <c r="D59" s="0" t="s">
        <v>6395</v>
      </c>
      <c r="E59" s="0" t="s">
        <v>6396</v>
      </c>
      <c r="F59" s="0" t="s">
        <v>6284</v>
      </c>
      <c r="G59" s="0" t="s">
        <v>1717</v>
      </c>
    </row>
    <row customHeight="1" ht="11.25">
      <c r="A60" s="543" t="s">
        <v>16</v>
      </c>
      <c r="B60" s="0" t="s">
        <v>6397</v>
      </c>
      <c r="C60" s="0" t="s">
        <v>6398</v>
      </c>
      <c r="D60" s="0" t="s">
        <v>6397</v>
      </c>
      <c r="E60" s="0" t="s">
        <v>6398</v>
      </c>
      <c r="F60" s="0" t="s">
        <v>6284</v>
      </c>
      <c r="G60" s="0" t="s">
        <v>1721</v>
      </c>
    </row>
    <row customHeight="1" ht="11.25">
      <c r="A61" s="543" t="s">
        <v>16</v>
      </c>
      <c r="B61" s="0" t="s">
        <v>6399</v>
      </c>
      <c r="C61" s="0" t="s">
        <v>6400</v>
      </c>
      <c r="D61" s="0" t="s">
        <v>6399</v>
      </c>
      <c r="E61" s="0" t="s">
        <v>6400</v>
      </c>
      <c r="F61" s="0" t="s">
        <v>6284</v>
      </c>
      <c r="G61" s="0" t="s">
        <v>6401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7700B3-0891-0A18-36F6-539684DD7A3A}" mc:Ignorable="x14ac xr xr2 xr3">
  <sheetPr>
    <tabColor rgb="FFFFCC99"/>
  </sheetPr>
  <dimension ref="A1:I137"/>
  <sheetViews>
    <sheetView topLeftCell="A1" showGridLines="0" workbookViewId="0">
      <selection activeCell="A1" sqref="A1"/>
    </sheetView>
  </sheetViews>
  <sheetFormatPr defaultColWidth="9.140625" customHeight="1" defaultRowHeight="11.25"/>
  <cols>
    <col min="1" max="1" style="15840" width="13.8515625" customWidth="1"/>
    <col min="2" max="2" style="15840" width="10.421875" customWidth="1"/>
    <col min="3" max="3" style="15840" width="7.57421875" customWidth="1"/>
    <col min="4" max="4" style="15840" width="13.8515625" customWidth="1"/>
    <col min="5" max="5" style="15840" width="11.57421875" customWidth="1"/>
    <col min="6" max="6" style="15840" width="16.28125" customWidth="1"/>
    <col min="7" max="7" style="15840" width="16.00390625" customWidth="1"/>
    <col min="8" max="9" style="15840" width="16.140625" customWidth="1"/>
  </cols>
  <sheetData>
    <row customHeight="1" ht="11.25">
      <c r="A1" s="1005" t="s">
        <v>6402</v>
      </c>
      <c r="B1" s="1005" t="s">
        <v>6403</v>
      </c>
      <c r="C1" s="1329" t="s">
        <v>6404</v>
      </c>
      <c r="D1" s="1005" t="s">
        <v>6405</v>
      </c>
      <c r="E1" s="1005" t="s">
        <v>6406</v>
      </c>
      <c r="F1" s="1329" t="s">
        <v>6407</v>
      </c>
      <c r="G1" s="1329" t="s">
        <v>6408</v>
      </c>
      <c r="H1" s="1329" t="s">
        <v>6409</v>
      </c>
      <c r="I1" s="1329" t="s">
        <v>6410</v>
      </c>
    </row>
    <row customHeight="1" ht="11.25">
      <c r="A2" s="7773" t="s">
        <v>112</v>
      </c>
      <c r="B2" s="7773" t="s">
        <v>6411</v>
      </c>
      <c r="C2" s="7773" t="s">
        <v>28</v>
      </c>
      <c r="D2" s="7773" t="s">
        <v>6412</v>
      </c>
      <c r="E2" s="7773" t="s">
        <v>6413</v>
      </c>
      <c r="F2" s="7773" t="s">
        <v>28</v>
      </c>
      <c r="G2" s="7773" t="s">
        <v>28</v>
      </c>
      <c r="H2" s="7773" t="s">
        <v>28</v>
      </c>
      <c r="I2" s="7773" t="s">
        <v>28</v>
      </c>
    </row>
    <row customHeight="1" ht="11.25">
      <c r="A3" s="7773" t="s">
        <v>113</v>
      </c>
      <c r="B3" s="7773" t="s">
        <v>6414</v>
      </c>
      <c r="C3" s="7773" t="s">
        <v>28</v>
      </c>
      <c r="D3" s="7773" t="s">
        <v>6412</v>
      </c>
      <c r="E3" s="7773" t="s">
        <v>6413</v>
      </c>
      <c r="F3" s="7773" t="s">
        <v>28</v>
      </c>
      <c r="G3" s="7773" t="s">
        <v>28</v>
      </c>
      <c r="H3" s="7773" t="s">
        <v>28</v>
      </c>
      <c r="I3" s="7773" t="s">
        <v>28</v>
      </c>
    </row>
    <row customHeight="1" ht="11.25">
      <c r="A4" s="7773" t="s">
        <v>93</v>
      </c>
      <c r="B4" s="7773" t="s">
        <v>6415</v>
      </c>
      <c r="C4" s="7773" t="s">
        <v>28</v>
      </c>
      <c r="D4" s="7773" t="s">
        <v>6416</v>
      </c>
      <c r="E4" s="7773" t="s">
        <v>6417</v>
      </c>
      <c r="F4" s="7773" t="s">
        <v>28</v>
      </c>
      <c r="G4" s="7773" t="s">
        <v>28</v>
      </c>
      <c r="H4" s="7773" t="s">
        <v>28</v>
      </c>
      <c r="I4" s="7773" t="s">
        <v>28</v>
      </c>
    </row>
    <row customHeight="1" ht="11.25">
      <c r="A5" s="7773" t="s">
        <v>94</v>
      </c>
      <c r="B5" s="7773" t="s">
        <v>6418</v>
      </c>
      <c r="C5" s="7773" t="s">
        <v>28</v>
      </c>
      <c r="D5" s="7773" t="s">
        <v>6419</v>
      </c>
      <c r="E5" s="7773" t="s">
        <v>6417</v>
      </c>
      <c r="F5" s="7773" t="s">
        <v>28</v>
      </c>
      <c r="G5" s="7773" t="s">
        <v>28</v>
      </c>
      <c r="H5" s="7773" t="s">
        <v>28</v>
      </c>
      <c r="I5" s="7773" t="s">
        <v>28</v>
      </c>
    </row>
    <row customHeight="1" ht="11.25">
      <c r="A6" s="7773" t="s">
        <v>114</v>
      </c>
      <c r="B6" s="7773" t="s">
        <v>6420</v>
      </c>
      <c r="C6" s="7773" t="s">
        <v>28</v>
      </c>
      <c r="D6" s="7773" t="s">
        <v>6419</v>
      </c>
      <c r="E6" s="7773" t="s">
        <v>6421</v>
      </c>
      <c r="F6" s="7773" t="s">
        <v>28</v>
      </c>
      <c r="G6" s="7773" t="s">
        <v>28</v>
      </c>
      <c r="H6" s="7773" t="s">
        <v>28</v>
      </c>
      <c r="I6" s="7773" t="s">
        <v>28</v>
      </c>
    </row>
    <row customHeight="1" ht="11.25">
      <c r="A7" s="7773" t="s">
        <v>95</v>
      </c>
      <c r="B7" s="7773" t="s">
        <v>6422</v>
      </c>
      <c r="C7" s="7773" t="s">
        <v>28</v>
      </c>
      <c r="D7" s="7773" t="s">
        <v>6423</v>
      </c>
      <c r="E7" s="7773" t="s">
        <v>6424</v>
      </c>
      <c r="F7" s="7773" t="s">
        <v>28</v>
      </c>
      <c r="G7" s="7773" t="s">
        <v>28</v>
      </c>
      <c r="H7" s="7773" t="s">
        <v>28</v>
      </c>
      <c r="I7" s="7773" t="s">
        <v>28</v>
      </c>
    </row>
    <row customHeight="1" ht="11.25">
      <c r="A8" s="7773" t="s">
        <v>96</v>
      </c>
      <c r="B8" s="7773" t="s">
        <v>6425</v>
      </c>
      <c r="C8" s="7773" t="s">
        <v>28</v>
      </c>
      <c r="D8" s="7773" t="s">
        <v>6423</v>
      </c>
      <c r="E8" s="7773" t="s">
        <v>6424</v>
      </c>
      <c r="F8" s="7773" t="s">
        <v>28</v>
      </c>
      <c r="G8" s="7773" t="s">
        <v>28</v>
      </c>
      <c r="H8" s="7773" t="s">
        <v>28</v>
      </c>
      <c r="I8" s="7773" t="s">
        <v>28</v>
      </c>
    </row>
    <row customHeight="1" ht="11.25">
      <c r="A9" s="7773" t="s">
        <v>115</v>
      </c>
      <c r="B9" s="7773" t="s">
        <v>6426</v>
      </c>
      <c r="C9" s="7773" t="s">
        <v>28</v>
      </c>
      <c r="D9" s="7773" t="s">
        <v>6423</v>
      </c>
      <c r="E9" s="7773" t="s">
        <v>6424</v>
      </c>
      <c r="F9" s="7773" t="s">
        <v>28</v>
      </c>
      <c r="G9" s="7773" t="s">
        <v>28</v>
      </c>
      <c r="H9" s="7773" t="s">
        <v>28</v>
      </c>
      <c r="I9" s="7773" t="s">
        <v>28</v>
      </c>
    </row>
    <row customHeight="1" ht="11.25">
      <c r="A10" s="7773" t="s">
        <v>151</v>
      </c>
      <c r="B10" s="7773" t="s">
        <v>6427</v>
      </c>
      <c r="C10" s="7773" t="s">
        <v>28</v>
      </c>
      <c r="D10" s="7773" t="s">
        <v>6428</v>
      </c>
      <c r="E10" s="7773" t="s">
        <v>6429</v>
      </c>
      <c r="F10" s="7773" t="s">
        <v>28</v>
      </c>
      <c r="G10" s="7773" t="s">
        <v>28</v>
      </c>
      <c r="H10" s="7773" t="s">
        <v>28</v>
      </c>
      <c r="I10" s="7773" t="s">
        <v>28</v>
      </c>
    </row>
    <row customHeight="1" ht="11.25">
      <c r="A11" s="7773" t="s">
        <v>152</v>
      </c>
      <c r="B11" s="7773" t="s">
        <v>6430</v>
      </c>
      <c r="C11" s="7773" t="s">
        <v>28</v>
      </c>
      <c r="D11" s="7773" t="s">
        <v>6431</v>
      </c>
      <c r="E11" s="7773" t="s">
        <v>6421</v>
      </c>
      <c r="F11" s="7773" t="s">
        <v>28</v>
      </c>
      <c r="G11" s="7773" t="s">
        <v>28</v>
      </c>
      <c r="H11" s="7773" t="s">
        <v>28</v>
      </c>
      <c r="I11" s="7773" t="s">
        <v>28</v>
      </c>
    </row>
    <row customHeight="1" ht="11.25">
      <c r="A12" s="7773" t="s">
        <v>153</v>
      </c>
      <c r="B12" s="7773" t="s">
        <v>6432</v>
      </c>
      <c r="C12" s="7773" t="s">
        <v>28</v>
      </c>
      <c r="D12" s="7773" t="s">
        <v>6433</v>
      </c>
      <c r="E12" s="7773" t="s">
        <v>6434</v>
      </c>
      <c r="F12" s="7773" t="s">
        <v>28</v>
      </c>
      <c r="G12" s="7773" t="s">
        <v>28</v>
      </c>
      <c r="H12" s="7773" t="s">
        <v>28</v>
      </c>
      <c r="I12" s="7773" t="s">
        <v>28</v>
      </c>
    </row>
    <row customHeight="1" ht="11.25">
      <c r="A13" s="7773" t="s">
        <v>154</v>
      </c>
      <c r="B13" s="7773" t="s">
        <v>6435</v>
      </c>
      <c r="C13" s="7773" t="s">
        <v>28</v>
      </c>
      <c r="D13" s="7773" t="s">
        <v>6431</v>
      </c>
      <c r="E13" s="7773" t="s">
        <v>6421</v>
      </c>
      <c r="F13" s="7773" t="s">
        <v>28</v>
      </c>
      <c r="G13" s="7773" t="s">
        <v>28</v>
      </c>
      <c r="H13" s="7773" t="s">
        <v>28</v>
      </c>
      <c r="I13" s="7773" t="s">
        <v>28</v>
      </c>
    </row>
    <row customHeight="1" ht="11.25">
      <c r="A14" s="7773" t="s">
        <v>155</v>
      </c>
      <c r="B14" s="7773" t="s">
        <v>6436</v>
      </c>
      <c r="C14" s="7773" t="s">
        <v>28</v>
      </c>
      <c r="D14" s="7773" t="s">
        <v>6437</v>
      </c>
      <c r="E14" s="7773" t="s">
        <v>6438</v>
      </c>
      <c r="F14" s="7773" t="s">
        <v>28</v>
      </c>
      <c r="G14" s="7773" t="s">
        <v>28</v>
      </c>
      <c r="H14" s="7773" t="s">
        <v>28</v>
      </c>
      <c r="I14" s="7773" t="s">
        <v>28</v>
      </c>
    </row>
    <row customHeight="1" ht="11.25">
      <c r="A15" s="7773" t="s">
        <v>156</v>
      </c>
      <c r="B15" s="7773" t="s">
        <v>6439</v>
      </c>
      <c r="C15" s="7773" t="s">
        <v>28</v>
      </c>
      <c r="D15" s="7773" t="s">
        <v>6428</v>
      </c>
      <c r="E15" s="7773" t="s">
        <v>6440</v>
      </c>
      <c r="F15" s="7773" t="s">
        <v>28</v>
      </c>
      <c r="G15" s="7773" t="s">
        <v>28</v>
      </c>
      <c r="H15" s="7773" t="s">
        <v>28</v>
      </c>
      <c r="I15" s="7773" t="s">
        <v>28</v>
      </c>
    </row>
    <row customHeight="1" ht="11.25">
      <c r="A16" s="7773" t="s">
        <v>1481</v>
      </c>
      <c r="B16" s="7773" t="s">
        <v>6441</v>
      </c>
      <c r="C16" s="7773" t="s">
        <v>28</v>
      </c>
      <c r="D16" s="7773" t="s">
        <v>6428</v>
      </c>
      <c r="E16" s="7773" t="s">
        <v>6440</v>
      </c>
      <c r="F16" s="7773" t="s">
        <v>28</v>
      </c>
      <c r="G16" s="7773" t="s">
        <v>28</v>
      </c>
      <c r="H16" s="7773" t="s">
        <v>28</v>
      </c>
      <c r="I16" s="7773" t="s">
        <v>28</v>
      </c>
    </row>
    <row customHeight="1" ht="11.25">
      <c r="A17" s="7773" t="s">
        <v>1487</v>
      </c>
      <c r="B17" s="7773" t="s">
        <v>6442</v>
      </c>
      <c r="C17" s="7773" t="s">
        <v>28</v>
      </c>
      <c r="D17" s="7773" t="s">
        <v>6443</v>
      </c>
      <c r="E17" s="7773" t="s">
        <v>6444</v>
      </c>
      <c r="F17" s="7773" t="s">
        <v>28</v>
      </c>
      <c r="G17" s="7773" t="s">
        <v>28</v>
      </c>
      <c r="H17" s="7773" t="s">
        <v>28</v>
      </c>
      <c r="I17" s="7773" t="s">
        <v>28</v>
      </c>
    </row>
    <row customHeight="1" ht="11.25">
      <c r="A18" s="7773" t="s">
        <v>1499</v>
      </c>
      <c r="B18" s="7773" t="s">
        <v>6445</v>
      </c>
      <c r="C18" s="7773" t="s">
        <v>28</v>
      </c>
      <c r="D18" s="7773" t="s">
        <v>6428</v>
      </c>
      <c r="E18" s="7773" t="s">
        <v>6429</v>
      </c>
      <c r="F18" s="7773" t="s">
        <v>28</v>
      </c>
      <c r="G18" s="7773" t="s">
        <v>28</v>
      </c>
      <c r="H18" s="7773" t="s">
        <v>28</v>
      </c>
      <c r="I18" s="7773" t="s">
        <v>28</v>
      </c>
    </row>
    <row customHeight="1" ht="11.25">
      <c r="A19" s="7773" t="s">
        <v>1513</v>
      </c>
      <c r="B19" s="7773" t="s">
        <v>6446</v>
      </c>
      <c r="C19" s="7773" t="s">
        <v>28</v>
      </c>
      <c r="D19" s="7773" t="s">
        <v>6428</v>
      </c>
      <c r="E19" s="7773" t="s">
        <v>6429</v>
      </c>
      <c r="F19" s="7773" t="s">
        <v>28</v>
      </c>
      <c r="G19" s="7773" t="s">
        <v>28</v>
      </c>
      <c r="H19" s="7773" t="s">
        <v>28</v>
      </c>
      <c r="I19" s="7773" t="s">
        <v>28</v>
      </c>
    </row>
    <row customHeight="1" ht="11.25">
      <c r="A20" s="7773" t="s">
        <v>1525</v>
      </c>
      <c r="B20" s="7773" t="s">
        <v>6447</v>
      </c>
      <c r="C20" s="7773" t="s">
        <v>28</v>
      </c>
      <c r="D20" s="7773" t="s">
        <v>6428</v>
      </c>
      <c r="E20" s="7773" t="s">
        <v>6434</v>
      </c>
      <c r="F20" s="7773" t="s">
        <v>28</v>
      </c>
      <c r="G20" s="7773" t="s">
        <v>28</v>
      </c>
      <c r="H20" s="7773" t="s">
        <v>28</v>
      </c>
      <c r="I20" s="7773" t="s">
        <v>28</v>
      </c>
    </row>
    <row customHeight="1" ht="11.25">
      <c r="A21" s="7773" t="s">
        <v>1534</v>
      </c>
      <c r="B21" s="7773" t="s">
        <v>6448</v>
      </c>
      <c r="C21" s="7773" t="s">
        <v>28</v>
      </c>
      <c r="D21" s="7773" t="s">
        <v>6428</v>
      </c>
      <c r="E21" s="7773" t="s">
        <v>6434</v>
      </c>
      <c r="F21" s="7773" t="s">
        <v>28</v>
      </c>
      <c r="G21" s="7773" t="s">
        <v>28</v>
      </c>
      <c r="H21" s="7773" t="s">
        <v>28</v>
      </c>
      <c r="I21" s="7773" t="s">
        <v>28</v>
      </c>
    </row>
    <row customHeight="1" ht="11.25">
      <c r="A22" s="7773" t="s">
        <v>1550</v>
      </c>
      <c r="B22" s="7773" t="s">
        <v>6449</v>
      </c>
      <c r="C22" s="7773" t="s">
        <v>28</v>
      </c>
      <c r="D22" s="7773" t="s">
        <v>6428</v>
      </c>
      <c r="E22" s="7773" t="s">
        <v>6434</v>
      </c>
      <c r="F22" s="7773" t="s">
        <v>28</v>
      </c>
      <c r="G22" s="7773" t="s">
        <v>28</v>
      </c>
      <c r="H22" s="7773" t="s">
        <v>28</v>
      </c>
      <c r="I22" s="7773" t="s">
        <v>28</v>
      </c>
    </row>
    <row customHeight="1" ht="11.25">
      <c r="A23" s="7773" t="s">
        <v>1557</v>
      </c>
      <c r="B23" s="7773" t="s">
        <v>6450</v>
      </c>
      <c r="C23" s="7773" t="s">
        <v>28</v>
      </c>
      <c r="D23" s="7773" t="s">
        <v>6428</v>
      </c>
      <c r="E23" s="7773" t="s">
        <v>6440</v>
      </c>
      <c r="F23" s="7773" t="s">
        <v>28</v>
      </c>
      <c r="G23" s="7773" t="s">
        <v>28</v>
      </c>
      <c r="H23" s="7773" t="s">
        <v>28</v>
      </c>
      <c r="I23" s="7773" t="s">
        <v>28</v>
      </c>
    </row>
    <row customHeight="1" ht="11.25">
      <c r="A24" s="7773" t="s">
        <v>1565</v>
      </c>
      <c r="B24" s="7773" t="s">
        <v>6451</v>
      </c>
      <c r="C24" s="7773" t="s">
        <v>28</v>
      </c>
      <c r="D24" s="7773" t="s">
        <v>6428</v>
      </c>
      <c r="E24" s="7773" t="s">
        <v>6434</v>
      </c>
      <c r="F24" s="7773" t="s">
        <v>28</v>
      </c>
      <c r="G24" s="7773" t="s">
        <v>28</v>
      </c>
      <c r="H24" s="7773" t="s">
        <v>28</v>
      </c>
      <c r="I24" s="7773" t="s">
        <v>28</v>
      </c>
    </row>
    <row customHeight="1" ht="11.25">
      <c r="A25" s="7773" t="s">
        <v>1572</v>
      </c>
      <c r="B25" s="7773" t="s">
        <v>6452</v>
      </c>
      <c r="C25" s="7773" t="s">
        <v>28</v>
      </c>
      <c r="D25" s="7773" t="s">
        <v>6428</v>
      </c>
      <c r="E25" s="7773" t="s">
        <v>6429</v>
      </c>
      <c r="F25" s="7773" t="s">
        <v>28</v>
      </c>
      <c r="G25" s="7773" t="s">
        <v>28</v>
      </c>
      <c r="H25" s="7773" t="s">
        <v>28</v>
      </c>
      <c r="I25" s="7773" t="s">
        <v>28</v>
      </c>
    </row>
    <row customHeight="1" ht="11.25">
      <c r="A26" s="7773" t="s">
        <v>1576</v>
      </c>
      <c r="B26" s="7773" t="s">
        <v>6453</v>
      </c>
      <c r="C26" s="7773" t="s">
        <v>28</v>
      </c>
      <c r="D26" s="7773" t="s">
        <v>6437</v>
      </c>
      <c r="E26" s="7773" t="s">
        <v>6440</v>
      </c>
      <c r="F26" s="7773" t="s">
        <v>28</v>
      </c>
      <c r="G26" s="7773" t="s">
        <v>28</v>
      </c>
      <c r="H26" s="7773" t="s">
        <v>28</v>
      </c>
      <c r="I26" s="7773" t="s">
        <v>28</v>
      </c>
    </row>
    <row customHeight="1" ht="11.25">
      <c r="A27" s="7773" t="s">
        <v>1581</v>
      </c>
      <c r="B27" s="7773" t="s">
        <v>6454</v>
      </c>
      <c r="C27" s="7773" t="s">
        <v>28</v>
      </c>
      <c r="D27" s="7773" t="s">
        <v>6437</v>
      </c>
      <c r="E27" s="7773" t="s">
        <v>6438</v>
      </c>
      <c r="F27" s="7773" t="s">
        <v>28</v>
      </c>
      <c r="G27" s="7773" t="s">
        <v>28</v>
      </c>
      <c r="H27" s="7773" t="s">
        <v>28</v>
      </c>
      <c r="I27" s="7773" t="s">
        <v>28</v>
      </c>
    </row>
    <row customHeight="1" ht="11.25">
      <c r="A28" s="7773" t="s">
        <v>102</v>
      </c>
      <c r="B28" s="7773" t="s">
        <v>6455</v>
      </c>
      <c r="C28" s="7773" t="s">
        <v>28</v>
      </c>
      <c r="D28" s="7773" t="s">
        <v>6428</v>
      </c>
      <c r="E28" s="7773" t="s">
        <v>6456</v>
      </c>
      <c r="F28" s="7773" t="s">
        <v>28</v>
      </c>
      <c r="G28" s="7773" t="s">
        <v>28</v>
      </c>
      <c r="H28" s="7773" t="s">
        <v>28</v>
      </c>
      <c r="I28" s="7773" t="s">
        <v>28</v>
      </c>
    </row>
    <row customHeight="1" ht="11.25">
      <c r="A29" s="7773" t="s">
        <v>1590</v>
      </c>
      <c r="B29" s="7773" t="s">
        <v>6457</v>
      </c>
      <c r="C29" s="7773" t="s">
        <v>28</v>
      </c>
      <c r="D29" s="7773" t="s">
        <v>6428</v>
      </c>
      <c r="E29" s="7773" t="s">
        <v>6440</v>
      </c>
      <c r="F29" s="7773" t="s">
        <v>28</v>
      </c>
      <c r="G29" s="7773" t="s">
        <v>28</v>
      </c>
      <c r="H29" s="7773" t="s">
        <v>28</v>
      </c>
      <c r="I29" s="7773" t="s">
        <v>28</v>
      </c>
    </row>
    <row customHeight="1" ht="11.25">
      <c r="A30" s="7773" t="s">
        <v>1593</v>
      </c>
      <c r="B30" s="7773" t="s">
        <v>6458</v>
      </c>
      <c r="C30" s="7773" t="s">
        <v>28</v>
      </c>
      <c r="D30" s="7773" t="s">
        <v>6428</v>
      </c>
      <c r="E30" s="7773" t="s">
        <v>6456</v>
      </c>
      <c r="F30" s="7773" t="s">
        <v>28</v>
      </c>
      <c r="G30" s="7773" t="s">
        <v>28</v>
      </c>
      <c r="H30" s="7773" t="s">
        <v>28</v>
      </c>
      <c r="I30" s="7773" t="s">
        <v>28</v>
      </c>
    </row>
    <row customHeight="1" ht="11.25">
      <c r="A31" s="7773" t="s">
        <v>1599</v>
      </c>
      <c r="B31" s="7773" t="s">
        <v>6459</v>
      </c>
      <c r="C31" s="7773" t="s">
        <v>28</v>
      </c>
      <c r="D31" s="7773" t="s">
        <v>6460</v>
      </c>
      <c r="E31" s="7773" t="s">
        <v>6456</v>
      </c>
      <c r="F31" s="7773" t="s">
        <v>28</v>
      </c>
      <c r="G31" s="7773" t="s">
        <v>28</v>
      </c>
      <c r="H31" s="7773" t="s">
        <v>28</v>
      </c>
      <c r="I31" s="7773" t="s">
        <v>28</v>
      </c>
    </row>
    <row customHeight="1" ht="11.25">
      <c r="A32" s="7773" t="s">
        <v>1601</v>
      </c>
      <c r="B32" s="7773" t="s">
        <v>6461</v>
      </c>
      <c r="C32" s="7773" t="s">
        <v>28</v>
      </c>
      <c r="D32" s="7773" t="s">
        <v>6462</v>
      </c>
      <c r="E32" s="7773" t="s">
        <v>6440</v>
      </c>
      <c r="F32" s="7773" t="s">
        <v>28</v>
      </c>
      <c r="G32" s="7773" t="s">
        <v>28</v>
      </c>
      <c r="H32" s="7773" t="s">
        <v>28</v>
      </c>
      <c r="I32" s="7773" t="s">
        <v>28</v>
      </c>
    </row>
    <row customHeight="1" ht="11.25">
      <c r="A33" s="7773" t="s">
        <v>1603</v>
      </c>
      <c r="B33" s="7773" t="s">
        <v>6463</v>
      </c>
      <c r="C33" s="7773" t="s">
        <v>28</v>
      </c>
      <c r="D33" s="7773" t="s">
        <v>6431</v>
      </c>
      <c r="E33" s="7773" t="s">
        <v>6421</v>
      </c>
      <c r="F33" s="7773" t="s">
        <v>28</v>
      </c>
      <c r="G33" s="7773" t="s">
        <v>28</v>
      </c>
      <c r="H33" s="7773" t="s">
        <v>28</v>
      </c>
      <c r="I33" s="7773" t="s">
        <v>28</v>
      </c>
    </row>
    <row customHeight="1" ht="11.25">
      <c r="A34" s="7773" t="s">
        <v>1605</v>
      </c>
      <c r="B34" s="7773" t="s">
        <v>6464</v>
      </c>
      <c r="C34" s="7773" t="s">
        <v>28</v>
      </c>
      <c r="D34" s="7773" t="s">
        <v>6428</v>
      </c>
      <c r="E34" s="7773" t="s">
        <v>6440</v>
      </c>
      <c r="F34" s="7773" t="s">
        <v>28</v>
      </c>
      <c r="G34" s="7773" t="s">
        <v>28</v>
      </c>
      <c r="H34" s="7773" t="s">
        <v>28</v>
      </c>
      <c r="I34" s="7773" t="s">
        <v>28</v>
      </c>
    </row>
    <row customHeight="1" ht="11.25">
      <c r="A35" s="7773" t="s">
        <v>1610</v>
      </c>
      <c r="B35" s="7773" t="s">
        <v>6465</v>
      </c>
      <c r="C35" s="7773" t="s">
        <v>28</v>
      </c>
      <c r="D35" s="7773" t="s">
        <v>6431</v>
      </c>
      <c r="E35" s="7773" t="s">
        <v>6434</v>
      </c>
      <c r="F35" s="7773" t="s">
        <v>28</v>
      </c>
      <c r="G35" s="7773" t="s">
        <v>28</v>
      </c>
      <c r="H35" s="7773" t="s">
        <v>28</v>
      </c>
      <c r="I35" s="7773" t="s">
        <v>28</v>
      </c>
    </row>
    <row customHeight="1" ht="11.25">
      <c r="A36" s="7773" t="s">
        <v>1615</v>
      </c>
      <c r="B36" s="7773" t="s">
        <v>6466</v>
      </c>
      <c r="C36" s="7773" t="s">
        <v>28</v>
      </c>
      <c r="D36" s="7773" t="s">
        <v>6431</v>
      </c>
      <c r="E36" s="7773" t="s">
        <v>6421</v>
      </c>
      <c r="F36" s="7773" t="s">
        <v>28</v>
      </c>
      <c r="G36" s="7773" t="s">
        <v>28</v>
      </c>
      <c r="H36" s="7773" t="s">
        <v>28</v>
      </c>
      <c r="I36" s="7773" t="s">
        <v>28</v>
      </c>
    </row>
    <row customHeight="1" ht="11.25">
      <c r="A37" s="7773" t="s">
        <v>1618</v>
      </c>
      <c r="B37" s="7773" t="s">
        <v>6467</v>
      </c>
      <c r="C37" s="7773" t="s">
        <v>28</v>
      </c>
      <c r="D37" s="7773" t="s">
        <v>6431</v>
      </c>
      <c r="E37" s="7773" t="s">
        <v>6440</v>
      </c>
      <c r="F37" s="7773" t="s">
        <v>28</v>
      </c>
      <c r="G37" s="7773" t="s">
        <v>28</v>
      </c>
      <c r="H37" s="7773" t="s">
        <v>28</v>
      </c>
      <c r="I37" s="7773" t="s">
        <v>28</v>
      </c>
    </row>
    <row customHeight="1" ht="11.25">
      <c r="A38" s="7773" t="s">
        <v>1626</v>
      </c>
      <c r="B38" s="7773" t="s">
        <v>6468</v>
      </c>
      <c r="C38" s="7773" t="s">
        <v>28</v>
      </c>
      <c r="D38" s="7773" t="s">
        <v>6428</v>
      </c>
      <c r="E38" s="7773" t="s">
        <v>6440</v>
      </c>
      <c r="F38" s="7773" t="s">
        <v>28</v>
      </c>
      <c r="G38" s="7773" t="s">
        <v>28</v>
      </c>
      <c r="H38" s="7773" t="s">
        <v>28</v>
      </c>
      <c r="I38" s="7773" t="s">
        <v>28</v>
      </c>
    </row>
    <row customHeight="1" ht="11.25">
      <c r="A39" s="7773" t="s">
        <v>1632</v>
      </c>
      <c r="B39" s="7773" t="s">
        <v>6469</v>
      </c>
      <c r="C39" s="7773" t="s">
        <v>28</v>
      </c>
      <c r="D39" s="7773" t="s">
        <v>6419</v>
      </c>
      <c r="E39" s="7773" t="s">
        <v>6421</v>
      </c>
      <c r="F39" s="7773" t="s">
        <v>28</v>
      </c>
      <c r="G39" s="7773" t="s">
        <v>28</v>
      </c>
      <c r="H39" s="7773" t="s">
        <v>28</v>
      </c>
      <c r="I39" s="7773" t="s">
        <v>28</v>
      </c>
    </row>
    <row customHeight="1" ht="11.25">
      <c r="A40" s="7773" t="s">
        <v>1637</v>
      </c>
      <c r="B40" s="7773" t="s">
        <v>6470</v>
      </c>
      <c r="C40" s="7773" t="s">
        <v>28</v>
      </c>
      <c r="D40" s="7773" t="s">
        <v>6428</v>
      </c>
      <c r="E40" s="7773" t="s">
        <v>6429</v>
      </c>
      <c r="F40" s="7773" t="s">
        <v>28</v>
      </c>
      <c r="G40" s="7773" t="s">
        <v>28</v>
      </c>
      <c r="H40" s="7773" t="s">
        <v>28</v>
      </c>
      <c r="I40" s="7773" t="s">
        <v>28</v>
      </c>
    </row>
    <row customHeight="1" ht="11.25">
      <c r="A41" s="7773" t="s">
        <v>1641</v>
      </c>
      <c r="B41" s="7773" t="s">
        <v>6471</v>
      </c>
      <c r="C41" s="7773" t="s">
        <v>28</v>
      </c>
      <c r="D41" s="7773" t="s">
        <v>6428</v>
      </c>
      <c r="E41" s="7773" t="s">
        <v>6429</v>
      </c>
      <c r="F41" s="7773" t="s">
        <v>28</v>
      </c>
      <c r="G41" s="7773" t="s">
        <v>28</v>
      </c>
      <c r="H41" s="7773" t="s">
        <v>28</v>
      </c>
      <c r="I41" s="7773" t="s">
        <v>28</v>
      </c>
    </row>
    <row customHeight="1" ht="11.25">
      <c r="A42" s="7773" t="s">
        <v>1644</v>
      </c>
      <c r="B42" s="7773" t="s">
        <v>6472</v>
      </c>
      <c r="C42" s="7773" t="s">
        <v>28</v>
      </c>
      <c r="D42" s="7773" t="s">
        <v>6428</v>
      </c>
      <c r="E42" s="7773" t="s">
        <v>6440</v>
      </c>
      <c r="F42" s="7773" t="s">
        <v>28</v>
      </c>
      <c r="G42" s="7773" t="s">
        <v>28</v>
      </c>
      <c r="H42" s="7773" t="s">
        <v>28</v>
      </c>
      <c r="I42" s="7773" t="s">
        <v>28</v>
      </c>
    </row>
    <row customHeight="1" ht="11.25">
      <c r="A43" s="7773" t="s">
        <v>1651</v>
      </c>
      <c r="B43" s="7773" t="s">
        <v>6473</v>
      </c>
      <c r="C43" s="7773" t="s">
        <v>28</v>
      </c>
      <c r="D43" s="7773" t="s">
        <v>6474</v>
      </c>
      <c r="E43" s="7773" t="s">
        <v>6438</v>
      </c>
      <c r="F43" s="7773" t="s">
        <v>28</v>
      </c>
      <c r="G43" s="7773" t="s">
        <v>28</v>
      </c>
      <c r="H43" s="7773" t="s">
        <v>28</v>
      </c>
      <c r="I43" s="7773" t="s">
        <v>28</v>
      </c>
    </row>
    <row customHeight="1" ht="11.25">
      <c r="A44" s="7773" t="s">
        <v>1660</v>
      </c>
      <c r="B44" s="7773" t="s">
        <v>6475</v>
      </c>
      <c r="C44" s="7773" t="s">
        <v>28</v>
      </c>
      <c r="D44" s="7773" t="s">
        <v>6474</v>
      </c>
      <c r="E44" s="7773" t="s">
        <v>6434</v>
      </c>
      <c r="F44" s="7773" t="s">
        <v>28</v>
      </c>
      <c r="G44" s="7773" t="s">
        <v>28</v>
      </c>
      <c r="H44" s="7773" t="s">
        <v>28</v>
      </c>
      <c r="I44" s="7773" t="s">
        <v>28</v>
      </c>
    </row>
    <row customHeight="1" ht="11.25">
      <c r="A45" s="7773" t="s">
        <v>1665</v>
      </c>
      <c r="B45" s="7773" t="s">
        <v>6476</v>
      </c>
      <c r="C45" s="7773" t="s">
        <v>28</v>
      </c>
      <c r="D45" s="7773" t="s">
        <v>6431</v>
      </c>
      <c r="E45" s="7773" t="s">
        <v>6429</v>
      </c>
      <c r="F45" s="7773" t="s">
        <v>28</v>
      </c>
      <c r="G45" s="7773" t="s">
        <v>28</v>
      </c>
      <c r="H45" s="7773" t="s">
        <v>28</v>
      </c>
      <c r="I45" s="7773" t="s">
        <v>28</v>
      </c>
    </row>
    <row customHeight="1" ht="11.25">
      <c r="A46" s="7773" t="s">
        <v>1669</v>
      </c>
      <c r="B46" s="7773" t="s">
        <v>6477</v>
      </c>
      <c r="C46" s="7773" t="s">
        <v>28</v>
      </c>
      <c r="D46" s="7773" t="s">
        <v>6431</v>
      </c>
      <c r="E46" s="7773" t="s">
        <v>6429</v>
      </c>
      <c r="F46" s="7773" t="s">
        <v>28</v>
      </c>
      <c r="G46" s="7773" t="s">
        <v>28</v>
      </c>
      <c r="H46" s="7773" t="s">
        <v>28</v>
      </c>
      <c r="I46" s="7773" t="s">
        <v>28</v>
      </c>
    </row>
    <row customHeight="1" ht="11.25">
      <c r="A47" s="7773" t="s">
        <v>1675</v>
      </c>
      <c r="B47" s="7773" t="s">
        <v>6478</v>
      </c>
      <c r="C47" s="7773" t="s">
        <v>28</v>
      </c>
      <c r="D47" s="7773" t="s">
        <v>6431</v>
      </c>
      <c r="E47" s="7773" t="s">
        <v>6421</v>
      </c>
      <c r="F47" s="7773" t="s">
        <v>28</v>
      </c>
      <c r="G47" s="7773" t="s">
        <v>28</v>
      </c>
      <c r="H47" s="7773" t="s">
        <v>28</v>
      </c>
      <c r="I47" s="7773" t="s">
        <v>28</v>
      </c>
    </row>
    <row customHeight="1" ht="11.25">
      <c r="A48" s="7773" t="s">
        <v>1680</v>
      </c>
      <c r="B48" s="7773" t="s">
        <v>6479</v>
      </c>
      <c r="C48" s="7773" t="s">
        <v>28</v>
      </c>
      <c r="D48" s="7773" t="s">
        <v>6419</v>
      </c>
      <c r="E48" s="7773" t="s">
        <v>6421</v>
      </c>
      <c r="F48" s="7773" t="s">
        <v>28</v>
      </c>
      <c r="G48" s="7773" t="s">
        <v>28</v>
      </c>
      <c r="H48" s="7773" t="s">
        <v>28</v>
      </c>
      <c r="I48" s="7773" t="s">
        <v>28</v>
      </c>
    </row>
    <row customHeight="1" ht="11.25">
      <c r="A49" s="7773" t="s">
        <v>1683</v>
      </c>
      <c r="B49" s="7773" t="s">
        <v>6480</v>
      </c>
      <c r="C49" s="7773" t="s">
        <v>28</v>
      </c>
      <c r="D49" s="7773" t="s">
        <v>6419</v>
      </c>
      <c r="E49" s="7773" t="s">
        <v>6440</v>
      </c>
      <c r="F49" s="7773" t="s">
        <v>28</v>
      </c>
      <c r="G49" s="7773" t="s">
        <v>28</v>
      </c>
      <c r="H49" s="7773" t="s">
        <v>28</v>
      </c>
      <c r="I49" s="7773" t="s">
        <v>28</v>
      </c>
    </row>
    <row customHeight="1" ht="11.25">
      <c r="A50" s="7773" t="s">
        <v>1687</v>
      </c>
      <c r="B50" s="7773" t="s">
        <v>6481</v>
      </c>
      <c r="C50" s="7773" t="s">
        <v>28</v>
      </c>
      <c r="D50" s="7773" t="s">
        <v>6474</v>
      </c>
      <c r="E50" s="7773" t="s">
        <v>6440</v>
      </c>
      <c r="F50" s="7773" t="s">
        <v>28</v>
      </c>
      <c r="G50" s="7773" t="s">
        <v>28</v>
      </c>
      <c r="H50" s="7773" t="s">
        <v>28</v>
      </c>
      <c r="I50" s="7773" t="s">
        <v>28</v>
      </c>
    </row>
    <row customHeight="1" ht="11.25">
      <c r="A51" s="7773" t="s">
        <v>1691</v>
      </c>
      <c r="B51" s="7773" t="s">
        <v>6482</v>
      </c>
      <c r="C51" s="7773" t="s">
        <v>28</v>
      </c>
      <c r="D51" s="7773" t="s">
        <v>6419</v>
      </c>
      <c r="E51" s="7773" t="s">
        <v>6434</v>
      </c>
      <c r="F51" s="7773" t="s">
        <v>28</v>
      </c>
      <c r="G51" s="7773" t="s">
        <v>28</v>
      </c>
      <c r="H51" s="7773" t="s">
        <v>28</v>
      </c>
      <c r="I51" s="7773" t="s">
        <v>28</v>
      </c>
    </row>
    <row customHeight="1" ht="11.25">
      <c r="A52" s="7773" t="s">
        <v>1695</v>
      </c>
      <c r="B52" s="7773" t="s">
        <v>6483</v>
      </c>
      <c r="C52" s="7773" t="s">
        <v>28</v>
      </c>
      <c r="D52" s="7773" t="s">
        <v>6437</v>
      </c>
      <c r="E52" s="7773" t="s">
        <v>6456</v>
      </c>
      <c r="F52" s="7773" t="s">
        <v>28</v>
      </c>
      <c r="G52" s="7773" t="s">
        <v>28</v>
      </c>
      <c r="H52" s="7773" t="s">
        <v>28</v>
      </c>
      <c r="I52" s="7773" t="s">
        <v>28</v>
      </c>
    </row>
    <row customHeight="1" ht="11.25">
      <c r="A53" s="7773" t="s">
        <v>1697</v>
      </c>
      <c r="B53" s="7773" t="s">
        <v>6484</v>
      </c>
      <c r="C53" s="7773" t="s">
        <v>28</v>
      </c>
      <c r="D53" s="7773" t="s">
        <v>6431</v>
      </c>
      <c r="E53" s="7773" t="s">
        <v>6421</v>
      </c>
      <c r="F53" s="7773" t="s">
        <v>28</v>
      </c>
      <c r="G53" s="7773" t="s">
        <v>28</v>
      </c>
      <c r="H53" s="7773" t="s">
        <v>28</v>
      </c>
      <c r="I53" s="7773" t="s">
        <v>28</v>
      </c>
    </row>
    <row customHeight="1" ht="11.25">
      <c r="A54" s="7773" t="s">
        <v>1700</v>
      </c>
      <c r="B54" s="7773" t="s">
        <v>6485</v>
      </c>
      <c r="C54" s="7773" t="s">
        <v>28</v>
      </c>
      <c r="D54" s="7773" t="s">
        <v>6431</v>
      </c>
      <c r="E54" s="7773" t="s">
        <v>6434</v>
      </c>
      <c r="F54" s="7773" t="s">
        <v>28</v>
      </c>
      <c r="G54" s="7773" t="s">
        <v>28</v>
      </c>
      <c r="H54" s="7773" t="s">
        <v>28</v>
      </c>
      <c r="I54" s="7773" t="s">
        <v>28</v>
      </c>
    </row>
    <row customHeight="1" ht="11.25">
      <c r="A55" s="7773" t="s">
        <v>1704</v>
      </c>
      <c r="B55" s="7773" t="s">
        <v>6486</v>
      </c>
      <c r="C55" s="7773" t="s">
        <v>28</v>
      </c>
      <c r="D55" s="7773" t="s">
        <v>6487</v>
      </c>
      <c r="E55" s="7773" t="s">
        <v>6434</v>
      </c>
      <c r="F55" s="7773" t="s">
        <v>28</v>
      </c>
      <c r="G55" s="7773" t="s">
        <v>28</v>
      </c>
      <c r="H55" s="7773" t="s">
        <v>28</v>
      </c>
      <c r="I55" s="7773" t="s">
        <v>28</v>
      </c>
    </row>
    <row customHeight="1" ht="11.25">
      <c r="A56" s="7773" t="s">
        <v>1707</v>
      </c>
      <c r="B56" s="7773" t="s">
        <v>6488</v>
      </c>
      <c r="C56" s="7773" t="s">
        <v>28</v>
      </c>
      <c r="D56" s="7773" t="s">
        <v>6437</v>
      </c>
      <c r="E56" s="7773" t="s">
        <v>6456</v>
      </c>
      <c r="F56" s="7773" t="s">
        <v>28</v>
      </c>
      <c r="G56" s="7773" t="s">
        <v>28</v>
      </c>
      <c r="H56" s="7773" t="s">
        <v>28</v>
      </c>
      <c r="I56" s="7773" t="s">
        <v>28</v>
      </c>
    </row>
    <row customHeight="1" ht="11.25">
      <c r="A57" s="7773" t="s">
        <v>1710</v>
      </c>
      <c r="B57" s="7773" t="s">
        <v>6489</v>
      </c>
      <c r="C57" s="7773" t="s">
        <v>28</v>
      </c>
      <c r="D57" s="7773" t="s">
        <v>6437</v>
      </c>
      <c r="E57" s="7773" t="s">
        <v>6490</v>
      </c>
      <c r="F57" s="7773" t="s">
        <v>28</v>
      </c>
      <c r="G57" s="7773" t="s">
        <v>28</v>
      </c>
      <c r="H57" s="7773" t="s">
        <v>28</v>
      </c>
      <c r="I57" s="7773" t="s">
        <v>28</v>
      </c>
    </row>
    <row customHeight="1" ht="11.25">
      <c r="A58" s="7773" t="s">
        <v>1713</v>
      </c>
      <c r="B58" s="7773" t="s">
        <v>6491</v>
      </c>
      <c r="C58" s="7773" t="s">
        <v>28</v>
      </c>
      <c r="D58" s="7773" t="s">
        <v>6431</v>
      </c>
      <c r="E58" s="7773" t="s">
        <v>6429</v>
      </c>
      <c r="F58" s="7773" t="s">
        <v>28</v>
      </c>
      <c r="G58" s="7773" t="s">
        <v>28</v>
      </c>
      <c r="H58" s="7773" t="s">
        <v>28</v>
      </c>
      <c r="I58" s="7773" t="s">
        <v>28</v>
      </c>
    </row>
    <row customHeight="1" ht="11.25">
      <c r="A59" s="7773" t="s">
        <v>1717</v>
      </c>
      <c r="B59" s="7773" t="s">
        <v>6492</v>
      </c>
      <c r="C59" s="7773" t="s">
        <v>28</v>
      </c>
      <c r="D59" s="7773" t="s">
        <v>6437</v>
      </c>
      <c r="E59" s="7773" t="s">
        <v>6434</v>
      </c>
      <c r="F59" s="7773" t="s">
        <v>28</v>
      </c>
      <c r="G59" s="7773" t="s">
        <v>28</v>
      </c>
      <c r="H59" s="7773" t="s">
        <v>28</v>
      </c>
      <c r="I59" s="7773" t="s">
        <v>28</v>
      </c>
    </row>
    <row customHeight="1" ht="11.25">
      <c r="A60" s="7773" t="s">
        <v>1721</v>
      </c>
      <c r="B60" s="7773" t="s">
        <v>6493</v>
      </c>
      <c r="C60" s="7773" t="s">
        <v>28</v>
      </c>
      <c r="D60" s="7773" t="s">
        <v>6437</v>
      </c>
      <c r="E60" s="7773" t="s">
        <v>6456</v>
      </c>
      <c r="F60" s="7773" t="s">
        <v>28</v>
      </c>
      <c r="G60" s="7773" t="s">
        <v>28</v>
      </c>
      <c r="H60" s="7773" t="s">
        <v>28</v>
      </c>
      <c r="I60" s="7773" t="s">
        <v>28</v>
      </c>
    </row>
    <row customHeight="1" ht="11.25">
      <c r="A61" s="7773" t="s">
        <v>6401</v>
      </c>
      <c r="B61" s="7773" t="s">
        <v>6494</v>
      </c>
      <c r="C61" s="7773" t="s">
        <v>28</v>
      </c>
      <c r="D61" s="7773" t="s">
        <v>6437</v>
      </c>
      <c r="E61" s="7773" t="s">
        <v>6456</v>
      </c>
      <c r="F61" s="7773" t="s">
        <v>28</v>
      </c>
      <c r="G61" s="7773" t="s">
        <v>28</v>
      </c>
      <c r="H61" s="7773" t="s">
        <v>28</v>
      </c>
      <c r="I61" s="7773" t="s">
        <v>28</v>
      </c>
    </row>
    <row customHeight="1" ht="11.25">
      <c r="A62" s="7773" t="s">
        <v>6495</v>
      </c>
      <c r="B62" s="7773" t="s">
        <v>6496</v>
      </c>
      <c r="C62" s="7773" t="s">
        <v>28</v>
      </c>
      <c r="D62" s="7773" t="s">
        <v>6474</v>
      </c>
      <c r="E62" s="7773" t="s">
        <v>6434</v>
      </c>
      <c r="F62" s="7773" t="s">
        <v>28</v>
      </c>
      <c r="G62" s="7773" t="s">
        <v>28</v>
      </c>
      <c r="H62" s="7773" t="s">
        <v>28</v>
      </c>
      <c r="I62" s="7773" t="s">
        <v>28</v>
      </c>
    </row>
    <row customHeight="1" ht="11.25">
      <c r="A63" s="7773" t="s">
        <v>6497</v>
      </c>
      <c r="B63" s="7773" t="s">
        <v>6498</v>
      </c>
      <c r="C63" s="7773" t="s">
        <v>28</v>
      </c>
      <c r="D63" s="7773" t="s">
        <v>6431</v>
      </c>
      <c r="E63" s="7773" t="s">
        <v>6421</v>
      </c>
      <c r="F63" s="7773" t="s">
        <v>28</v>
      </c>
      <c r="G63" s="7773" t="s">
        <v>28</v>
      </c>
      <c r="H63" s="7773" t="s">
        <v>28</v>
      </c>
      <c r="I63" s="7773" t="s">
        <v>28</v>
      </c>
    </row>
    <row customHeight="1" ht="11.25">
      <c r="A64" s="7773" t="s">
        <v>6499</v>
      </c>
      <c r="B64" s="7773" t="s">
        <v>6500</v>
      </c>
      <c r="C64" s="7773" t="s">
        <v>28</v>
      </c>
      <c r="D64" s="7773" t="s">
        <v>6419</v>
      </c>
      <c r="E64" s="7773" t="s">
        <v>6438</v>
      </c>
      <c r="F64" s="7773" t="s">
        <v>28</v>
      </c>
      <c r="G64" s="7773" t="s">
        <v>28</v>
      </c>
      <c r="H64" s="7773" t="s">
        <v>28</v>
      </c>
      <c r="I64" s="7773" t="s">
        <v>28</v>
      </c>
    </row>
    <row customHeight="1" ht="11.25">
      <c r="A65" s="7773" t="s">
        <v>6501</v>
      </c>
      <c r="B65" s="7773" t="s">
        <v>6502</v>
      </c>
      <c r="C65" s="7773" t="s">
        <v>28</v>
      </c>
      <c r="D65" s="7773" t="s">
        <v>6474</v>
      </c>
      <c r="E65" s="7773" t="s">
        <v>6438</v>
      </c>
      <c r="F65" s="7773" t="s">
        <v>28</v>
      </c>
      <c r="G65" s="7773" t="s">
        <v>28</v>
      </c>
      <c r="H65" s="7773" t="s">
        <v>28</v>
      </c>
      <c r="I65" s="7773" t="s">
        <v>28</v>
      </c>
    </row>
    <row customHeight="1" ht="11.25">
      <c r="A66" s="7773" t="s">
        <v>6503</v>
      </c>
      <c r="B66" s="7773" t="s">
        <v>6504</v>
      </c>
      <c r="C66" s="7773" t="s">
        <v>28</v>
      </c>
      <c r="D66" s="7773" t="s">
        <v>6419</v>
      </c>
      <c r="E66" s="7773" t="s">
        <v>6434</v>
      </c>
      <c r="F66" s="7773" t="s">
        <v>28</v>
      </c>
      <c r="G66" s="7773" t="s">
        <v>28</v>
      </c>
      <c r="H66" s="7773" t="s">
        <v>28</v>
      </c>
      <c r="I66" s="7773" t="s">
        <v>28</v>
      </c>
    </row>
    <row customHeight="1" ht="11.25">
      <c r="A67" s="7773" t="s">
        <v>2040</v>
      </c>
      <c r="B67" s="7773" t="s">
        <v>6505</v>
      </c>
      <c r="C67" s="7773" t="s">
        <v>28</v>
      </c>
      <c r="D67" s="7773" t="s">
        <v>6431</v>
      </c>
      <c r="E67" s="7773" t="s">
        <v>6429</v>
      </c>
      <c r="F67" s="7773" t="s">
        <v>28</v>
      </c>
      <c r="G67" s="7773" t="s">
        <v>28</v>
      </c>
      <c r="H67" s="7773" t="s">
        <v>28</v>
      </c>
      <c r="I67" s="7773" t="s">
        <v>28</v>
      </c>
    </row>
    <row customHeight="1" ht="11.25">
      <c r="A68" s="7773" t="s">
        <v>6506</v>
      </c>
      <c r="B68" s="7773" t="s">
        <v>6507</v>
      </c>
      <c r="C68" s="7773" t="s">
        <v>28</v>
      </c>
      <c r="D68" s="7773" t="s">
        <v>6431</v>
      </c>
      <c r="E68" s="7773" t="s">
        <v>6421</v>
      </c>
      <c r="F68" s="7773" t="s">
        <v>28</v>
      </c>
      <c r="G68" s="7773" t="s">
        <v>28</v>
      </c>
      <c r="H68" s="7773" t="s">
        <v>28</v>
      </c>
      <c r="I68" s="7773" t="s">
        <v>28</v>
      </c>
    </row>
    <row customHeight="1" ht="11.25">
      <c r="A69" s="7773" t="s">
        <v>2243</v>
      </c>
      <c r="B69" s="7773" t="s">
        <v>6508</v>
      </c>
      <c r="C69" s="7773" t="s">
        <v>28</v>
      </c>
      <c r="D69" s="7773" t="s">
        <v>6419</v>
      </c>
      <c r="E69" s="7773" t="s">
        <v>6434</v>
      </c>
      <c r="F69" s="7773" t="s">
        <v>28</v>
      </c>
      <c r="G69" s="7773" t="s">
        <v>28</v>
      </c>
      <c r="H69" s="7773" t="s">
        <v>28</v>
      </c>
      <c r="I69" s="7773" t="s">
        <v>28</v>
      </c>
    </row>
    <row customHeight="1" ht="11.25">
      <c r="A70" s="7773" t="s">
        <v>6509</v>
      </c>
      <c r="B70" s="7773" t="s">
        <v>6510</v>
      </c>
      <c r="C70" s="7773" t="s">
        <v>28</v>
      </c>
      <c r="D70" s="7773" t="s">
        <v>6431</v>
      </c>
      <c r="E70" s="7773" t="s">
        <v>6421</v>
      </c>
      <c r="F70" s="7773" t="s">
        <v>28</v>
      </c>
      <c r="G70" s="7773" t="s">
        <v>28</v>
      </c>
      <c r="H70" s="7773" t="s">
        <v>28</v>
      </c>
      <c r="I70" s="7773" t="s">
        <v>28</v>
      </c>
    </row>
    <row customHeight="1" ht="11.25">
      <c r="A71" s="7773" t="s">
        <v>6511</v>
      </c>
      <c r="B71" s="7773" t="s">
        <v>6512</v>
      </c>
      <c r="C71" s="7773" t="s">
        <v>28</v>
      </c>
      <c r="D71" s="7773" t="s">
        <v>6431</v>
      </c>
      <c r="E71" s="7773" t="s">
        <v>6434</v>
      </c>
      <c r="F71" s="7773" t="s">
        <v>28</v>
      </c>
      <c r="G71" s="7773" t="s">
        <v>28</v>
      </c>
      <c r="H71" s="7773" t="s">
        <v>28</v>
      </c>
      <c r="I71" s="7773" t="s">
        <v>28</v>
      </c>
    </row>
    <row customHeight="1" ht="11.25">
      <c r="A72" s="7773" t="s">
        <v>6513</v>
      </c>
      <c r="B72" s="7773" t="s">
        <v>6514</v>
      </c>
      <c r="C72" s="7773" t="s">
        <v>28</v>
      </c>
      <c r="D72" s="7773" t="s">
        <v>6419</v>
      </c>
      <c r="E72" s="7773" t="s">
        <v>6421</v>
      </c>
      <c r="F72" s="7773" t="s">
        <v>28</v>
      </c>
      <c r="G72" s="7773" t="s">
        <v>28</v>
      </c>
      <c r="H72" s="7773" t="s">
        <v>28</v>
      </c>
      <c r="I72" s="7773" t="s">
        <v>28</v>
      </c>
    </row>
    <row customHeight="1" ht="11.25">
      <c r="A73" s="7773" t="s">
        <v>6515</v>
      </c>
      <c r="B73" s="7773" t="s">
        <v>6516</v>
      </c>
      <c r="C73" s="7773" t="s">
        <v>28</v>
      </c>
      <c r="D73" s="7773" t="s">
        <v>6419</v>
      </c>
      <c r="E73" s="7773" t="s">
        <v>6440</v>
      </c>
      <c r="F73" s="7773" t="s">
        <v>28</v>
      </c>
      <c r="G73" s="7773" t="s">
        <v>28</v>
      </c>
      <c r="H73" s="7773" t="s">
        <v>28</v>
      </c>
      <c r="I73" s="7773" t="s">
        <v>28</v>
      </c>
    </row>
    <row customHeight="1" ht="11.25">
      <c r="A74" s="7773" t="s">
        <v>6517</v>
      </c>
      <c r="B74" s="7773" t="s">
        <v>6518</v>
      </c>
      <c r="C74" s="7773" t="s">
        <v>28</v>
      </c>
      <c r="D74" s="7773" t="s">
        <v>6431</v>
      </c>
      <c r="E74" s="7773" t="s">
        <v>6440</v>
      </c>
      <c r="F74" s="7773" t="s">
        <v>28</v>
      </c>
      <c r="G74" s="7773" t="s">
        <v>28</v>
      </c>
      <c r="H74" s="7773" t="s">
        <v>28</v>
      </c>
      <c r="I74" s="7773" t="s">
        <v>28</v>
      </c>
    </row>
    <row customHeight="1" ht="11.25">
      <c r="A75" s="7773" t="s">
        <v>6519</v>
      </c>
      <c r="B75" s="7773" t="s">
        <v>6520</v>
      </c>
      <c r="C75" s="7773" t="s">
        <v>28</v>
      </c>
      <c r="D75" s="7773" t="s">
        <v>6419</v>
      </c>
      <c r="E75" s="7773" t="s">
        <v>6434</v>
      </c>
      <c r="F75" s="7773" t="s">
        <v>28</v>
      </c>
      <c r="G75" s="7773" t="s">
        <v>28</v>
      </c>
      <c r="H75" s="7773" t="s">
        <v>28</v>
      </c>
      <c r="I75" s="7773" t="s">
        <v>28</v>
      </c>
    </row>
    <row customHeight="1" ht="11.25">
      <c r="A76" s="7773" t="s">
        <v>6521</v>
      </c>
      <c r="B76" s="7773" t="s">
        <v>6522</v>
      </c>
      <c r="C76" s="7773" t="s">
        <v>28</v>
      </c>
      <c r="D76" s="7773" t="s">
        <v>6431</v>
      </c>
      <c r="E76" s="7773" t="s">
        <v>6440</v>
      </c>
      <c r="F76" s="7773" t="s">
        <v>28</v>
      </c>
      <c r="G76" s="7773" t="s">
        <v>28</v>
      </c>
      <c r="H76" s="7773" t="s">
        <v>28</v>
      </c>
      <c r="I76" s="7773" t="s">
        <v>28</v>
      </c>
    </row>
    <row customHeight="1" ht="11.25">
      <c r="A77" s="7773" t="s">
        <v>6523</v>
      </c>
      <c r="B77" s="7773" t="s">
        <v>6524</v>
      </c>
      <c r="C77" s="7773" t="s">
        <v>28</v>
      </c>
      <c r="D77" s="7773" t="s">
        <v>6419</v>
      </c>
      <c r="E77" s="7773" t="s">
        <v>6434</v>
      </c>
      <c r="F77" s="7773" t="s">
        <v>28</v>
      </c>
      <c r="G77" s="7773" t="s">
        <v>28</v>
      </c>
      <c r="H77" s="7773" t="s">
        <v>28</v>
      </c>
      <c r="I77" s="7773" t="s">
        <v>28</v>
      </c>
    </row>
    <row customHeight="1" ht="11.25">
      <c r="A78" s="7773" t="s">
        <v>6525</v>
      </c>
      <c r="B78" s="7773" t="s">
        <v>6526</v>
      </c>
      <c r="C78" s="7773" t="s">
        <v>28</v>
      </c>
      <c r="D78" s="7773" t="s">
        <v>6431</v>
      </c>
      <c r="E78" s="7773" t="s">
        <v>6429</v>
      </c>
      <c r="F78" s="7773" t="s">
        <v>28</v>
      </c>
      <c r="G78" s="7773" t="s">
        <v>28</v>
      </c>
      <c r="H78" s="7773" t="s">
        <v>28</v>
      </c>
      <c r="I78" s="7773" t="s">
        <v>28</v>
      </c>
    </row>
    <row customHeight="1" ht="11.25">
      <c r="A79" s="7773" t="s">
        <v>6527</v>
      </c>
      <c r="B79" s="7773" t="s">
        <v>6528</v>
      </c>
      <c r="C79" s="7773" t="s">
        <v>28</v>
      </c>
      <c r="D79" s="7773" t="s">
        <v>6419</v>
      </c>
      <c r="E79" s="7773" t="s">
        <v>6438</v>
      </c>
      <c r="F79" s="7773" t="s">
        <v>28</v>
      </c>
      <c r="G79" s="7773" t="s">
        <v>28</v>
      </c>
      <c r="H79" s="7773" t="s">
        <v>28</v>
      </c>
      <c r="I79" s="7773" t="s">
        <v>28</v>
      </c>
    </row>
    <row customHeight="1" ht="11.25">
      <c r="A80" s="7773" t="s">
        <v>6529</v>
      </c>
      <c r="B80" s="7773" t="s">
        <v>6530</v>
      </c>
      <c r="C80" s="7773" t="s">
        <v>28</v>
      </c>
      <c r="D80" s="7773" t="s">
        <v>6431</v>
      </c>
      <c r="E80" s="7773" t="s">
        <v>6434</v>
      </c>
      <c r="F80" s="7773" t="s">
        <v>28</v>
      </c>
      <c r="G80" s="7773" t="s">
        <v>28</v>
      </c>
      <c r="H80" s="7773" t="s">
        <v>28</v>
      </c>
      <c r="I80" s="7773" t="s">
        <v>28</v>
      </c>
    </row>
    <row customHeight="1" ht="11.25">
      <c r="A81" s="7773" t="s">
        <v>6531</v>
      </c>
      <c r="B81" s="7773" t="s">
        <v>6532</v>
      </c>
      <c r="C81" s="7773" t="s">
        <v>28</v>
      </c>
      <c r="D81" s="7773" t="s">
        <v>6474</v>
      </c>
      <c r="E81" s="7773" t="s">
        <v>6434</v>
      </c>
      <c r="F81" s="7773" t="s">
        <v>28</v>
      </c>
      <c r="G81" s="7773" t="s">
        <v>28</v>
      </c>
      <c r="H81" s="7773" t="s">
        <v>28</v>
      </c>
      <c r="I81" s="7773" t="s">
        <v>28</v>
      </c>
    </row>
    <row customHeight="1" ht="11.25">
      <c r="A82" s="7773" t="s">
        <v>6533</v>
      </c>
      <c r="B82" s="7773" t="s">
        <v>6534</v>
      </c>
      <c r="C82" s="7773" t="s">
        <v>28</v>
      </c>
      <c r="D82" s="7773" t="s">
        <v>6431</v>
      </c>
      <c r="E82" s="7773" t="s">
        <v>6440</v>
      </c>
      <c r="F82" s="7773" t="s">
        <v>28</v>
      </c>
      <c r="G82" s="7773" t="s">
        <v>28</v>
      </c>
      <c r="H82" s="7773" t="s">
        <v>28</v>
      </c>
      <c r="I82" s="7773" t="s">
        <v>28</v>
      </c>
    </row>
    <row customHeight="1" ht="11.25">
      <c r="A83" s="7773" t="s">
        <v>6535</v>
      </c>
      <c r="B83" s="7773" t="s">
        <v>6536</v>
      </c>
      <c r="C83" s="7773" t="s">
        <v>28</v>
      </c>
      <c r="D83" s="7773" t="s">
        <v>6431</v>
      </c>
      <c r="E83" s="7773" t="s">
        <v>6421</v>
      </c>
      <c r="F83" s="7773" t="s">
        <v>28</v>
      </c>
      <c r="G83" s="7773" t="s">
        <v>28</v>
      </c>
      <c r="H83" s="7773" t="s">
        <v>28</v>
      </c>
      <c r="I83" s="7773" t="s">
        <v>28</v>
      </c>
    </row>
    <row customHeight="1" ht="11.25">
      <c r="A84" s="7773" t="s">
        <v>6537</v>
      </c>
      <c r="B84" s="7773" t="s">
        <v>6538</v>
      </c>
      <c r="C84" s="7773" t="s">
        <v>28</v>
      </c>
      <c r="D84" s="7773" t="s">
        <v>6431</v>
      </c>
      <c r="E84" s="7773" t="s">
        <v>6421</v>
      </c>
      <c r="F84" s="7773" t="s">
        <v>28</v>
      </c>
      <c r="G84" s="7773" t="s">
        <v>28</v>
      </c>
      <c r="H84" s="7773" t="s">
        <v>28</v>
      </c>
      <c r="I84" s="7773" t="s">
        <v>28</v>
      </c>
    </row>
    <row customHeight="1" ht="11.25">
      <c r="A85" s="7773" t="s">
        <v>6539</v>
      </c>
      <c r="B85" s="7773" t="s">
        <v>6540</v>
      </c>
      <c r="C85" s="7773" t="s">
        <v>28</v>
      </c>
      <c r="D85" s="7773" t="s">
        <v>6474</v>
      </c>
      <c r="E85" s="7773" t="s">
        <v>6438</v>
      </c>
      <c r="F85" s="7773" t="s">
        <v>28</v>
      </c>
      <c r="G85" s="7773" t="s">
        <v>28</v>
      </c>
      <c r="H85" s="7773" t="s">
        <v>28</v>
      </c>
      <c r="I85" s="7773" t="s">
        <v>28</v>
      </c>
    </row>
    <row customHeight="1" ht="11.25">
      <c r="A86" s="7773" t="s">
        <v>6541</v>
      </c>
      <c r="B86" s="7773" t="s">
        <v>6542</v>
      </c>
      <c r="C86" s="7773" t="s">
        <v>28</v>
      </c>
      <c r="D86" s="7773" t="s">
        <v>6431</v>
      </c>
      <c r="E86" s="7773" t="s">
        <v>6421</v>
      </c>
      <c r="F86" s="7773" t="s">
        <v>28</v>
      </c>
      <c r="G86" s="7773" t="s">
        <v>28</v>
      </c>
      <c r="H86" s="7773" t="s">
        <v>28</v>
      </c>
      <c r="I86" s="7773" t="s">
        <v>28</v>
      </c>
    </row>
    <row customHeight="1" ht="11.25">
      <c r="A87" s="7773" t="s">
        <v>6543</v>
      </c>
      <c r="B87" s="7773" t="s">
        <v>6544</v>
      </c>
      <c r="C87" s="7773" t="s">
        <v>28</v>
      </c>
      <c r="D87" s="7773" t="s">
        <v>6431</v>
      </c>
      <c r="E87" s="7773" t="s">
        <v>6440</v>
      </c>
      <c r="F87" s="7773" t="s">
        <v>28</v>
      </c>
      <c r="G87" s="7773" t="s">
        <v>28</v>
      </c>
      <c r="H87" s="7773" t="s">
        <v>28</v>
      </c>
      <c r="I87" s="7773" t="s">
        <v>28</v>
      </c>
    </row>
    <row customHeight="1" ht="11.25">
      <c r="A88" s="7773" t="s">
        <v>6545</v>
      </c>
      <c r="B88" s="7773" t="s">
        <v>6546</v>
      </c>
      <c r="C88" s="7773" t="s">
        <v>28</v>
      </c>
      <c r="D88" s="7773" t="s">
        <v>6431</v>
      </c>
      <c r="E88" s="7773" t="s">
        <v>6440</v>
      </c>
      <c r="F88" s="7773" t="s">
        <v>28</v>
      </c>
      <c r="G88" s="7773" t="s">
        <v>28</v>
      </c>
      <c r="H88" s="7773" t="s">
        <v>28</v>
      </c>
      <c r="I88" s="7773" t="s">
        <v>28</v>
      </c>
    </row>
    <row customHeight="1" ht="11.25">
      <c r="A89" s="7773" t="s">
        <v>6547</v>
      </c>
      <c r="B89" s="7773" t="s">
        <v>6548</v>
      </c>
      <c r="C89" s="7773" t="s">
        <v>28</v>
      </c>
      <c r="D89" s="7773" t="s">
        <v>6549</v>
      </c>
      <c r="E89" s="7773" t="s">
        <v>6456</v>
      </c>
      <c r="F89" s="7773" t="s">
        <v>28</v>
      </c>
      <c r="G89" s="7773" t="s">
        <v>28</v>
      </c>
      <c r="H89" s="7773" t="s">
        <v>28</v>
      </c>
      <c r="I89" s="7773" t="s">
        <v>28</v>
      </c>
    </row>
    <row customHeight="1" ht="11.25">
      <c r="A90" s="7773" t="s">
        <v>6550</v>
      </c>
      <c r="B90" s="7773" t="s">
        <v>6551</v>
      </c>
      <c r="C90" s="7773" t="s">
        <v>28</v>
      </c>
      <c r="D90" s="7773" t="s">
        <v>6549</v>
      </c>
      <c r="E90" s="7773" t="s">
        <v>6438</v>
      </c>
      <c r="F90" s="7773" t="s">
        <v>28</v>
      </c>
      <c r="G90" s="7773" t="s">
        <v>28</v>
      </c>
      <c r="H90" s="7773" t="s">
        <v>28</v>
      </c>
      <c r="I90" s="7773" t="s">
        <v>28</v>
      </c>
    </row>
    <row customHeight="1" ht="11.25">
      <c r="A91" s="7773" t="s">
        <v>6552</v>
      </c>
      <c r="B91" s="7773" t="s">
        <v>6553</v>
      </c>
      <c r="C91" s="7773" t="s">
        <v>28</v>
      </c>
      <c r="D91" s="7773" t="s">
        <v>6474</v>
      </c>
      <c r="E91" s="7773" t="s">
        <v>6554</v>
      </c>
      <c r="F91" s="7773" t="s">
        <v>28</v>
      </c>
      <c r="G91" s="7773" t="s">
        <v>28</v>
      </c>
      <c r="H91" s="7773" t="s">
        <v>28</v>
      </c>
      <c r="I91" s="7773" t="s">
        <v>28</v>
      </c>
    </row>
    <row customHeight="1" ht="11.25">
      <c r="A92" s="7773" t="s">
        <v>6555</v>
      </c>
      <c r="B92" s="7773" t="s">
        <v>6556</v>
      </c>
      <c r="C92" s="7773" t="s">
        <v>28</v>
      </c>
      <c r="D92" s="7773" t="s">
        <v>6437</v>
      </c>
      <c r="E92" s="7773" t="s">
        <v>6557</v>
      </c>
      <c r="F92" s="7773" t="s">
        <v>28</v>
      </c>
      <c r="G92" s="7773" t="s">
        <v>28</v>
      </c>
      <c r="H92" s="7773" t="s">
        <v>28</v>
      </c>
      <c r="I92" s="7773" t="s">
        <v>28</v>
      </c>
    </row>
    <row customHeight="1" ht="11.25">
      <c r="A93" s="7773" t="s">
        <v>6558</v>
      </c>
      <c r="B93" s="7773" t="s">
        <v>6559</v>
      </c>
      <c r="C93" s="7773" t="s">
        <v>28</v>
      </c>
      <c r="D93" s="7773" t="s">
        <v>6560</v>
      </c>
      <c r="E93" s="7773" t="s">
        <v>6554</v>
      </c>
      <c r="F93" s="7773" t="s">
        <v>28</v>
      </c>
      <c r="G93" s="7773" t="s">
        <v>28</v>
      </c>
      <c r="H93" s="7773" t="s">
        <v>28</v>
      </c>
      <c r="I93" s="7773" t="s">
        <v>28</v>
      </c>
    </row>
    <row customHeight="1" ht="11.25">
      <c r="A94" s="7773" t="s">
        <v>6561</v>
      </c>
      <c r="B94" s="7773" t="s">
        <v>6562</v>
      </c>
      <c r="C94" s="7773" t="s">
        <v>28</v>
      </c>
      <c r="D94" s="7773" t="s">
        <v>6560</v>
      </c>
      <c r="E94" s="7773" t="s">
        <v>6440</v>
      </c>
      <c r="F94" s="7773" t="s">
        <v>28</v>
      </c>
      <c r="G94" s="7773" t="s">
        <v>28</v>
      </c>
      <c r="H94" s="7773" t="s">
        <v>28</v>
      </c>
      <c r="I94" s="7773" t="s">
        <v>28</v>
      </c>
    </row>
    <row customHeight="1" ht="11.25">
      <c r="A95" s="7773" t="s">
        <v>6563</v>
      </c>
      <c r="B95" s="7773" t="s">
        <v>6564</v>
      </c>
      <c r="C95" s="7773" t="s">
        <v>28</v>
      </c>
      <c r="D95" s="7773" t="s">
        <v>6437</v>
      </c>
      <c r="E95" s="7773" t="s">
        <v>6557</v>
      </c>
      <c r="F95" s="7773" t="s">
        <v>28</v>
      </c>
      <c r="G95" s="7773" t="s">
        <v>28</v>
      </c>
      <c r="H95" s="7773" t="s">
        <v>28</v>
      </c>
      <c r="I95" s="7773" t="s">
        <v>28</v>
      </c>
    </row>
    <row customHeight="1" ht="11.25">
      <c r="A96" s="7773" t="s">
        <v>6565</v>
      </c>
      <c r="B96" s="7773" t="s">
        <v>6566</v>
      </c>
      <c r="C96" s="7773" t="s">
        <v>28</v>
      </c>
      <c r="D96" s="7773" t="s">
        <v>6437</v>
      </c>
      <c r="E96" s="7773" t="s">
        <v>6456</v>
      </c>
      <c r="F96" s="7773" t="s">
        <v>28</v>
      </c>
      <c r="G96" s="7773" t="s">
        <v>28</v>
      </c>
      <c r="H96" s="7773" t="s">
        <v>28</v>
      </c>
      <c r="I96" s="7773" t="s">
        <v>28</v>
      </c>
    </row>
    <row customHeight="1" ht="11.25">
      <c r="A97" s="7773" t="s">
        <v>6567</v>
      </c>
      <c r="B97" s="7773" t="s">
        <v>6568</v>
      </c>
      <c r="C97" s="7773" t="s">
        <v>28</v>
      </c>
      <c r="D97" s="7773" t="s">
        <v>6437</v>
      </c>
      <c r="E97" s="7773" t="s">
        <v>6456</v>
      </c>
      <c r="F97" s="7773" t="s">
        <v>28</v>
      </c>
      <c r="G97" s="7773" t="s">
        <v>28</v>
      </c>
      <c r="H97" s="7773" t="s">
        <v>28</v>
      </c>
      <c r="I97" s="7773" t="s">
        <v>28</v>
      </c>
    </row>
    <row customHeight="1" ht="11.25">
      <c r="A98" s="7773" t="s">
        <v>6569</v>
      </c>
      <c r="B98" s="7773" t="s">
        <v>6570</v>
      </c>
      <c r="C98" s="7773" t="s">
        <v>28</v>
      </c>
      <c r="D98" s="7773" t="s">
        <v>6437</v>
      </c>
      <c r="E98" s="7773" t="s">
        <v>6421</v>
      </c>
      <c r="F98" s="7773" t="s">
        <v>28</v>
      </c>
      <c r="G98" s="7773" t="s">
        <v>28</v>
      </c>
      <c r="H98" s="7773" t="s">
        <v>28</v>
      </c>
      <c r="I98" s="7773" t="s">
        <v>28</v>
      </c>
    </row>
    <row customHeight="1" ht="11.25">
      <c r="A99" s="7773" t="s">
        <v>6571</v>
      </c>
      <c r="B99" s="7773" t="s">
        <v>6572</v>
      </c>
      <c r="C99" s="7773" t="s">
        <v>28</v>
      </c>
      <c r="D99" s="7773" t="s">
        <v>6437</v>
      </c>
      <c r="E99" s="7773" t="s">
        <v>6557</v>
      </c>
      <c r="F99" s="7773" t="s">
        <v>28</v>
      </c>
      <c r="G99" s="7773" t="s">
        <v>28</v>
      </c>
      <c r="H99" s="7773" t="s">
        <v>28</v>
      </c>
      <c r="I99" s="7773" t="s">
        <v>28</v>
      </c>
    </row>
    <row customHeight="1" ht="11.25">
      <c r="A100" s="7773" t="s">
        <v>6573</v>
      </c>
      <c r="B100" s="7773" t="s">
        <v>6574</v>
      </c>
      <c r="C100" s="7773" t="s">
        <v>28</v>
      </c>
      <c r="D100" s="7773" t="s">
        <v>6419</v>
      </c>
      <c r="E100" s="7773" t="s">
        <v>6440</v>
      </c>
      <c r="F100" s="7773" t="s">
        <v>28</v>
      </c>
      <c r="G100" s="7773" t="s">
        <v>28</v>
      </c>
      <c r="H100" s="7773" t="s">
        <v>28</v>
      </c>
      <c r="I100" s="7773" t="s">
        <v>28</v>
      </c>
    </row>
    <row customHeight="1" ht="11.25">
      <c r="A101" s="7773" t="s">
        <v>6575</v>
      </c>
      <c r="B101" s="7773" t="s">
        <v>6576</v>
      </c>
      <c r="C101" s="7773" t="s">
        <v>28</v>
      </c>
      <c r="D101" s="7773" t="s">
        <v>6419</v>
      </c>
      <c r="E101" s="7773" t="s">
        <v>6456</v>
      </c>
      <c r="F101" s="7773" t="s">
        <v>28</v>
      </c>
      <c r="G101" s="7773" t="s">
        <v>28</v>
      </c>
      <c r="H101" s="7773" t="s">
        <v>28</v>
      </c>
      <c r="I101" s="7773" t="s">
        <v>28</v>
      </c>
    </row>
    <row customHeight="1" ht="11.25">
      <c r="A102" s="7773" t="s">
        <v>6577</v>
      </c>
      <c r="B102" s="7773" t="s">
        <v>6578</v>
      </c>
      <c r="C102" s="7773" t="s">
        <v>28</v>
      </c>
      <c r="D102" s="7773" t="s">
        <v>6419</v>
      </c>
      <c r="E102" s="7773" t="s">
        <v>6579</v>
      </c>
      <c r="F102" s="7773" t="s">
        <v>28</v>
      </c>
      <c r="G102" s="7773" t="s">
        <v>28</v>
      </c>
      <c r="H102" s="7773" t="s">
        <v>28</v>
      </c>
      <c r="I102" s="7773" t="s">
        <v>28</v>
      </c>
    </row>
    <row customHeight="1" ht="11.25">
      <c r="A103" s="7773" t="s">
        <v>6580</v>
      </c>
      <c r="B103" s="7773" t="s">
        <v>6581</v>
      </c>
      <c r="C103" s="7773" t="s">
        <v>28</v>
      </c>
      <c r="D103" s="7773" t="s">
        <v>6419</v>
      </c>
      <c r="E103" s="7773" t="s">
        <v>6438</v>
      </c>
      <c r="F103" s="7773" t="s">
        <v>28</v>
      </c>
      <c r="G103" s="7773" t="s">
        <v>28</v>
      </c>
      <c r="H103" s="7773" t="s">
        <v>28</v>
      </c>
      <c r="I103" s="7773" t="s">
        <v>28</v>
      </c>
    </row>
    <row customHeight="1" ht="11.25">
      <c r="A104" s="7773" t="s">
        <v>6582</v>
      </c>
      <c r="B104" s="7773" t="s">
        <v>6583</v>
      </c>
      <c r="C104" s="7773" t="s">
        <v>28</v>
      </c>
      <c r="D104" s="7773" t="s">
        <v>6437</v>
      </c>
      <c r="E104" s="7773" t="s">
        <v>6434</v>
      </c>
      <c r="F104" s="7773" t="s">
        <v>28</v>
      </c>
      <c r="G104" s="7773" t="s">
        <v>28</v>
      </c>
      <c r="H104" s="7773" t="s">
        <v>28</v>
      </c>
      <c r="I104" s="7773" t="s">
        <v>28</v>
      </c>
    </row>
    <row customHeight="1" ht="11.25">
      <c r="A105" s="7773" t="s">
        <v>6584</v>
      </c>
      <c r="B105" s="7773" t="s">
        <v>6585</v>
      </c>
      <c r="C105" s="7773" t="s">
        <v>28</v>
      </c>
      <c r="D105" s="7773" t="s">
        <v>6437</v>
      </c>
      <c r="E105" s="7773" t="s">
        <v>6438</v>
      </c>
      <c r="F105" s="7773" t="s">
        <v>28</v>
      </c>
      <c r="G105" s="7773" t="s">
        <v>28</v>
      </c>
      <c r="H105" s="7773" t="s">
        <v>28</v>
      </c>
      <c r="I105" s="7773" t="s">
        <v>28</v>
      </c>
    </row>
    <row customHeight="1" ht="11.25">
      <c r="A106" s="7773" t="s">
        <v>6586</v>
      </c>
      <c r="B106" s="7773" t="s">
        <v>6587</v>
      </c>
      <c r="C106" s="7773" t="s">
        <v>28</v>
      </c>
      <c r="D106" s="7773" t="s">
        <v>6431</v>
      </c>
      <c r="E106" s="7773" t="s">
        <v>6440</v>
      </c>
      <c r="F106" s="7773" t="s">
        <v>28</v>
      </c>
      <c r="G106" s="7773" t="s">
        <v>28</v>
      </c>
      <c r="H106" s="7773" t="s">
        <v>28</v>
      </c>
      <c r="I106" s="7773" t="s">
        <v>28</v>
      </c>
    </row>
    <row customHeight="1" ht="11.25">
      <c r="A107" s="7773" t="s">
        <v>6588</v>
      </c>
      <c r="B107" s="7773" t="s">
        <v>6589</v>
      </c>
      <c r="C107" s="7773" t="s">
        <v>28</v>
      </c>
      <c r="D107" s="7773" t="s">
        <v>6474</v>
      </c>
      <c r="E107" s="7773" t="s">
        <v>6438</v>
      </c>
      <c r="F107" s="7773" t="s">
        <v>28</v>
      </c>
      <c r="G107" s="7773" t="s">
        <v>28</v>
      </c>
      <c r="H107" s="7773" t="s">
        <v>28</v>
      </c>
      <c r="I107" s="7773" t="s">
        <v>28</v>
      </c>
    </row>
    <row customHeight="1" ht="11.25">
      <c r="A108" s="7773" t="s">
        <v>6590</v>
      </c>
      <c r="B108" s="7773" t="s">
        <v>6591</v>
      </c>
      <c r="C108" s="7773" t="s">
        <v>28</v>
      </c>
      <c r="D108" s="7773" t="s">
        <v>6474</v>
      </c>
      <c r="E108" s="7773" t="s">
        <v>6438</v>
      </c>
      <c r="F108" s="7773" t="s">
        <v>28</v>
      </c>
      <c r="G108" s="7773" t="s">
        <v>28</v>
      </c>
      <c r="H108" s="7773" t="s">
        <v>28</v>
      </c>
      <c r="I108" s="7773" t="s">
        <v>28</v>
      </c>
    </row>
    <row customHeight="1" ht="11.25">
      <c r="A109" s="7773" t="s">
        <v>6592</v>
      </c>
      <c r="B109" s="7773" t="s">
        <v>6593</v>
      </c>
      <c r="C109" s="7773" t="s">
        <v>28</v>
      </c>
      <c r="D109" s="7773" t="s">
        <v>6474</v>
      </c>
      <c r="E109" s="7773" t="s">
        <v>6456</v>
      </c>
      <c r="F109" s="7773" t="s">
        <v>28</v>
      </c>
      <c r="G109" s="7773" t="s">
        <v>28</v>
      </c>
      <c r="H109" s="7773" t="s">
        <v>28</v>
      </c>
      <c r="I109" s="7773" t="s">
        <v>28</v>
      </c>
    </row>
    <row customHeight="1" ht="11.25">
      <c r="A110" s="7773" t="s">
        <v>6594</v>
      </c>
      <c r="B110" s="7773" t="s">
        <v>6595</v>
      </c>
      <c r="C110" s="7773" t="s">
        <v>28</v>
      </c>
      <c r="D110" s="7773" t="s">
        <v>6431</v>
      </c>
      <c r="E110" s="7773" t="s">
        <v>6440</v>
      </c>
      <c r="F110" s="7773" t="s">
        <v>28</v>
      </c>
      <c r="G110" s="7773" t="s">
        <v>28</v>
      </c>
      <c r="H110" s="7773" t="s">
        <v>28</v>
      </c>
      <c r="I110" s="7773" t="s">
        <v>28</v>
      </c>
    </row>
    <row customHeight="1" ht="11.25">
      <c r="A111" s="7773" t="s">
        <v>6596</v>
      </c>
      <c r="B111" s="7773" t="s">
        <v>6597</v>
      </c>
      <c r="C111" s="7773" t="s">
        <v>28</v>
      </c>
      <c r="D111" s="7773" t="s">
        <v>6431</v>
      </c>
      <c r="E111" s="7773" t="s">
        <v>6421</v>
      </c>
      <c r="F111" s="7773" t="s">
        <v>28</v>
      </c>
      <c r="G111" s="7773" t="s">
        <v>28</v>
      </c>
      <c r="H111" s="7773" t="s">
        <v>28</v>
      </c>
      <c r="I111" s="7773" t="s">
        <v>28</v>
      </c>
    </row>
    <row customHeight="1" ht="11.25">
      <c r="A112" s="7773" t="s">
        <v>6598</v>
      </c>
      <c r="B112" s="7773" t="s">
        <v>6599</v>
      </c>
      <c r="C112" s="7773" t="s">
        <v>28</v>
      </c>
      <c r="D112" s="7773" t="s">
        <v>6474</v>
      </c>
      <c r="E112" s="7773" t="s">
        <v>6557</v>
      </c>
      <c r="F112" s="7773" t="s">
        <v>28</v>
      </c>
      <c r="G112" s="7773" t="s">
        <v>28</v>
      </c>
      <c r="H112" s="7773" t="s">
        <v>28</v>
      </c>
      <c r="I112" s="7773" t="s">
        <v>28</v>
      </c>
    </row>
    <row customHeight="1" ht="11.25">
      <c r="A113" s="7773" t="s">
        <v>6600</v>
      </c>
      <c r="B113" s="7773" t="s">
        <v>6601</v>
      </c>
      <c r="C113" s="7773" t="s">
        <v>28</v>
      </c>
      <c r="D113" s="7773" t="s">
        <v>6560</v>
      </c>
      <c r="E113" s="7773" t="s">
        <v>6438</v>
      </c>
      <c r="F113" s="7773" t="s">
        <v>28</v>
      </c>
      <c r="G113" s="7773" t="s">
        <v>28</v>
      </c>
      <c r="H113" s="7773" t="s">
        <v>28</v>
      </c>
      <c r="I113" s="7773" t="s">
        <v>28</v>
      </c>
    </row>
    <row customHeight="1" ht="11.25">
      <c r="A114" s="7773" t="s">
        <v>6602</v>
      </c>
      <c r="B114" s="7773" t="s">
        <v>6603</v>
      </c>
      <c r="C114" s="7773" t="s">
        <v>28</v>
      </c>
      <c r="D114" s="7773" t="s">
        <v>6437</v>
      </c>
      <c r="E114" s="7773" t="s">
        <v>6557</v>
      </c>
      <c r="F114" s="7773" t="s">
        <v>28</v>
      </c>
      <c r="G114" s="7773" t="s">
        <v>28</v>
      </c>
      <c r="H114" s="7773" t="s">
        <v>28</v>
      </c>
      <c r="I114" s="7773" t="s">
        <v>28</v>
      </c>
    </row>
    <row customHeight="1" ht="11.25">
      <c r="A115" s="7773" t="s">
        <v>6604</v>
      </c>
      <c r="B115" s="7773" t="s">
        <v>6605</v>
      </c>
      <c r="C115" s="7773" t="s">
        <v>28</v>
      </c>
      <c r="D115" s="7773" t="s">
        <v>6560</v>
      </c>
      <c r="E115" s="7773" t="s">
        <v>6438</v>
      </c>
      <c r="F115" s="7773" t="s">
        <v>28</v>
      </c>
      <c r="G115" s="7773" t="s">
        <v>28</v>
      </c>
      <c r="H115" s="7773" t="s">
        <v>28</v>
      </c>
      <c r="I115" s="7773" t="s">
        <v>28</v>
      </c>
    </row>
    <row customHeight="1" ht="11.25">
      <c r="A116" s="7773" t="s">
        <v>6606</v>
      </c>
      <c r="B116" s="7773" t="s">
        <v>6607</v>
      </c>
      <c r="C116" s="7773" t="s">
        <v>28</v>
      </c>
      <c r="D116" s="7773" t="s">
        <v>6608</v>
      </c>
      <c r="E116" s="7773" t="s">
        <v>6557</v>
      </c>
      <c r="F116" s="7773" t="s">
        <v>28</v>
      </c>
      <c r="G116" s="7773" t="s">
        <v>28</v>
      </c>
      <c r="H116" s="7773" t="s">
        <v>28</v>
      </c>
      <c r="I116" s="7773" t="s">
        <v>28</v>
      </c>
    </row>
    <row customHeight="1" ht="11.25">
      <c r="A117" s="7773" t="s">
        <v>6609</v>
      </c>
      <c r="B117" s="7773" t="s">
        <v>6610</v>
      </c>
      <c r="C117" s="7773" t="s">
        <v>28</v>
      </c>
      <c r="D117" s="7773" t="s">
        <v>6474</v>
      </c>
      <c r="E117" s="7773" t="s">
        <v>6434</v>
      </c>
      <c r="F117" s="7773" t="s">
        <v>28</v>
      </c>
      <c r="G117" s="7773" t="s">
        <v>28</v>
      </c>
      <c r="H117" s="7773" t="s">
        <v>28</v>
      </c>
      <c r="I117" s="7773" t="s">
        <v>28</v>
      </c>
    </row>
    <row customHeight="1" ht="11.25">
      <c r="A118" s="7773" t="s">
        <v>6611</v>
      </c>
      <c r="B118" s="7773" t="s">
        <v>6612</v>
      </c>
      <c r="C118" s="7773" t="s">
        <v>28</v>
      </c>
      <c r="D118" s="7773" t="s">
        <v>6431</v>
      </c>
      <c r="E118" s="7773" t="s">
        <v>6421</v>
      </c>
      <c r="F118" s="7773" t="s">
        <v>28</v>
      </c>
      <c r="G118" s="7773" t="s">
        <v>28</v>
      </c>
      <c r="H118" s="7773" t="s">
        <v>28</v>
      </c>
      <c r="I118" s="7773" t="s">
        <v>28</v>
      </c>
    </row>
    <row customHeight="1" ht="11.25">
      <c r="A119" s="7773" t="s">
        <v>6613</v>
      </c>
      <c r="B119" s="7773" t="s">
        <v>6614</v>
      </c>
      <c r="C119" s="7773" t="s">
        <v>28</v>
      </c>
      <c r="D119" s="7773" t="s">
        <v>6615</v>
      </c>
      <c r="E119" s="7773" t="s">
        <v>6424</v>
      </c>
      <c r="F119" s="7773" t="s">
        <v>28</v>
      </c>
      <c r="G119" s="7773" t="s">
        <v>28</v>
      </c>
      <c r="H119" s="7773" t="s">
        <v>28</v>
      </c>
      <c r="I119" s="7773" t="s">
        <v>28</v>
      </c>
    </row>
    <row customHeight="1" ht="11.25">
      <c r="A120" s="7773" t="s">
        <v>6616</v>
      </c>
      <c r="B120" s="7773" t="s">
        <v>6617</v>
      </c>
      <c r="C120" s="7773" t="s">
        <v>28</v>
      </c>
      <c r="D120" s="7773" t="s">
        <v>6615</v>
      </c>
      <c r="E120" s="7773" t="s">
        <v>6424</v>
      </c>
      <c r="F120" s="7773" t="s">
        <v>28</v>
      </c>
      <c r="G120" s="7773" t="s">
        <v>28</v>
      </c>
      <c r="H120" s="7773" t="s">
        <v>28</v>
      </c>
      <c r="I120" s="7773" t="s">
        <v>28</v>
      </c>
    </row>
    <row customHeight="1" ht="11.25">
      <c r="A121" s="7773" t="s">
        <v>6618</v>
      </c>
      <c r="B121" s="7773" t="s">
        <v>6619</v>
      </c>
      <c r="C121" s="7773" t="s">
        <v>28</v>
      </c>
      <c r="D121" s="7773" t="s">
        <v>6615</v>
      </c>
      <c r="E121" s="7773" t="s">
        <v>6424</v>
      </c>
      <c r="F121" s="7773" t="s">
        <v>28</v>
      </c>
      <c r="G121" s="7773" t="s">
        <v>28</v>
      </c>
      <c r="H121" s="7773" t="s">
        <v>28</v>
      </c>
      <c r="I121" s="7773" t="s">
        <v>28</v>
      </c>
    </row>
    <row customHeight="1" ht="11.25">
      <c r="A122" s="7773" t="s">
        <v>6620</v>
      </c>
      <c r="B122" s="7773" t="s">
        <v>6621</v>
      </c>
      <c r="C122" s="7773" t="s">
        <v>28</v>
      </c>
      <c r="D122" s="7773" t="s">
        <v>6615</v>
      </c>
      <c r="E122" s="7773" t="s">
        <v>6424</v>
      </c>
      <c r="F122" s="7773" t="s">
        <v>28</v>
      </c>
      <c r="G122" s="7773" t="s">
        <v>28</v>
      </c>
      <c r="H122" s="7773" t="s">
        <v>28</v>
      </c>
      <c r="I122" s="7773" t="s">
        <v>28</v>
      </c>
    </row>
    <row customHeight="1" ht="11.25">
      <c r="A123" s="7773" t="s">
        <v>6622</v>
      </c>
      <c r="B123" s="7773" t="s">
        <v>6623</v>
      </c>
      <c r="C123" s="7773" t="s">
        <v>28</v>
      </c>
      <c r="D123" s="7773" t="s">
        <v>6437</v>
      </c>
      <c r="E123" s="7773" t="s">
        <v>6424</v>
      </c>
      <c r="F123" s="7773" t="s">
        <v>28</v>
      </c>
      <c r="G123" s="7773" t="s">
        <v>28</v>
      </c>
      <c r="H123" s="7773" t="s">
        <v>28</v>
      </c>
      <c r="I123" s="7773" t="s">
        <v>28</v>
      </c>
    </row>
    <row customHeight="1" ht="11.25">
      <c r="A124" s="7773" t="s">
        <v>6624</v>
      </c>
      <c r="B124" s="7773" t="s">
        <v>6625</v>
      </c>
      <c r="C124" s="7773" t="s">
        <v>28</v>
      </c>
      <c r="D124" s="7773" t="s">
        <v>6437</v>
      </c>
      <c r="E124" s="7773" t="s">
        <v>6424</v>
      </c>
      <c r="F124" s="7773" t="s">
        <v>28</v>
      </c>
      <c r="G124" s="7773" t="s">
        <v>28</v>
      </c>
      <c r="H124" s="7773" t="s">
        <v>28</v>
      </c>
      <c r="I124" s="7773" t="s">
        <v>28</v>
      </c>
    </row>
    <row customHeight="1" ht="11.25">
      <c r="A125" s="7773" t="s">
        <v>6626</v>
      </c>
      <c r="B125" s="7773" t="s">
        <v>6627</v>
      </c>
      <c r="C125" s="7773" t="s">
        <v>28</v>
      </c>
      <c r="D125" s="7773" t="s">
        <v>6437</v>
      </c>
      <c r="E125" s="7773" t="s">
        <v>6424</v>
      </c>
      <c r="F125" s="7773" t="s">
        <v>28</v>
      </c>
      <c r="G125" s="7773" t="s">
        <v>28</v>
      </c>
      <c r="H125" s="7773" t="s">
        <v>28</v>
      </c>
      <c r="I125" s="7773" t="s">
        <v>28</v>
      </c>
    </row>
    <row customHeight="1" ht="11.25">
      <c r="A126" s="7773" t="s">
        <v>6628</v>
      </c>
      <c r="B126" s="7773" t="s">
        <v>6629</v>
      </c>
      <c r="C126" s="7773" t="s">
        <v>28</v>
      </c>
      <c r="D126" s="7773" t="s">
        <v>6437</v>
      </c>
      <c r="E126" s="7773" t="s">
        <v>6424</v>
      </c>
      <c r="F126" s="7773" t="s">
        <v>28</v>
      </c>
      <c r="G126" s="7773" t="s">
        <v>28</v>
      </c>
      <c r="H126" s="7773" t="s">
        <v>28</v>
      </c>
      <c r="I126" s="7773" t="s">
        <v>28</v>
      </c>
    </row>
    <row customHeight="1" ht="11.25">
      <c r="A127" s="7773" t="s">
        <v>6630</v>
      </c>
      <c r="B127" s="7773" t="s">
        <v>6631</v>
      </c>
      <c r="C127" s="7773" t="s">
        <v>28</v>
      </c>
      <c r="D127" s="7773" t="s">
        <v>6419</v>
      </c>
      <c r="E127" s="7773" t="s">
        <v>6438</v>
      </c>
      <c r="F127" s="7773" t="s">
        <v>28</v>
      </c>
      <c r="G127" s="7773" t="s">
        <v>28</v>
      </c>
      <c r="H127" s="7773" t="s">
        <v>28</v>
      </c>
      <c r="I127" s="7773" t="s">
        <v>28</v>
      </c>
    </row>
    <row customHeight="1" ht="11.25">
      <c r="A128" s="7773" t="s">
        <v>6632</v>
      </c>
      <c r="B128" s="7773" t="s">
        <v>6633</v>
      </c>
      <c r="C128" s="7773" t="s">
        <v>28</v>
      </c>
      <c r="D128" s="7773" t="s">
        <v>6419</v>
      </c>
      <c r="E128" s="7773" t="s">
        <v>6456</v>
      </c>
      <c r="F128" s="7773" t="s">
        <v>28</v>
      </c>
      <c r="G128" s="7773" t="s">
        <v>28</v>
      </c>
      <c r="H128" s="7773" t="s">
        <v>28</v>
      </c>
      <c r="I128" s="7773" t="s">
        <v>28</v>
      </c>
    </row>
    <row customHeight="1" ht="11.25">
      <c r="A129" s="7773" t="s">
        <v>6634</v>
      </c>
      <c r="B129" s="7773" t="s">
        <v>6635</v>
      </c>
      <c r="C129" s="7773" t="s">
        <v>28</v>
      </c>
      <c r="D129" s="7773" t="s">
        <v>6419</v>
      </c>
      <c r="E129" s="7773" t="s">
        <v>6438</v>
      </c>
      <c r="F129" s="7773" t="s">
        <v>28</v>
      </c>
      <c r="G129" s="7773" t="s">
        <v>28</v>
      </c>
      <c r="H129" s="7773" t="s">
        <v>28</v>
      </c>
      <c r="I129" s="7773" t="s">
        <v>28</v>
      </c>
    </row>
    <row customHeight="1" ht="11.25">
      <c r="A130" s="7773" t="s">
        <v>6636</v>
      </c>
      <c r="B130" s="7773" t="s">
        <v>6637</v>
      </c>
      <c r="C130" s="7773" t="s">
        <v>28</v>
      </c>
      <c r="D130" s="7773" t="s">
        <v>6419</v>
      </c>
      <c r="E130" s="7773" t="s">
        <v>6434</v>
      </c>
      <c r="F130" s="7773" t="s">
        <v>28</v>
      </c>
      <c r="G130" s="7773" t="s">
        <v>28</v>
      </c>
      <c r="H130" s="7773" t="s">
        <v>28</v>
      </c>
      <c r="I130" s="7773" t="s">
        <v>28</v>
      </c>
    </row>
    <row customHeight="1" ht="11.25">
      <c r="A131" s="7773" t="s">
        <v>6638</v>
      </c>
      <c r="B131" s="7773" t="s">
        <v>6639</v>
      </c>
      <c r="C131" s="7773" t="s">
        <v>28</v>
      </c>
      <c r="D131" s="7773" t="s">
        <v>6437</v>
      </c>
      <c r="E131" s="7773" t="s">
        <v>6456</v>
      </c>
      <c r="F131" s="7773" t="s">
        <v>28</v>
      </c>
      <c r="G131" s="7773" t="s">
        <v>28</v>
      </c>
      <c r="H131" s="7773" t="s">
        <v>28</v>
      </c>
      <c r="I131" s="7773" t="s">
        <v>28</v>
      </c>
    </row>
    <row customHeight="1" ht="11.25">
      <c r="A132" s="7773" t="s">
        <v>6640</v>
      </c>
      <c r="B132" s="7773" t="s">
        <v>6641</v>
      </c>
      <c r="C132" s="7773" t="s">
        <v>28</v>
      </c>
      <c r="D132" s="7773" t="s">
        <v>6437</v>
      </c>
      <c r="E132" s="7773" t="s">
        <v>6421</v>
      </c>
      <c r="F132" s="7773" t="s">
        <v>28</v>
      </c>
      <c r="G132" s="7773" t="s">
        <v>28</v>
      </c>
      <c r="H132" s="7773" t="s">
        <v>28</v>
      </c>
      <c r="I132" s="7773" t="s">
        <v>28</v>
      </c>
    </row>
    <row customHeight="1" ht="11.25">
      <c r="A133" s="7773" t="s">
        <v>6642</v>
      </c>
      <c r="B133" s="7773" t="s">
        <v>6643</v>
      </c>
      <c r="C133" s="7773" t="s">
        <v>28</v>
      </c>
      <c r="D133" s="7773" t="s">
        <v>6437</v>
      </c>
      <c r="E133" s="7773" t="s">
        <v>6434</v>
      </c>
      <c r="F133" s="7773" t="s">
        <v>28</v>
      </c>
      <c r="G133" s="7773" t="s">
        <v>28</v>
      </c>
      <c r="H133" s="7773" t="s">
        <v>28</v>
      </c>
      <c r="I133" s="7773" t="s">
        <v>28</v>
      </c>
    </row>
    <row customHeight="1" ht="11.25">
      <c r="A134" s="7773" t="s">
        <v>6644</v>
      </c>
      <c r="B134" s="7773" t="s">
        <v>6645</v>
      </c>
      <c r="C134" s="7773" t="s">
        <v>28</v>
      </c>
      <c r="D134" s="7773" t="s">
        <v>6646</v>
      </c>
      <c r="E134" s="7773" t="s">
        <v>6647</v>
      </c>
      <c r="F134" s="7773" t="s">
        <v>28</v>
      </c>
      <c r="G134" s="7773" t="s">
        <v>28</v>
      </c>
      <c r="H134" s="7773" t="s">
        <v>28</v>
      </c>
      <c r="I134" s="7773" t="s">
        <v>28</v>
      </c>
    </row>
    <row customHeight="1" ht="11.25">
      <c r="A135" s="7773" t="s">
        <v>6648</v>
      </c>
      <c r="B135" s="7773" t="s">
        <v>6649</v>
      </c>
      <c r="C135" s="7773" t="s">
        <v>28</v>
      </c>
      <c r="D135" s="7773" t="s">
        <v>6474</v>
      </c>
      <c r="E135" s="7773" t="s">
        <v>6438</v>
      </c>
      <c r="F135" s="7773" t="s">
        <v>28</v>
      </c>
      <c r="G135" s="7773" t="s">
        <v>28</v>
      </c>
      <c r="H135" s="7773" t="s">
        <v>28</v>
      </c>
      <c r="I135" s="7773" t="s">
        <v>28</v>
      </c>
    </row>
    <row customHeight="1" ht="11.25">
      <c r="A136" s="7773" t="s">
        <v>6650</v>
      </c>
      <c r="B136" s="7773" t="s">
        <v>6651</v>
      </c>
      <c r="C136" s="7773" t="s">
        <v>28</v>
      </c>
      <c r="D136" s="7773" t="s">
        <v>6428</v>
      </c>
      <c r="E136" s="7773" t="s">
        <v>6440</v>
      </c>
      <c r="F136" s="7773" t="s">
        <v>28</v>
      </c>
      <c r="G136" s="7773" t="s">
        <v>28</v>
      </c>
      <c r="H136" s="7773" t="s">
        <v>28</v>
      </c>
      <c r="I136" s="7773" t="s">
        <v>28</v>
      </c>
    </row>
    <row customHeight="1" ht="11.25">
      <c r="A137" s="7773" t="s">
        <v>6652</v>
      </c>
      <c r="B137" s="7773" t="s">
        <v>6653</v>
      </c>
      <c r="C137" s="7773" t="s">
        <v>28</v>
      </c>
      <c r="D137" s="7773" t="s">
        <v>6428</v>
      </c>
      <c r="E137" s="7773" t="s">
        <v>6429</v>
      </c>
      <c r="F137" s="7773" t="s">
        <v>28</v>
      </c>
      <c r="G137" s="7773" t="s">
        <v>28</v>
      </c>
      <c r="H137" s="7773" t="s">
        <v>28</v>
      </c>
      <c r="I137" s="7773"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5AF7E4-53B5-D6BC-D6E2-6372E65C0EB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2EBFEF-B998-621B-51CB-16EDAE60A20C}"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1877" width="9.140625" hidden="1" customWidth="1"/>
    <col min="2" max="2" style="11913" width="9.140625" hidden="1" customWidth="1"/>
    <col min="3" max="3" style="12081" width="3.00390625" customWidth="1"/>
    <col min="4" max="4" style="11913" width="5.00390625" customWidth="1"/>
    <col min="5" max="5" style="11913" width="48.00390625" customWidth="1"/>
    <col min="6" max="6" style="11913" width="38.00390625" customWidth="1"/>
    <col min="7" max="7" style="11913" width="1.7109375" hidden="1" customWidth="1"/>
    <col min="8" max="11" style="11913" width="19.8515625" customWidth="1"/>
    <col min="12" max="12" style="11913" width="9.7109375" customWidth="1"/>
    <col min="13" max="18" style="11913" width="19.8515625" customWidth="1"/>
    <col min="19" max="19" style="11913" width="1.7109375" hidden="1" customWidth="1"/>
    <col min="20" max="22" style="11913" width="19.8515625" hidden="1" customWidth="1"/>
    <col min="23" max="23" style="11913" width="1.7109375" hidden="1" customWidth="1"/>
    <col min="24" max="26" style="11913" width="19.8515625" hidden="1" customWidth="1"/>
    <col min="27" max="27" style="11913" width="1.7109375" hidden="1" customWidth="1"/>
    <col min="28" max="29" style="11913" width="19.8515625" hidden="1" customWidth="1"/>
    <col min="30" max="30" style="11913" width="1.7109375" hidden="1" customWidth="1"/>
    <col min="31" max="31" style="11913" width="103.7109375" customWidth="1"/>
    <col min="32" max="34" style="11913" width="103.7109375" hidden="1" customWidth="1"/>
    <col min="35" max="35" style="12008" width="3.00390625" customWidth="1"/>
    <col min="36" max="38" style="11993" width="10.00390625" customWidth="1"/>
    <col min="39" max="39" style="11993" width="13.7109375" hidden="1" customWidth="1"/>
    <col min="40" max="40" style="11993" width="15.00390625" customWidth="1"/>
    <col min="41" max="41" style="11993" width="16.00390625" customWidth="1"/>
    <col min="42" max="45" style="11993" width="10.00390625" customWidth="1"/>
    <col min="46" max="46" style="11913" width="10.57421875" hidden="1"/>
  </cols>
  <sheetData>
    <row customHeight="1" ht="22.5" hidden="1">
      <c r="E1" s="582"/>
      <c r="F1" s="582"/>
      <c r="G1" s="582"/>
      <c r="H1" s="2387" t="s">
        <v>364</v>
      </c>
      <c r="I1" s="2387"/>
      <c r="J1" s="2387"/>
      <c r="K1" s="2387"/>
      <c r="L1" s="2387"/>
      <c r="M1" s="2387"/>
      <c r="N1" s="2387"/>
      <c r="O1" s="2387"/>
      <c r="P1" s="2387"/>
      <c r="Q1" s="2387"/>
      <c r="R1" s="2387"/>
      <c r="T1" s="2387" t="s">
        <v>365</v>
      </c>
      <c r="U1" s="2387"/>
      <c r="V1" s="2387"/>
      <c r="X1" s="2387" t="s">
        <v>366</v>
      </c>
      <c r="Y1" s="2387"/>
      <c r="Z1" s="2387"/>
      <c r="AB1" s="2387" t="s">
        <v>367</v>
      </c>
      <c r="AC1" s="2387"/>
      <c r="AT1" s="617" t="s">
        <v>14</v>
      </c>
    </row>
    <row customHeight="1" ht="14.25" hidden="1">
      <c r="AT2" s="617">
        <v>0</v>
      </c>
    </row>
    <row s="12627" customFormat="1" customHeight="1" ht="5.25">
      <c r="C3" s="871"/>
      <c r="D3" s="872"/>
      <c r="E3" s="872"/>
      <c r="F3" s="872"/>
      <c r="G3" s="872"/>
      <c r="H3" s="872" t="s">
        <v>368</v>
      </c>
      <c r="I3" s="872"/>
      <c r="J3" s="872"/>
      <c r="K3" s="872"/>
      <c r="L3" s="872"/>
      <c r="M3" s="872"/>
      <c r="N3" s="872"/>
      <c r="O3" s="872"/>
      <c r="P3" s="872"/>
      <c r="Q3" s="872"/>
      <c r="R3" s="872"/>
      <c r="S3" s="872"/>
      <c r="T3" s="872"/>
      <c r="U3" s="872"/>
      <c r="V3" s="872"/>
      <c r="W3" s="872"/>
      <c r="X3" s="872"/>
      <c r="Y3" s="872"/>
      <c r="Z3" s="872"/>
      <c r="AA3" s="872"/>
      <c r="AB3" s="872"/>
      <c r="AC3" s="872"/>
      <c r="AD3" s="872"/>
      <c r="AE3" s="872"/>
      <c r="AF3" s="872"/>
      <c r="AG3" s="872"/>
      <c r="AH3" s="872"/>
      <c r="AJ3" s="681"/>
      <c r="AK3" s="681"/>
      <c r="AL3" s="681"/>
      <c r="AM3" s="681"/>
      <c r="AN3" s="681"/>
      <c r="AO3" s="681"/>
      <c r="AP3" s="681"/>
      <c r="AQ3" s="681"/>
      <c r="AR3" s="681"/>
      <c r="AS3" s="681"/>
      <c r="AT3" s="870">
        <v>5</v>
      </c>
    </row>
    <row customHeight="1" ht="39.75">
      <c r="C4" s="620"/>
      <c r="D4" s="232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328"/>
      <c r="F4" s="2328"/>
      <c r="G4" s="2328"/>
      <c r="H4" s="2328"/>
      <c r="I4" s="2328"/>
      <c r="J4" s="2328"/>
      <c r="K4" s="2328"/>
      <c r="L4" s="2328"/>
      <c r="M4" s="2328"/>
      <c r="N4" s="2328"/>
      <c r="O4" s="2328"/>
      <c r="P4" s="2328"/>
      <c r="Q4" s="2328"/>
      <c r="R4" s="2329"/>
      <c r="S4" s="1023"/>
      <c r="T4" s="869"/>
      <c r="U4" s="869"/>
      <c r="V4" s="869"/>
      <c r="W4" s="869"/>
      <c r="X4" s="869"/>
      <c r="Y4" s="869"/>
      <c r="Z4" s="869"/>
      <c r="AA4" s="869"/>
      <c r="AB4" s="869"/>
      <c r="AC4" s="869"/>
      <c r="AD4" s="869"/>
      <c r="AE4" s="661"/>
      <c r="AF4" s="661"/>
      <c r="AG4" s="661"/>
      <c r="AH4" s="661"/>
      <c r="AI4" s="658"/>
      <c r="AT4" s="617">
        <v>38</v>
      </c>
    </row>
    <row s="11913" customFormat="1" customHeight="1" ht="18">
      <c r="A5" s="929"/>
      <c r="C5" s="992"/>
      <c r="D5" s="2384" t="str">
        <f>IF(org=0,"Не определено",org)</f>
        <v>Филиал "Шатурская ГРЭС" ПАО "Юнипро"</v>
      </c>
      <c r="E5" s="2385"/>
      <c r="F5" s="2385"/>
      <c r="G5" s="2385"/>
      <c r="H5" s="2385"/>
      <c r="I5" s="2385"/>
      <c r="J5" s="2385"/>
      <c r="K5" s="2385"/>
      <c r="L5" s="2385"/>
      <c r="M5" s="2385"/>
      <c r="N5" s="2385"/>
      <c r="O5" s="2385"/>
      <c r="P5" s="2385"/>
      <c r="Q5" s="2385"/>
      <c r="R5" s="2386"/>
      <c r="S5" s="1023"/>
      <c r="T5" s="869"/>
      <c r="U5" s="869"/>
      <c r="V5" s="869"/>
      <c r="W5" s="869"/>
      <c r="X5" s="869"/>
      <c r="Y5" s="869"/>
      <c r="Z5" s="869"/>
      <c r="AA5" s="869"/>
      <c r="AB5" s="869"/>
      <c r="AC5" s="869"/>
      <c r="AD5" s="869"/>
      <c r="AE5" s="661"/>
      <c r="AF5" s="661"/>
      <c r="AG5" s="661"/>
      <c r="AH5" s="661"/>
      <c r="AI5" s="658"/>
      <c r="AJ5" s="681"/>
      <c r="AK5" s="681"/>
      <c r="AL5" s="681"/>
      <c r="AM5" s="681"/>
      <c r="AN5" s="681"/>
      <c r="AO5" s="681"/>
      <c r="AP5" s="681"/>
      <c r="AQ5" s="681"/>
      <c r="AR5" s="681"/>
      <c r="AS5" s="681"/>
      <c r="AT5" s="928">
        <v>17</v>
      </c>
    </row>
    <row s="11888" customFormat="1" customHeight="1" ht="11.549999999999999">
      <c r="A6" s="649"/>
      <c r="C6" s="656"/>
      <c r="D6" s="655"/>
      <c r="E6" s="655"/>
      <c r="F6" s="655"/>
      <c r="G6" s="655"/>
      <c r="H6" s="655"/>
      <c r="I6" s="655"/>
      <c r="J6" s="655"/>
      <c r="K6" s="655"/>
      <c r="L6" s="655"/>
      <c r="M6" s="655"/>
      <c r="N6" s="655"/>
      <c r="O6" s="655"/>
      <c r="P6" s="655"/>
      <c r="Q6" s="655"/>
      <c r="R6" s="922"/>
      <c r="S6" s="922"/>
      <c r="T6" s="655"/>
      <c r="U6" s="655"/>
      <c r="V6" s="882"/>
      <c r="W6" s="882"/>
      <c r="X6" s="655"/>
      <c r="Y6" s="655"/>
      <c r="Z6" s="882"/>
      <c r="AA6" s="882"/>
      <c r="AB6" s="655"/>
      <c r="AC6" s="882"/>
      <c r="AD6" s="882"/>
      <c r="AE6" s="655"/>
      <c r="AF6" s="655"/>
      <c r="AG6" s="655"/>
      <c r="AH6" s="655"/>
      <c r="AJ6" s="659"/>
      <c r="AK6" s="659"/>
      <c r="AL6" s="659"/>
      <c r="AM6" s="659"/>
      <c r="AN6" s="659"/>
      <c r="AO6" s="659"/>
      <c r="AP6" s="659"/>
      <c r="AQ6" s="659"/>
      <c r="AR6" s="659"/>
      <c r="AS6" s="659"/>
      <c r="AT6" s="650">
        <v>11</v>
      </c>
    </row>
    <row customHeight="1" ht="14.699999999999998">
      <c r="C7" s="620"/>
      <c r="D7" s="2388" t="s">
        <v>312</v>
      </c>
      <c r="E7" s="2389"/>
      <c r="F7" s="2389"/>
      <c r="G7" s="2389"/>
      <c r="H7" s="2389"/>
      <c r="I7" s="2389"/>
      <c r="J7" s="2389"/>
      <c r="K7" s="2389"/>
      <c r="L7" s="2389"/>
      <c r="M7" s="2389"/>
      <c r="N7" s="2389"/>
      <c r="O7" s="2389"/>
      <c r="P7" s="2389"/>
      <c r="Q7" s="2389"/>
      <c r="R7" s="2389"/>
      <c r="S7" s="2389"/>
      <c r="T7" s="2389"/>
      <c r="U7" s="2389"/>
      <c r="V7" s="2389"/>
      <c r="W7" s="2389"/>
      <c r="X7" s="2389"/>
      <c r="Y7" s="2389"/>
      <c r="Z7" s="2389"/>
      <c r="AA7" s="2389"/>
      <c r="AB7" s="2389"/>
      <c r="AC7" s="2389"/>
      <c r="AD7" s="2390"/>
      <c r="AE7" s="2393" t="s">
        <v>313</v>
      </c>
      <c r="AF7" s="2393" t="s">
        <v>313</v>
      </c>
      <c r="AG7" s="2393" t="s">
        <v>313</v>
      </c>
      <c r="AH7" s="2393" t="s">
        <v>313</v>
      </c>
      <c r="AT7" s="617">
        <v>14</v>
      </c>
    </row>
    <row customHeight="1" ht="27.299999999999997">
      <c r="C8" s="620"/>
      <c r="D8" s="2297" t="s">
        <v>91</v>
      </c>
      <c r="E8" s="2393" t="str">
        <f>"Наименование "&amp;IF(TEMPLATE_SPHERE&lt;&gt;"HEAT","централизованной ","")&amp;"системы "&amp;TEMPLATE_SPHERE_RUS</f>
        <v>Наименование системы теплоснабжения</v>
      </c>
      <c r="F8" s="2393" t="str">
        <f>IF(TEMPLATE_SPHERE&lt;&gt;"HEAT","Регулируемый вид деятельности","Вид регулируемой деятельности")</f>
        <v>Вид регулируемой деятельности</v>
      </c>
      <c r="G8" s="998"/>
      <c r="H8" s="2394" t="s">
        <v>369</v>
      </c>
      <c r="I8" s="2396" t="s">
        <v>370</v>
      </c>
      <c r="J8" s="2393" t="s">
        <v>371</v>
      </c>
      <c r="K8" s="2393"/>
      <c r="L8" s="2393"/>
      <c r="M8" s="2388"/>
      <c r="N8" s="2393" t="s">
        <v>372</v>
      </c>
      <c r="O8" s="2393"/>
      <c r="P8" s="2393" t="s">
        <v>373</v>
      </c>
      <c r="Q8" s="2393"/>
      <c r="R8" s="2400" t="s">
        <v>374</v>
      </c>
      <c r="S8" s="994"/>
      <c r="T8" s="2398" t="s">
        <v>375</v>
      </c>
      <c r="U8" s="2398" t="s">
        <v>376</v>
      </c>
      <c r="V8" s="2398" t="s">
        <v>377</v>
      </c>
      <c r="W8" s="996"/>
      <c r="X8" s="2398" t="s">
        <v>378</v>
      </c>
      <c r="Y8" s="2398" t="s">
        <v>379</v>
      </c>
      <c r="Z8" s="2398" t="s">
        <v>380</v>
      </c>
      <c r="AA8" s="996"/>
      <c r="AB8" s="2398" t="s">
        <v>381</v>
      </c>
      <c r="AC8" s="2398" t="s">
        <v>374</v>
      </c>
      <c r="AD8" s="996"/>
      <c r="AE8" s="2393"/>
      <c r="AF8" s="2393"/>
      <c r="AG8" s="2393"/>
      <c r="AH8" s="2393"/>
      <c r="AT8" s="617">
        <v>26</v>
      </c>
    </row>
    <row customHeight="1" ht="46.199999999999996">
      <c r="C9" s="620"/>
      <c r="D9" s="2297"/>
      <c r="E9" s="2393"/>
      <c r="F9" s="2393"/>
      <c r="G9" s="999"/>
      <c r="H9" s="2395"/>
      <c r="I9" s="2397"/>
      <c r="J9" s="595" t="s">
        <v>382</v>
      </c>
      <c r="K9" s="595" t="s">
        <v>383</v>
      </c>
      <c r="L9" s="595" t="s">
        <v>384</v>
      </c>
      <c r="M9" s="601" t="s">
        <v>385</v>
      </c>
      <c r="N9" s="595" t="s">
        <v>386</v>
      </c>
      <c r="O9" s="595" t="s">
        <v>385</v>
      </c>
      <c r="P9" s="595" t="s">
        <v>387</v>
      </c>
      <c r="Q9" s="595" t="s">
        <v>385</v>
      </c>
      <c r="R9" s="2401"/>
      <c r="S9" s="995"/>
      <c r="T9" s="2399"/>
      <c r="U9" s="2399"/>
      <c r="V9" s="2399"/>
      <c r="W9" s="997"/>
      <c r="X9" s="2399"/>
      <c r="Y9" s="2399"/>
      <c r="Z9" s="2399"/>
      <c r="AA9" s="997"/>
      <c r="AB9" s="2399"/>
      <c r="AC9" s="2399"/>
      <c r="AD9" s="997"/>
      <c r="AE9" s="2393"/>
      <c r="AF9" s="2393"/>
      <c r="AG9" s="2393"/>
      <c r="AH9" s="2393"/>
      <c r="AT9" s="617">
        <v>44</v>
      </c>
    </row>
    <row customHeight="1" ht="12" hidden="1">
      <c r="C10" s="657"/>
      <c r="D10" s="618"/>
      <c r="E10" s="618"/>
      <c r="F10" s="618"/>
      <c r="G10" s="618"/>
      <c r="H10" s="618"/>
      <c r="I10" s="618"/>
      <c r="J10" s="618"/>
      <c r="K10" s="618"/>
      <c r="L10" s="618"/>
      <c r="M10" s="618"/>
      <c r="N10" s="618"/>
      <c r="O10" s="618"/>
      <c r="P10" s="618"/>
      <c r="Q10" s="618"/>
      <c r="R10" s="618"/>
      <c r="S10" s="618"/>
      <c r="T10" s="618"/>
      <c r="U10" s="618"/>
      <c r="V10" s="618"/>
      <c r="W10" s="618"/>
      <c r="X10" s="618"/>
      <c r="Y10" s="618"/>
      <c r="Z10" s="618"/>
      <c r="AA10" s="618"/>
      <c r="AB10" s="618"/>
      <c r="AC10" s="618"/>
      <c r="AD10" s="618"/>
      <c r="AE10" s="618"/>
      <c r="AF10" s="618"/>
      <c r="AG10" s="618"/>
      <c r="AH10" s="618"/>
      <c r="AI10" s="617"/>
      <c r="AP10" s="670"/>
      <c r="AQ10" s="670"/>
      <c r="AT10" s="617">
        <v>0</v>
      </c>
    </row>
    <row s="12668" customFormat="1" customHeight="1" ht="11.25" hidden="1">
      <c r="C11" s="668"/>
      <c r="D11" s="669" t="s">
        <v>388</v>
      </c>
      <c r="E11" s="669"/>
      <c r="F11" s="669"/>
      <c r="G11" s="669"/>
      <c r="H11" s="667"/>
      <c r="I11" s="667"/>
      <c r="J11" s="667"/>
      <c r="K11" s="667"/>
      <c r="L11" s="667"/>
      <c r="M11" s="667"/>
      <c r="N11" s="667"/>
      <c r="O11" s="667"/>
      <c r="P11" s="667"/>
      <c r="Q11" s="667"/>
      <c r="R11" s="667"/>
      <c r="S11" s="667"/>
      <c r="T11" s="667"/>
      <c r="U11" s="667"/>
      <c r="V11" s="667"/>
      <c r="W11" s="667"/>
      <c r="X11" s="667"/>
      <c r="Y11" s="667"/>
      <c r="Z11" s="667"/>
      <c r="AA11" s="667"/>
      <c r="AB11" s="667"/>
      <c r="AC11" s="667"/>
      <c r="AD11" s="667"/>
      <c r="AE11" s="605"/>
      <c r="AF11" s="605"/>
      <c r="AG11" s="605"/>
      <c r="AH11" s="605"/>
      <c r="AJ11" s="659"/>
      <c r="AK11" s="659"/>
      <c r="AL11" s="659"/>
      <c r="AM11" s="659"/>
      <c r="AN11" s="659"/>
      <c r="AO11" s="659"/>
      <c r="AP11" s="659"/>
      <c r="AQ11" s="659"/>
      <c r="AR11" s="659"/>
      <c r="AS11" s="659"/>
      <c r="AT11" s="666">
        <v>0</v>
      </c>
    </row>
    <row customHeight="1" ht="14.699999999999998">
      <c r="A12" s="617"/>
      <c r="C12" s="620"/>
      <c r="D12" s="604" t="s">
        <v>112</v>
      </c>
      <c r="E12" s="1947" t="s">
        <v>28</v>
      </c>
      <c r="F12" s="1025"/>
      <c r="G12" s="1026"/>
      <c r="H12" s="1948"/>
      <c r="I12" s="1948"/>
      <c r="J12" s="603"/>
      <c r="K12" s="2033"/>
      <c r="L12" s="602"/>
      <c r="M12" s="2033"/>
      <c r="N12" s="603"/>
      <c r="O12" s="2033"/>
      <c r="P12" s="603"/>
      <c r="Q12" s="2033"/>
      <c r="R12" s="603"/>
      <c r="S12" s="1024"/>
      <c r="T12" s="1948"/>
      <c r="U12" s="603"/>
      <c r="V12" s="603"/>
      <c r="W12" s="997"/>
      <c r="X12" s="1948"/>
      <c r="Y12" s="603"/>
      <c r="Z12" s="603"/>
      <c r="AA12" s="997"/>
      <c r="AB12" s="1948"/>
      <c r="AC12" s="603"/>
      <c r="AD12" s="997"/>
      <c r="AE12" s="2391" t="s">
        <v>389</v>
      </c>
      <c r="AF12" s="2391" t="s">
        <v>390</v>
      </c>
      <c r="AG12" s="2391" t="s">
        <v>391</v>
      </c>
      <c r="AH12" s="2391" t="s">
        <v>392</v>
      </c>
      <c r="AI12" s="617"/>
      <c r="AM12" s="681"/>
      <c r="AP12" s="670" t="s">
        <v>393</v>
      </c>
      <c r="AQ12" s="670" t="s">
        <v>393</v>
      </c>
      <c r="AT12" s="617">
        <v>14</v>
      </c>
    </row>
    <row customHeight="1" ht="18">
      <c r="A13" s="617"/>
      <c r="C13" s="620"/>
      <c r="D13" s="575"/>
      <c r="E13" s="1039" t="str">
        <f>IF(TITLE_DIFFERENTIATION_TYPE="нет","","Добавить систему")</f>
        <v/>
      </c>
      <c r="F13" s="1039" t="str">
        <f>IF(TITLE_DIFFERENTIATION_TYPE="нет","Добавить вид деятельности","")</f>
        <v>Добавить вид деятельности</v>
      </c>
      <c r="G13" s="483"/>
      <c r="H13" s="576"/>
      <c r="I13" s="576"/>
      <c r="J13" s="576"/>
      <c r="K13" s="576"/>
      <c r="L13" s="576"/>
      <c r="M13" s="576"/>
      <c r="N13" s="576"/>
      <c r="O13" s="576"/>
      <c r="P13" s="576"/>
      <c r="Q13" s="576"/>
      <c r="R13" s="576"/>
      <c r="S13" s="576"/>
      <c r="T13" s="576"/>
      <c r="U13" s="576"/>
      <c r="V13" s="576"/>
      <c r="W13" s="576"/>
      <c r="X13" s="576"/>
      <c r="Y13" s="576"/>
      <c r="Z13" s="576"/>
      <c r="AA13" s="576"/>
      <c r="AB13" s="576"/>
      <c r="AC13" s="576"/>
      <c r="AD13" s="1027"/>
      <c r="AE13" s="2392"/>
      <c r="AF13" s="2392"/>
      <c r="AG13" s="2392"/>
      <c r="AH13" s="2392"/>
      <c r="AI13" s="617"/>
      <c r="AT13" s="617">
        <v>17</v>
      </c>
    </row>
    <row customHeight="1" ht="14.699999999999998">
      <c r="AI14" s="617"/>
      <c r="AT14" s="617">
        <v>14</v>
      </c>
    </row>
    <row customHeight="1" ht="14.699999999999998">
      <c r="E15" s="928"/>
      <c r="L15" s="928"/>
      <c r="AT15" s="617">
        <v>14</v>
      </c>
    </row>
    <row customHeight="1" ht="14.699999999999998">
      <c r="L16" s="928"/>
      <c r="AT16" s="617">
        <v>14</v>
      </c>
    </row>
    <row customHeight="1" ht="14.699999999999998">
      <c r="L17" s="928"/>
      <c r="AT17" s="617">
        <v>14</v>
      </c>
    </row>
    <row customHeight="1" ht="22.5" hidden="1">
      <c r="A18" s="619" t="s">
        <v>85</v>
      </c>
      <c r="B18" s="617">
        <v>0</v>
      </c>
      <c r="C18" s="621">
        <v>3</v>
      </c>
      <c r="D18" s="617">
        <v>5</v>
      </c>
      <c r="E18" s="617">
        <v>48</v>
      </c>
      <c r="F18" s="617">
        <v>38</v>
      </c>
      <c r="G18" s="928">
        <v>0</v>
      </c>
      <c r="H18" s="617">
        <v>0</v>
      </c>
      <c r="I18" s="617">
        <v>0</v>
      </c>
      <c r="J18" s="617">
        <v>0</v>
      </c>
      <c r="K18" s="617">
        <v>0</v>
      </c>
      <c r="L18" s="617">
        <v>0</v>
      </c>
      <c r="M18" s="617">
        <v>0</v>
      </c>
      <c r="N18" s="617">
        <v>0</v>
      </c>
      <c r="O18" s="617">
        <v>0</v>
      </c>
      <c r="P18" s="617">
        <v>0</v>
      </c>
      <c r="Q18" s="617">
        <v>0</v>
      </c>
      <c r="R18" s="617">
        <v>0</v>
      </c>
      <c r="S18" s="928">
        <v>0</v>
      </c>
      <c r="T18" s="675">
        <v>0</v>
      </c>
      <c r="U18" s="675">
        <v>0</v>
      </c>
      <c r="V18" s="675">
        <v>0</v>
      </c>
      <c r="W18" s="928">
        <v>0</v>
      </c>
      <c r="X18" s="675">
        <v>0</v>
      </c>
      <c r="Y18" s="675">
        <v>0</v>
      </c>
      <c r="Z18" s="675">
        <v>0</v>
      </c>
      <c r="AA18" s="928">
        <v>0</v>
      </c>
      <c r="AB18" s="675">
        <v>0</v>
      </c>
      <c r="AC18" s="675">
        <v>0</v>
      </c>
      <c r="AD18" s="928">
        <v>0</v>
      </c>
      <c r="AE18" s="617">
        <v>0</v>
      </c>
      <c r="AF18" s="675">
        <v>0</v>
      </c>
      <c r="AG18" s="675">
        <v>0</v>
      </c>
      <c r="AH18" s="675">
        <v>0</v>
      </c>
      <c r="AI18" s="622">
        <v>3</v>
      </c>
      <c r="AJ18" s="659">
        <v>10</v>
      </c>
      <c r="AK18" s="659">
        <v>10</v>
      </c>
      <c r="AL18" s="659">
        <v>10</v>
      </c>
      <c r="AM18" s="659">
        <v>0</v>
      </c>
      <c r="AN18" s="659">
        <v>15</v>
      </c>
      <c r="AO18" s="659">
        <v>16</v>
      </c>
      <c r="AP18" s="659">
        <v>10</v>
      </c>
      <c r="AQ18" s="659">
        <v>10</v>
      </c>
      <c r="AR18" s="659">
        <v>10</v>
      </c>
      <c r="AS18" s="659">
        <v>10</v>
      </c>
      <c r="AT18" s="61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D5DB0C-20BF-5DFB-C1FE-3A4218839D95}"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5843" width="9.140625"/>
  </cols>
  <sheetData>
    <row customHeight="1" ht="11.25">
      <c r="A1" s="353" t="s">
        <v>133</v>
      </c>
      <c r="B1" s="353" t="s">
        <v>6654</v>
      </c>
    </row>
    <row customHeight="1" ht="11.25">
      <c r="A2" s="11807" t="s">
        <v>101</v>
      </c>
      <c r="B2" s="11807" t="s">
        <v>6655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59D366-995A-43E3-1644-9C217F2F11A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5840" width="9.140625"/>
    <col min="2" max="2" style="15840" width="65.28125" customWidth="1"/>
  </cols>
  <sheetData>
    <row customHeight="1" ht="11.25">
      <c r="A1" s="1005" t="s">
        <v>6656</v>
      </c>
      <c r="B1" s="1005" t="s">
        <v>6657</v>
      </c>
    </row>
    <row customHeight="1" ht="11.25">
      <c r="A2" s="1005">
        <v>4213775</v>
      </c>
      <c r="B2" s="1005" t="s">
        <v>1244</v>
      </c>
    </row>
    <row customHeight="1" ht="11.25">
      <c r="A3" s="1005">
        <v>4213784</v>
      </c>
      <c r="B3" s="1005" t="s">
        <v>169</v>
      </c>
    </row>
    <row customHeight="1" ht="11.25">
      <c r="A4" s="1005">
        <v>4213781</v>
      </c>
      <c r="B4" s="1005" t="s">
        <v>1268</v>
      </c>
    </row>
    <row customHeight="1" ht="11.25">
      <c r="A5" s="1005">
        <v>4213776</v>
      </c>
      <c r="B5" s="1005" t="s">
        <v>178</v>
      </c>
    </row>
    <row customHeight="1" ht="11.25">
      <c r="A6" s="1005">
        <v>4213777</v>
      </c>
      <c r="B6" s="1005" t="s">
        <v>186</v>
      </c>
    </row>
    <row customHeight="1" ht="11.25">
      <c r="A7" s="1005">
        <v>4213778</v>
      </c>
      <c r="B7" s="1005" t="s">
        <v>192</v>
      </c>
    </row>
    <row customHeight="1" ht="11.25">
      <c r="A8" s="1005">
        <v>4213780</v>
      </c>
      <c r="B8" s="1005" t="s">
        <v>198</v>
      </c>
    </row>
    <row customHeight="1" ht="11.25">
      <c r="A9" s="1005">
        <v>4213779</v>
      </c>
      <c r="B9" s="1005" t="s">
        <v>494</v>
      </c>
    </row>
    <row customHeight="1" ht="11.25">
      <c r="A10" s="1005">
        <v>4213783</v>
      </c>
      <c r="B10" s="1005" t="s">
        <v>1421</v>
      </c>
    </row>
    <row customHeight="1" ht="11.25">
      <c r="A11" s="1005">
        <v>4213782</v>
      </c>
      <c r="B11" s="1005" t="s">
        <v>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BE52C4-B777-4624-4E6E-679AB2599C3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5840" width="9.140625"/>
    <col min="2" max="2" style="15840" width="65.28125" customWidth="1"/>
  </cols>
  <sheetData>
    <row customHeight="1" ht="11.25">
      <c r="A1" s="1005" t="s">
        <v>6656</v>
      </c>
      <c r="B1" s="1005" t="s">
        <v>6658</v>
      </c>
    </row>
    <row customHeight="1" ht="11.25">
      <c r="A2" s="1005" t="s">
        <v>6659</v>
      </c>
      <c r="B2" s="1005" t="s">
        <v>1519</v>
      </c>
    </row>
    <row customHeight="1" ht="11.25">
      <c r="A3" s="1005" t="s">
        <v>6660</v>
      </c>
      <c r="B3" s="1005" t="s">
        <v>1529</v>
      </c>
    </row>
    <row customHeight="1" ht="11.25">
      <c r="A4" s="1005" t="s">
        <v>6661</v>
      </c>
      <c r="B4" s="1005" t="s">
        <v>1538</v>
      </c>
    </row>
    <row customHeight="1" ht="11.25">
      <c r="A5" s="1005" t="s">
        <v>6662</v>
      </c>
      <c r="B5" s="1005" t="s">
        <v>1547</v>
      </c>
    </row>
    <row customHeight="1" ht="11.25">
      <c r="A6" s="1005" t="s">
        <v>6663</v>
      </c>
      <c r="B6" s="1005" t="s">
        <v>1553</v>
      </c>
    </row>
    <row customHeight="1" ht="11.25">
      <c r="A7" s="1005" t="s">
        <v>6664</v>
      </c>
      <c r="B7" s="1005" t="s">
        <v>1561</v>
      </c>
    </row>
    <row customHeight="1" ht="11.25">
      <c r="A8" s="1005" t="s">
        <v>6665</v>
      </c>
      <c r="B8" s="1005" t="s">
        <v>1568</v>
      </c>
    </row>
    <row customHeight="1" ht="11.25">
      <c r="A9" s="1005" t="s">
        <v>6666</v>
      </c>
      <c r="B9" s="1005" t="s">
        <v>1574</v>
      </c>
    </row>
    <row customHeight="1" ht="11.25">
      <c r="A10" s="1005" t="s">
        <v>6667</v>
      </c>
      <c r="B10" s="1005" t="s">
        <v>1578</v>
      </c>
    </row>
    <row customHeight="1" ht="11.25">
      <c r="A11" s="1005" t="s">
        <v>6668</v>
      </c>
      <c r="B11" s="1005" t="s">
        <v>1585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52C29F-A5A6-F64E-ED53-4D003356976D}" mc:Ignorable="x14ac xr xr2 xr3">
  <sheetPr>
    <tabColor rgb="FFFFCC99"/>
  </sheetPr>
  <dimension ref="A1:G61"/>
  <sheetViews>
    <sheetView topLeftCell="A1" showGridLines="0" workbookViewId="0">
      <selection activeCell="A1" sqref="A1"/>
    </sheetView>
  </sheetViews>
  <sheetFormatPr customHeight="1" defaultRowHeight="11.25"/>
  <sheetData>
    <row customHeight="1" ht="11.25">
      <c r="A1" s="543" t="s">
        <v>6275</v>
      </c>
      <c r="B1" s="543" t="s">
        <v>6276</v>
      </c>
      <c r="C1" s="543" t="s">
        <v>6277</v>
      </c>
      <c r="D1" s="543" t="s">
        <v>6278</v>
      </c>
      <c r="E1" s="0" t="s">
        <v>6279</v>
      </c>
      <c r="F1" s="0" t="s">
        <v>6280</v>
      </c>
      <c r="G1" s="0" t="s">
        <v>6281</v>
      </c>
    </row>
    <row customHeight="1" ht="11.25">
      <c r="A2" s="0" t="s">
        <v>16</v>
      </c>
      <c r="B2" s="0" t="s">
        <v>6282</v>
      </c>
      <c r="C2" s="0" t="s">
        <v>6283</v>
      </c>
      <c r="D2" s="0" t="s">
        <v>6282</v>
      </c>
      <c r="E2" s="0" t="s">
        <v>6283</v>
      </c>
      <c r="F2" s="0" t="s">
        <v>6284</v>
      </c>
      <c r="G2" s="0" t="s">
        <v>112</v>
      </c>
    </row>
    <row customHeight="1" ht="11.25">
      <c r="A3" s="0" t="s">
        <v>16</v>
      </c>
      <c r="B3" s="0" t="s">
        <v>6285</v>
      </c>
      <c r="C3" s="0" t="s">
        <v>6286</v>
      </c>
      <c r="D3" s="0" t="s">
        <v>6285</v>
      </c>
      <c r="E3" s="0" t="s">
        <v>6286</v>
      </c>
      <c r="F3" s="0" t="s">
        <v>6284</v>
      </c>
      <c r="G3" s="0" t="s">
        <v>113</v>
      </c>
    </row>
    <row customHeight="1" ht="11.25">
      <c r="A4" s="0" t="s">
        <v>16</v>
      </c>
      <c r="B4" s="0" t="s">
        <v>6287</v>
      </c>
      <c r="C4" s="0" t="s">
        <v>6288</v>
      </c>
      <c r="D4" s="0" t="s">
        <v>6287</v>
      </c>
      <c r="E4" s="0" t="s">
        <v>6288</v>
      </c>
      <c r="F4" s="0" t="s">
        <v>6284</v>
      </c>
      <c r="G4" s="0" t="s">
        <v>93</v>
      </c>
    </row>
    <row customHeight="1" ht="11.25">
      <c r="A5" s="0" t="s">
        <v>16</v>
      </c>
      <c r="B5" s="0" t="s">
        <v>6289</v>
      </c>
      <c r="C5" s="0" t="s">
        <v>6290</v>
      </c>
      <c r="D5" s="0" t="s">
        <v>6289</v>
      </c>
      <c r="E5" s="0" t="s">
        <v>6290</v>
      </c>
      <c r="F5" s="0" t="s">
        <v>6284</v>
      </c>
      <c r="G5" s="0" t="s">
        <v>94</v>
      </c>
    </row>
    <row customHeight="1" ht="11.25">
      <c r="A6" s="0" t="s">
        <v>16</v>
      </c>
      <c r="B6" s="0" t="s">
        <v>6291</v>
      </c>
      <c r="C6" s="0" t="s">
        <v>6292</v>
      </c>
      <c r="D6" s="0" t="s">
        <v>6291</v>
      </c>
      <c r="E6" s="0" t="s">
        <v>6292</v>
      </c>
      <c r="F6" s="0" t="s">
        <v>6284</v>
      </c>
      <c r="G6" s="0" t="s">
        <v>114</v>
      </c>
    </row>
    <row customHeight="1" ht="11.25">
      <c r="A7" s="0" t="s">
        <v>16</v>
      </c>
      <c r="B7" s="0" t="s">
        <v>6293</v>
      </c>
      <c r="C7" s="0" t="s">
        <v>6294</v>
      </c>
      <c r="D7" s="0" t="s">
        <v>6293</v>
      </c>
      <c r="E7" s="0" t="s">
        <v>6294</v>
      </c>
      <c r="F7" s="0" t="s">
        <v>6284</v>
      </c>
      <c r="G7" s="0" t="s">
        <v>95</v>
      </c>
    </row>
    <row customHeight="1" ht="11.25">
      <c r="A8" s="0" t="s">
        <v>16</v>
      </c>
      <c r="B8" s="0" t="s">
        <v>6295</v>
      </c>
      <c r="C8" s="0" t="s">
        <v>6296</v>
      </c>
      <c r="D8" s="0" t="s">
        <v>6295</v>
      </c>
      <c r="E8" s="0" t="s">
        <v>6296</v>
      </c>
      <c r="F8" s="0" t="s">
        <v>6284</v>
      </c>
      <c r="G8" s="0" t="s">
        <v>96</v>
      </c>
    </row>
    <row customHeight="1" ht="11.25">
      <c r="A9" s="0" t="s">
        <v>16</v>
      </c>
      <c r="B9" s="0" t="s">
        <v>6297</v>
      </c>
      <c r="C9" s="0" t="s">
        <v>6298</v>
      </c>
      <c r="D9" s="0" t="s">
        <v>6297</v>
      </c>
      <c r="E9" s="0" t="s">
        <v>6298</v>
      </c>
      <c r="F9" s="0" t="s">
        <v>6284</v>
      </c>
      <c r="G9" s="0" t="s">
        <v>115</v>
      </c>
    </row>
    <row customHeight="1" ht="11.25">
      <c r="A10" s="0" t="s">
        <v>16</v>
      </c>
      <c r="B10" s="0" t="s">
        <v>6299</v>
      </c>
      <c r="C10" s="0" t="s">
        <v>6300</v>
      </c>
      <c r="D10" s="0" t="s">
        <v>6299</v>
      </c>
      <c r="E10" s="0" t="s">
        <v>6300</v>
      </c>
      <c r="F10" s="0" t="s">
        <v>6284</v>
      </c>
      <c r="G10" s="0" t="s">
        <v>151</v>
      </c>
    </row>
    <row customHeight="1" ht="11.25">
      <c r="A11" s="0" t="s">
        <v>16</v>
      </c>
      <c r="B11" s="0" t="s">
        <v>6301</v>
      </c>
      <c r="C11" s="0" t="s">
        <v>6302</v>
      </c>
      <c r="D11" s="0" t="s">
        <v>6301</v>
      </c>
      <c r="E11" s="0" t="s">
        <v>6302</v>
      </c>
      <c r="F11" s="0" t="s">
        <v>6284</v>
      </c>
      <c r="G11" s="0" t="s">
        <v>152</v>
      </c>
    </row>
    <row customHeight="1" ht="11.25">
      <c r="A12" s="0" t="s">
        <v>16</v>
      </c>
      <c r="B12" s="0" t="s">
        <v>6303</v>
      </c>
      <c r="C12" s="0" t="s">
        <v>6304</v>
      </c>
      <c r="D12" s="0" t="s">
        <v>6303</v>
      </c>
      <c r="E12" s="0" t="s">
        <v>6304</v>
      </c>
      <c r="F12" s="0" t="s">
        <v>6284</v>
      </c>
      <c r="G12" s="0" t="s">
        <v>153</v>
      </c>
    </row>
    <row customHeight="1" ht="11.25">
      <c r="A13" s="0" t="s">
        <v>16</v>
      </c>
      <c r="B13" s="0" t="s">
        <v>6305</v>
      </c>
      <c r="C13" s="0" t="s">
        <v>6306</v>
      </c>
      <c r="D13" s="0" t="s">
        <v>6305</v>
      </c>
      <c r="E13" s="0" t="s">
        <v>6306</v>
      </c>
      <c r="F13" s="0" t="s">
        <v>6284</v>
      </c>
      <c r="G13" s="0" t="s">
        <v>154</v>
      </c>
    </row>
    <row customHeight="1" ht="11.25">
      <c r="A14" s="0" t="s">
        <v>16</v>
      </c>
      <c r="B14" s="0" t="s">
        <v>6307</v>
      </c>
      <c r="C14" s="0" t="s">
        <v>6308</v>
      </c>
      <c r="D14" s="0" t="s">
        <v>6307</v>
      </c>
      <c r="E14" s="0" t="s">
        <v>6308</v>
      </c>
      <c r="F14" s="0" t="s">
        <v>6284</v>
      </c>
      <c r="G14" s="0" t="s">
        <v>155</v>
      </c>
    </row>
    <row customHeight="1" ht="11.25">
      <c r="A15" s="0" t="s">
        <v>16</v>
      </c>
      <c r="B15" s="0" t="s">
        <v>6309</v>
      </c>
      <c r="C15" s="0" t="s">
        <v>6310</v>
      </c>
      <c r="D15" s="0" t="s">
        <v>6309</v>
      </c>
      <c r="E15" s="0" t="s">
        <v>6310</v>
      </c>
      <c r="F15" s="0" t="s">
        <v>6284</v>
      </c>
      <c r="G15" s="0" t="s">
        <v>156</v>
      </c>
    </row>
    <row customHeight="1" ht="11.25">
      <c r="A16" s="0" t="s">
        <v>16</v>
      </c>
      <c r="B16" s="0" t="s">
        <v>6311</v>
      </c>
      <c r="C16" s="0" t="s">
        <v>6312</v>
      </c>
      <c r="D16" s="0" t="s">
        <v>6311</v>
      </c>
      <c r="E16" s="0" t="s">
        <v>6312</v>
      </c>
      <c r="F16" s="0" t="s">
        <v>6284</v>
      </c>
      <c r="G16" s="0" t="s">
        <v>1481</v>
      </c>
    </row>
    <row customHeight="1" ht="11.25">
      <c r="A17" s="0" t="s">
        <v>16</v>
      </c>
      <c r="B17" s="0" t="s">
        <v>6313</v>
      </c>
      <c r="C17" s="0" t="s">
        <v>6314</v>
      </c>
      <c r="D17" s="0" t="s">
        <v>6313</v>
      </c>
      <c r="E17" s="0" t="s">
        <v>6314</v>
      </c>
      <c r="F17" s="0" t="s">
        <v>6284</v>
      </c>
      <c r="G17" s="0" t="s">
        <v>1487</v>
      </c>
    </row>
    <row customHeight="1" ht="11.25">
      <c r="A18" s="0" t="s">
        <v>16</v>
      </c>
      <c r="B18" s="0" t="s">
        <v>6315</v>
      </c>
      <c r="C18" s="0" t="s">
        <v>6316</v>
      </c>
      <c r="D18" s="0" t="s">
        <v>6315</v>
      </c>
      <c r="E18" s="0" t="s">
        <v>6316</v>
      </c>
      <c r="F18" s="0" t="s">
        <v>6284</v>
      </c>
      <c r="G18" s="0" t="s">
        <v>1499</v>
      </c>
    </row>
    <row customHeight="1" ht="11.25">
      <c r="A19" s="0" t="s">
        <v>16</v>
      </c>
      <c r="B19" s="0" t="s">
        <v>6317</v>
      </c>
      <c r="C19" s="0" t="s">
        <v>6318</v>
      </c>
      <c r="D19" s="0" t="s">
        <v>6317</v>
      </c>
      <c r="E19" s="0" t="s">
        <v>6318</v>
      </c>
      <c r="F19" s="0" t="s">
        <v>6284</v>
      </c>
      <c r="G19" s="0" t="s">
        <v>1513</v>
      </c>
    </row>
    <row customHeight="1" ht="11.25">
      <c r="A20" s="0" t="s">
        <v>16</v>
      </c>
      <c r="B20" s="0" t="s">
        <v>6319</v>
      </c>
      <c r="C20" s="0" t="s">
        <v>6320</v>
      </c>
      <c r="D20" s="0" t="s">
        <v>6319</v>
      </c>
      <c r="E20" s="0" t="s">
        <v>6320</v>
      </c>
      <c r="F20" s="0" t="s">
        <v>6284</v>
      </c>
      <c r="G20" s="0" t="s">
        <v>1525</v>
      </c>
    </row>
    <row customHeight="1" ht="11.25">
      <c r="A21" s="0" t="s">
        <v>16</v>
      </c>
      <c r="B21" s="0" t="s">
        <v>6321</v>
      </c>
      <c r="C21" s="0" t="s">
        <v>6322</v>
      </c>
      <c r="D21" s="0" t="s">
        <v>6321</v>
      </c>
      <c r="E21" s="0" t="s">
        <v>6322</v>
      </c>
      <c r="F21" s="0" t="s">
        <v>6284</v>
      </c>
      <c r="G21" s="0" t="s">
        <v>1534</v>
      </c>
    </row>
    <row customHeight="1" ht="11.25">
      <c r="A22" s="0" t="s">
        <v>16</v>
      </c>
      <c r="B22" s="0" t="s">
        <v>6323</v>
      </c>
      <c r="C22" s="0" t="s">
        <v>6324</v>
      </c>
      <c r="D22" s="0" t="s">
        <v>6323</v>
      </c>
      <c r="E22" s="0" t="s">
        <v>6324</v>
      </c>
      <c r="F22" s="0" t="s">
        <v>6284</v>
      </c>
      <c r="G22" s="0" t="s">
        <v>1550</v>
      </c>
    </row>
    <row customHeight="1" ht="11.25">
      <c r="A23" s="0" t="s">
        <v>16</v>
      </c>
      <c r="B23" s="0" t="s">
        <v>6325</v>
      </c>
      <c r="C23" s="0" t="s">
        <v>6326</v>
      </c>
      <c r="D23" s="0" t="s">
        <v>6325</v>
      </c>
      <c r="E23" s="0" t="s">
        <v>6326</v>
      </c>
      <c r="F23" s="0" t="s">
        <v>6284</v>
      </c>
      <c r="G23" s="0" t="s">
        <v>1557</v>
      </c>
    </row>
    <row customHeight="1" ht="11.25">
      <c r="A24" s="0" t="s">
        <v>16</v>
      </c>
      <c r="B24" s="0" t="s">
        <v>6327</v>
      </c>
      <c r="C24" s="0" t="s">
        <v>6328</v>
      </c>
      <c r="D24" s="0" t="s">
        <v>6327</v>
      </c>
      <c r="E24" s="0" t="s">
        <v>6328</v>
      </c>
      <c r="F24" s="0" t="s">
        <v>6284</v>
      </c>
      <c r="G24" s="0" t="s">
        <v>1565</v>
      </c>
    </row>
    <row customHeight="1" ht="11.25">
      <c r="A25" s="0" t="s">
        <v>16</v>
      </c>
      <c r="B25" s="0" t="s">
        <v>6329</v>
      </c>
      <c r="C25" s="0" t="s">
        <v>6330</v>
      </c>
      <c r="D25" s="0" t="s">
        <v>6329</v>
      </c>
      <c r="E25" s="0" t="s">
        <v>6330</v>
      </c>
      <c r="F25" s="0" t="s">
        <v>6284</v>
      </c>
      <c r="G25" s="0" t="s">
        <v>1572</v>
      </c>
    </row>
    <row customHeight="1" ht="11.25">
      <c r="A26" s="0" t="s">
        <v>16</v>
      </c>
      <c r="B26" s="0" t="s">
        <v>6331</v>
      </c>
      <c r="C26" s="0" t="s">
        <v>6332</v>
      </c>
      <c r="D26" s="0" t="s">
        <v>6331</v>
      </c>
      <c r="E26" s="0" t="s">
        <v>6332</v>
      </c>
      <c r="F26" s="0" t="s">
        <v>6284</v>
      </c>
      <c r="G26" s="0" t="s">
        <v>1576</v>
      </c>
    </row>
    <row customHeight="1" ht="11.25">
      <c r="A27" s="0" t="s">
        <v>16</v>
      </c>
      <c r="B27" s="0" t="s">
        <v>6333</v>
      </c>
      <c r="C27" s="0" t="s">
        <v>6334</v>
      </c>
      <c r="D27" s="0" t="s">
        <v>6333</v>
      </c>
      <c r="E27" s="0" t="s">
        <v>6334</v>
      </c>
      <c r="F27" s="0" t="s">
        <v>6284</v>
      </c>
      <c r="G27" s="0" t="s">
        <v>1581</v>
      </c>
    </row>
    <row customHeight="1" ht="11.25">
      <c r="A28" s="0" t="s">
        <v>16</v>
      </c>
      <c r="B28" s="0" t="s">
        <v>103</v>
      </c>
      <c r="C28" s="0" t="s">
        <v>104</v>
      </c>
      <c r="D28" s="0" t="s">
        <v>103</v>
      </c>
      <c r="E28" s="0" t="s">
        <v>104</v>
      </c>
      <c r="F28" s="0" t="s">
        <v>6284</v>
      </c>
      <c r="G28" s="0" t="s">
        <v>102</v>
      </c>
    </row>
    <row customHeight="1" ht="11.25">
      <c r="A29" s="0" t="s">
        <v>16</v>
      </c>
      <c r="B29" s="0" t="s">
        <v>6335</v>
      </c>
      <c r="C29" s="0" t="s">
        <v>6336</v>
      </c>
      <c r="D29" s="0" t="s">
        <v>6335</v>
      </c>
      <c r="E29" s="0" t="s">
        <v>6336</v>
      </c>
      <c r="F29" s="0" t="s">
        <v>6284</v>
      </c>
      <c r="G29" s="0" t="s">
        <v>1590</v>
      </c>
    </row>
    <row customHeight="1" ht="11.25">
      <c r="A30" s="0" t="s">
        <v>16</v>
      </c>
      <c r="B30" s="0" t="s">
        <v>6337</v>
      </c>
      <c r="C30" s="0" t="s">
        <v>6338</v>
      </c>
      <c r="D30" s="0" t="s">
        <v>6337</v>
      </c>
      <c r="E30" s="0" t="s">
        <v>6338</v>
      </c>
      <c r="F30" s="0" t="s">
        <v>6284</v>
      </c>
      <c r="G30" s="0" t="s">
        <v>1593</v>
      </c>
    </row>
    <row customHeight="1" ht="11.25">
      <c r="A31" s="0" t="s">
        <v>16</v>
      </c>
      <c r="B31" s="0" t="s">
        <v>6339</v>
      </c>
      <c r="C31" s="0" t="s">
        <v>6340</v>
      </c>
      <c r="D31" s="0" t="s">
        <v>6339</v>
      </c>
      <c r="E31" s="0" t="s">
        <v>6340</v>
      </c>
      <c r="F31" s="0" t="s">
        <v>6284</v>
      </c>
      <c r="G31" s="0" t="s">
        <v>1599</v>
      </c>
    </row>
    <row customHeight="1" ht="11.25">
      <c r="A32" s="0" t="s">
        <v>16</v>
      </c>
      <c r="B32" s="0" t="s">
        <v>6341</v>
      </c>
      <c r="C32" s="0" t="s">
        <v>6342</v>
      </c>
      <c r="D32" s="0" t="s">
        <v>6341</v>
      </c>
      <c r="E32" s="0" t="s">
        <v>6342</v>
      </c>
      <c r="F32" s="0" t="s">
        <v>6284</v>
      </c>
      <c r="G32" s="0" t="s">
        <v>1601</v>
      </c>
    </row>
    <row customHeight="1" ht="11.25">
      <c r="A33" s="0" t="s">
        <v>16</v>
      </c>
      <c r="B33" s="0" t="s">
        <v>6343</v>
      </c>
      <c r="C33" s="0" t="s">
        <v>6344</v>
      </c>
      <c r="D33" s="0" t="s">
        <v>6343</v>
      </c>
      <c r="E33" s="0" t="s">
        <v>6344</v>
      </c>
      <c r="F33" s="0" t="s">
        <v>6284</v>
      </c>
      <c r="G33" s="0" t="s">
        <v>1603</v>
      </c>
    </row>
    <row customHeight="1" ht="11.25">
      <c r="A34" s="0" t="s">
        <v>16</v>
      </c>
      <c r="B34" s="0" t="s">
        <v>6345</v>
      </c>
      <c r="C34" s="0" t="s">
        <v>6346</v>
      </c>
      <c r="D34" s="0" t="s">
        <v>6345</v>
      </c>
      <c r="E34" s="0" t="s">
        <v>6346</v>
      </c>
      <c r="F34" s="0" t="s">
        <v>6284</v>
      </c>
      <c r="G34" s="0" t="s">
        <v>1605</v>
      </c>
    </row>
    <row customHeight="1" ht="11.25">
      <c r="A35" s="0" t="s">
        <v>16</v>
      </c>
      <c r="B35" s="0" t="s">
        <v>6347</v>
      </c>
      <c r="C35" s="0" t="s">
        <v>6348</v>
      </c>
      <c r="D35" s="0" t="s">
        <v>6347</v>
      </c>
      <c r="E35" s="0" t="s">
        <v>6348</v>
      </c>
      <c r="F35" s="0" t="s">
        <v>6284</v>
      </c>
      <c r="G35" s="0" t="s">
        <v>1610</v>
      </c>
    </row>
    <row customHeight="1" ht="11.25">
      <c r="A36" s="0" t="s">
        <v>16</v>
      </c>
      <c r="B36" s="0" t="s">
        <v>6349</v>
      </c>
      <c r="C36" s="0" t="s">
        <v>6350</v>
      </c>
      <c r="D36" s="0" t="s">
        <v>6349</v>
      </c>
      <c r="E36" s="0" t="s">
        <v>6350</v>
      </c>
      <c r="F36" s="0" t="s">
        <v>6284</v>
      </c>
      <c r="G36" s="0" t="s">
        <v>1615</v>
      </c>
    </row>
    <row customHeight="1" ht="11.25">
      <c r="A37" s="0" t="s">
        <v>16</v>
      </c>
      <c r="B37" s="0" t="s">
        <v>6351</v>
      </c>
      <c r="C37" s="0" t="s">
        <v>6352</v>
      </c>
      <c r="D37" s="0" t="s">
        <v>6351</v>
      </c>
      <c r="E37" s="0" t="s">
        <v>6352</v>
      </c>
      <c r="F37" s="0" t="s">
        <v>6284</v>
      </c>
      <c r="G37" s="0" t="s">
        <v>1618</v>
      </c>
    </row>
    <row customHeight="1" ht="11.25">
      <c r="A38" s="0" t="s">
        <v>16</v>
      </c>
      <c r="B38" s="0" t="s">
        <v>6353</v>
      </c>
      <c r="C38" s="0" t="s">
        <v>6354</v>
      </c>
      <c r="D38" s="0" t="s">
        <v>6353</v>
      </c>
      <c r="E38" s="0" t="s">
        <v>6354</v>
      </c>
      <c r="F38" s="0" t="s">
        <v>6284</v>
      </c>
      <c r="G38" s="0" t="s">
        <v>1626</v>
      </c>
    </row>
    <row customHeight="1" ht="11.25">
      <c r="A39" s="0" t="s">
        <v>16</v>
      </c>
      <c r="B39" s="0" t="s">
        <v>6355</v>
      </c>
      <c r="C39" s="0" t="s">
        <v>6356</v>
      </c>
      <c r="D39" s="0" t="s">
        <v>6355</v>
      </c>
      <c r="E39" s="0" t="s">
        <v>6356</v>
      </c>
      <c r="F39" s="0" t="s">
        <v>6284</v>
      </c>
      <c r="G39" s="0" t="s">
        <v>1632</v>
      </c>
    </row>
    <row customHeight="1" ht="11.25">
      <c r="A40" s="0" t="s">
        <v>16</v>
      </c>
      <c r="B40" s="0" t="s">
        <v>6357</v>
      </c>
      <c r="C40" s="0" t="s">
        <v>6358</v>
      </c>
      <c r="D40" s="0" t="s">
        <v>6357</v>
      </c>
      <c r="E40" s="0" t="s">
        <v>6358</v>
      </c>
      <c r="F40" s="0" t="s">
        <v>6284</v>
      </c>
      <c r="G40" s="0" t="s">
        <v>1637</v>
      </c>
    </row>
    <row customHeight="1" ht="11.25">
      <c r="A41" s="0" t="s">
        <v>16</v>
      </c>
      <c r="B41" s="0" t="s">
        <v>6359</v>
      </c>
      <c r="C41" s="0" t="s">
        <v>6360</v>
      </c>
      <c r="D41" s="0" t="s">
        <v>6359</v>
      </c>
      <c r="E41" s="0" t="s">
        <v>6360</v>
      </c>
      <c r="F41" s="0" t="s">
        <v>6284</v>
      </c>
      <c r="G41" s="0" t="s">
        <v>1641</v>
      </c>
    </row>
    <row customHeight="1" ht="11.25">
      <c r="A42" s="0" t="s">
        <v>16</v>
      </c>
      <c r="B42" s="0" t="s">
        <v>6361</v>
      </c>
      <c r="C42" s="0" t="s">
        <v>6362</v>
      </c>
      <c r="D42" s="0" t="s">
        <v>6361</v>
      </c>
      <c r="E42" s="0" t="s">
        <v>6362</v>
      </c>
      <c r="F42" s="0" t="s">
        <v>6284</v>
      </c>
      <c r="G42" s="0" t="s">
        <v>1644</v>
      </c>
    </row>
    <row customHeight="1" ht="11.25">
      <c r="A43" s="0" t="s">
        <v>16</v>
      </c>
      <c r="B43" s="0" t="s">
        <v>6363</v>
      </c>
      <c r="C43" s="0" t="s">
        <v>6364</v>
      </c>
      <c r="D43" s="0" t="s">
        <v>6363</v>
      </c>
      <c r="E43" s="0" t="s">
        <v>6364</v>
      </c>
      <c r="F43" s="0" t="s">
        <v>6284</v>
      </c>
      <c r="G43" s="0" t="s">
        <v>1651</v>
      </c>
    </row>
    <row customHeight="1" ht="11.25">
      <c r="A44" s="0" t="s">
        <v>16</v>
      </c>
      <c r="B44" s="0" t="s">
        <v>6365</v>
      </c>
      <c r="C44" s="0" t="s">
        <v>6366</v>
      </c>
      <c r="D44" s="0" t="s">
        <v>6365</v>
      </c>
      <c r="E44" s="0" t="s">
        <v>6366</v>
      </c>
      <c r="F44" s="0" t="s">
        <v>6284</v>
      </c>
      <c r="G44" s="0" t="s">
        <v>1660</v>
      </c>
    </row>
    <row customHeight="1" ht="11.25">
      <c r="A45" s="0" t="s">
        <v>16</v>
      </c>
      <c r="B45" s="0" t="s">
        <v>6367</v>
      </c>
      <c r="C45" s="0" t="s">
        <v>6368</v>
      </c>
      <c r="D45" s="0" t="s">
        <v>6367</v>
      </c>
      <c r="E45" s="0" t="s">
        <v>6368</v>
      </c>
      <c r="F45" s="0" t="s">
        <v>6284</v>
      </c>
      <c r="G45" s="0" t="s">
        <v>1665</v>
      </c>
    </row>
    <row customHeight="1" ht="11.25">
      <c r="A46" s="0" t="s">
        <v>16</v>
      </c>
      <c r="B46" s="0" t="s">
        <v>6369</v>
      </c>
      <c r="C46" s="0" t="s">
        <v>6370</v>
      </c>
      <c r="D46" s="0" t="s">
        <v>6369</v>
      </c>
      <c r="E46" s="0" t="s">
        <v>6370</v>
      </c>
      <c r="F46" s="0" t="s">
        <v>6284</v>
      </c>
      <c r="G46" s="0" t="s">
        <v>1669</v>
      </c>
    </row>
    <row customHeight="1" ht="11.25">
      <c r="A47" s="0" t="s">
        <v>16</v>
      </c>
      <c r="B47" s="0" t="s">
        <v>6371</v>
      </c>
      <c r="C47" s="0" t="s">
        <v>6372</v>
      </c>
      <c r="D47" s="0" t="s">
        <v>6371</v>
      </c>
      <c r="E47" s="0" t="s">
        <v>6372</v>
      </c>
      <c r="F47" s="0" t="s">
        <v>6284</v>
      </c>
      <c r="G47" s="0" t="s">
        <v>1675</v>
      </c>
    </row>
    <row customHeight="1" ht="11.25">
      <c r="A48" s="0" t="s">
        <v>16</v>
      </c>
      <c r="B48" s="0" t="s">
        <v>6373</v>
      </c>
      <c r="C48" s="0" t="s">
        <v>6374</v>
      </c>
      <c r="D48" s="0" t="s">
        <v>6373</v>
      </c>
      <c r="E48" s="0" t="s">
        <v>6374</v>
      </c>
      <c r="F48" s="0" t="s">
        <v>6284</v>
      </c>
      <c r="G48" s="0" t="s">
        <v>1680</v>
      </c>
    </row>
    <row customHeight="1" ht="11.25">
      <c r="A49" s="0" t="s">
        <v>16</v>
      </c>
      <c r="B49" s="0" t="s">
        <v>6375</v>
      </c>
      <c r="C49" s="0" t="s">
        <v>6376</v>
      </c>
      <c r="D49" s="0" t="s">
        <v>6375</v>
      </c>
      <c r="E49" s="0" t="s">
        <v>6376</v>
      </c>
      <c r="F49" s="0" t="s">
        <v>6284</v>
      </c>
      <c r="G49" s="0" t="s">
        <v>1683</v>
      </c>
    </row>
    <row customHeight="1" ht="11.25">
      <c r="A50" s="0" t="s">
        <v>16</v>
      </c>
      <c r="B50" s="0" t="s">
        <v>6377</v>
      </c>
      <c r="C50" s="0" t="s">
        <v>6378</v>
      </c>
      <c r="D50" s="0" t="s">
        <v>6377</v>
      </c>
      <c r="E50" s="0" t="s">
        <v>6378</v>
      </c>
      <c r="F50" s="0" t="s">
        <v>6284</v>
      </c>
      <c r="G50" s="0" t="s">
        <v>1687</v>
      </c>
    </row>
    <row customHeight="1" ht="11.25">
      <c r="A51" s="0" t="s">
        <v>16</v>
      </c>
      <c r="B51" s="0" t="s">
        <v>6379</v>
      </c>
      <c r="C51" s="0" t="s">
        <v>6380</v>
      </c>
      <c r="D51" s="0" t="s">
        <v>6379</v>
      </c>
      <c r="E51" s="0" t="s">
        <v>6380</v>
      </c>
      <c r="F51" s="0" t="s">
        <v>6284</v>
      </c>
      <c r="G51" s="0" t="s">
        <v>1691</v>
      </c>
    </row>
    <row customHeight="1" ht="11.25">
      <c r="A52" s="0" t="s">
        <v>16</v>
      </c>
      <c r="B52" s="0" t="s">
        <v>6381</v>
      </c>
      <c r="C52" s="0" t="s">
        <v>6382</v>
      </c>
      <c r="D52" s="0" t="s">
        <v>6381</v>
      </c>
      <c r="E52" s="0" t="s">
        <v>6382</v>
      </c>
      <c r="F52" s="0" t="s">
        <v>6284</v>
      </c>
      <c r="G52" s="0" t="s">
        <v>1695</v>
      </c>
    </row>
    <row customHeight="1" ht="11.25">
      <c r="A53" s="0" t="s">
        <v>16</v>
      </c>
      <c r="B53" s="0" t="s">
        <v>6383</v>
      </c>
      <c r="C53" s="0" t="s">
        <v>6384</v>
      </c>
      <c r="D53" s="0" t="s">
        <v>6383</v>
      </c>
      <c r="E53" s="0" t="s">
        <v>6384</v>
      </c>
      <c r="F53" s="0" t="s">
        <v>6284</v>
      </c>
      <c r="G53" s="0" t="s">
        <v>1697</v>
      </c>
    </row>
    <row customHeight="1" ht="11.25">
      <c r="A54" s="0" t="s">
        <v>16</v>
      </c>
      <c r="B54" s="0" t="s">
        <v>6385</v>
      </c>
      <c r="C54" s="0" t="s">
        <v>6386</v>
      </c>
      <c r="D54" s="0" t="s">
        <v>6385</v>
      </c>
      <c r="E54" s="0" t="s">
        <v>6386</v>
      </c>
      <c r="F54" s="0" t="s">
        <v>6284</v>
      </c>
      <c r="G54" s="0" t="s">
        <v>1700</v>
      </c>
    </row>
    <row customHeight="1" ht="11.25">
      <c r="A55" s="0" t="s">
        <v>16</v>
      </c>
      <c r="B55" s="0" t="s">
        <v>6387</v>
      </c>
      <c r="C55" s="0" t="s">
        <v>6388</v>
      </c>
      <c r="D55" s="0" t="s">
        <v>6387</v>
      </c>
      <c r="E55" s="0" t="s">
        <v>6388</v>
      </c>
      <c r="F55" s="0" t="s">
        <v>6284</v>
      </c>
      <c r="G55" s="0" t="s">
        <v>1704</v>
      </c>
    </row>
    <row customHeight="1" ht="11.25">
      <c r="A56" s="0" t="s">
        <v>16</v>
      </c>
      <c r="B56" s="0" t="s">
        <v>6389</v>
      </c>
      <c r="C56" s="0" t="s">
        <v>6390</v>
      </c>
      <c r="D56" s="0" t="s">
        <v>6389</v>
      </c>
      <c r="E56" s="0" t="s">
        <v>6390</v>
      </c>
      <c r="F56" s="0" t="s">
        <v>6284</v>
      </c>
      <c r="G56" s="0" t="s">
        <v>1707</v>
      </c>
    </row>
    <row customHeight="1" ht="11.25">
      <c r="A57" s="0" t="s">
        <v>16</v>
      </c>
      <c r="B57" s="0" t="s">
        <v>6391</v>
      </c>
      <c r="C57" s="0" t="s">
        <v>6392</v>
      </c>
      <c r="D57" s="0" t="s">
        <v>6391</v>
      </c>
      <c r="E57" s="0" t="s">
        <v>6392</v>
      </c>
      <c r="F57" s="0" t="s">
        <v>6284</v>
      </c>
      <c r="G57" s="0" t="s">
        <v>1710</v>
      </c>
    </row>
    <row customHeight="1" ht="11.25">
      <c r="A58" s="0" t="s">
        <v>16</v>
      </c>
      <c r="B58" s="0" t="s">
        <v>6393</v>
      </c>
      <c r="C58" s="0" t="s">
        <v>6394</v>
      </c>
      <c r="D58" s="0" t="s">
        <v>6393</v>
      </c>
      <c r="E58" s="0" t="s">
        <v>6394</v>
      </c>
      <c r="F58" s="0" t="s">
        <v>6284</v>
      </c>
      <c r="G58" s="0" t="s">
        <v>1713</v>
      </c>
    </row>
    <row customHeight="1" ht="11.25">
      <c r="A59" s="0" t="s">
        <v>16</v>
      </c>
      <c r="B59" s="0" t="s">
        <v>6395</v>
      </c>
      <c r="C59" s="0" t="s">
        <v>6396</v>
      </c>
      <c r="D59" s="0" t="s">
        <v>6395</v>
      </c>
      <c r="E59" s="0" t="s">
        <v>6396</v>
      </c>
      <c r="F59" s="0" t="s">
        <v>6284</v>
      </c>
      <c r="G59" s="0" t="s">
        <v>1717</v>
      </c>
    </row>
    <row customHeight="1" ht="11.25">
      <c r="A60" s="0" t="s">
        <v>16</v>
      </c>
      <c r="B60" s="0" t="s">
        <v>6397</v>
      </c>
      <c r="C60" s="0" t="s">
        <v>6398</v>
      </c>
      <c r="D60" s="0" t="s">
        <v>6397</v>
      </c>
      <c r="E60" s="0" t="s">
        <v>6398</v>
      </c>
      <c r="F60" s="0" t="s">
        <v>6284</v>
      </c>
      <c r="G60" s="0" t="s">
        <v>1721</v>
      </c>
    </row>
    <row customHeight="1" ht="11.25">
      <c r="A61" s="0" t="s">
        <v>16</v>
      </c>
      <c r="B61" s="0" t="s">
        <v>6399</v>
      </c>
      <c r="C61" s="0" t="s">
        <v>6400</v>
      </c>
      <c r="D61" s="0" t="s">
        <v>6399</v>
      </c>
      <c r="E61" s="0" t="s">
        <v>6400</v>
      </c>
      <c r="F61" s="0" t="s">
        <v>6284</v>
      </c>
      <c r="G61" s="0" t="s">
        <v>6401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FA4E9F-F92C-650A-1C96-F61D32E1B52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5840" width="9.140625"/>
    <col min="2" max="2" style="15840" width="84.28125" customWidth="1"/>
    <col min="3" max="3" style="15840" width="9.140625"/>
  </cols>
  <sheetData>
    <row customHeight="1" ht="11.25">
      <c r="A1" s="1005" t="s">
        <v>6669</v>
      </c>
      <c r="B1" s="1005" t="s">
        <v>6670</v>
      </c>
      <c r="C1" s="1005" t="s">
        <v>1190</v>
      </c>
    </row>
    <row customHeight="1" ht="11.25">
      <c r="A2" s="1005">
        <v>4189678</v>
      </c>
      <c r="B2" s="1005" t="s">
        <v>6671</v>
      </c>
      <c r="C2" s="1005" t="s">
        <v>6672</v>
      </c>
    </row>
    <row customHeight="1" ht="11.25">
      <c r="A3" s="1005">
        <v>4190415</v>
      </c>
      <c r="B3" s="1005" t="s">
        <v>6673</v>
      </c>
      <c r="C3" s="1005" t="s">
        <v>6672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68F6EA-BB2E-37B5-A917-C9623DA44A9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5845" width="38.421875" customWidth="1"/>
    <col min="2" max="5" style="15845" width="9.140625"/>
  </cols>
  <sheetData>
    <row customHeight="1" ht="15">
      <c r="A1" s="333" t="s">
        <v>6674</v>
      </c>
      <c r="B1" s="333" t="s">
        <v>6675</v>
      </c>
      <c r="C1" s="333"/>
      <c r="D1" s="333"/>
      <c r="E1" s="333"/>
    </row>
    <row customHeight="1" ht="15">
      <c r="A2" s="333"/>
      <c r="B2" s="333"/>
      <c r="C2" s="333"/>
      <c r="D2" s="333"/>
      <c r="E2" s="333"/>
    </row>
    <row customHeight="1" ht="15">
      <c r="A3" s="333"/>
      <c r="B3" s="333"/>
      <c r="C3" s="333"/>
      <c r="D3" s="333"/>
      <c r="E3" s="333"/>
    </row>
    <row customHeight="1" ht="15">
      <c r="A4" s="333"/>
      <c r="B4" s="333"/>
      <c r="C4" s="333"/>
      <c r="D4" s="333"/>
      <c r="E4" s="333"/>
    </row>
    <row customHeight="1" ht="15">
      <c r="A5" s="333"/>
      <c r="B5" s="333"/>
      <c r="C5" s="333"/>
      <c r="D5" s="333"/>
      <c r="E5" s="333"/>
    </row>
    <row customHeight="1" ht="15">
      <c r="A6" s="333"/>
      <c r="B6" s="333"/>
      <c r="C6" s="333"/>
      <c r="D6" s="333"/>
      <c r="E6" s="333"/>
    </row>
    <row customHeight="1" ht="15">
      <c r="A7" s="333"/>
      <c r="B7" s="333"/>
      <c r="C7" s="333"/>
      <c r="D7" s="333"/>
      <c r="E7" s="333"/>
    </row>
    <row customHeight="1" ht="15">
      <c r="A8" s="333"/>
      <c r="B8" s="333"/>
      <c r="C8" s="333"/>
      <c r="D8" s="333"/>
      <c r="E8" s="33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DF0697-5158-D807-4D8C-6AF355E55A0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6676</v>
      </c>
      <c r="B1" s="0" t="b">
        <v>1</v>
      </c>
    </row>
    <row customHeight="1" ht="11.25">
      <c r="A2" s="0" t="s">
        <v>6677</v>
      </c>
      <c r="B2" s="0" t="b">
        <v>0</v>
      </c>
    </row>
    <row customHeight="1" ht="11.25">
      <c r="A3" s="0" t="s">
        <v>6678</v>
      </c>
      <c r="B3" s="0" t="b">
        <v>1</v>
      </c>
    </row>
    <row customHeight="1" ht="11.25">
      <c r="A4" s="0" t="s">
        <v>6679</v>
      </c>
      <c r="B4" s="0" t="b">
        <v>0</v>
      </c>
    </row>
    <row customHeight="1" ht="11.25">
      <c r="A5" s="0" t="s">
        <v>6680</v>
      </c>
      <c r="B5" s="0" t="b">
        <v>0</v>
      </c>
    </row>
    <row customHeight="1" ht="11.25">
      <c r="A6" s="0" t="s">
        <v>6681</v>
      </c>
      <c r="B6" s="0" t="b">
        <v>0</v>
      </c>
    </row>
    <row customHeight="1" ht="11.25">
      <c r="A7" s="0" t="s">
        <v>6682</v>
      </c>
      <c r="B7" s="0" t="b">
        <v>0</v>
      </c>
    </row>
    <row customHeight="1" ht="11.25">
      <c r="A8" s="0" t="s">
        <v>6683</v>
      </c>
      <c r="B8" s="0" t="b">
        <v>0</v>
      </c>
    </row>
    <row customHeight="1" ht="11.25">
      <c r="A9" s="0" t="s">
        <v>6684</v>
      </c>
      <c r="B9" s="0" t="b">
        <v>1</v>
      </c>
    </row>
    <row customHeight="1" ht="11.25">
      <c r="A10" s="0" t="s">
        <v>6685</v>
      </c>
      <c r="B10" s="0" t="b">
        <v>0</v>
      </c>
    </row>
    <row customHeight="1" ht="11.25">
      <c r="A11" s="0" t="s">
        <v>6686</v>
      </c>
      <c r="B11" s="0" t="b">
        <v>0</v>
      </c>
    </row>
    <row customHeight="1" ht="11.25">
      <c r="A12" s="0" t="s">
        <v>6687</v>
      </c>
      <c r="B12" s="0" t="b">
        <v>0</v>
      </c>
    </row>
    <row customHeight="1" ht="11.25">
      <c r="A13" s="0" t="s">
        <v>6688</v>
      </c>
      <c r="B13" s="0" t="b">
        <v>0</v>
      </c>
    </row>
    <row customHeight="1" ht="11.25">
      <c r="A14" s="0" t="s">
        <v>6689</v>
      </c>
      <c r="B14" s="0" t="b">
        <v>0</v>
      </c>
    </row>
    <row customHeight="1" ht="11.25">
      <c r="A15" s="0" t="s">
        <v>6690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B4337F-D0D9-A5B6-1DE2-A31753EBED36}"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1869" width="9.140625"/>
  </cols>
  <sheetData>
    <row customHeight="1" ht="12.75">
      <c r="A1" s="233"/>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8B22B4-3087-CD4D-2FAA-63558A4BC30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2053" width="36.28125" customWidth="1"/>
    <col min="2" max="2" style="12053" width="21.140625" customWidth="1"/>
  </cols>
  <sheetData>
    <row customHeight="1" ht="11.25">
      <c r="A1" s="237" t="s">
        <v>6691</v>
      </c>
      <c r="B1" s="237" t="s">
        <v>6692</v>
      </c>
    </row>
    <row customHeight="1" ht="11.25">
      <c r="A2" s="232" t="s">
        <v>6693</v>
      </c>
      <c r="B2" s="232" t="s">
        <v>6694</v>
      </c>
    </row>
    <row customHeight="1" ht="11.25">
      <c r="A3" s="232" t="s">
        <v>6695</v>
      </c>
      <c r="B3" s="232" t="s">
        <v>6696</v>
      </c>
    </row>
    <row customHeight="1" ht="11.25">
      <c r="A4" s="232" t="s">
        <v>6697</v>
      </c>
      <c r="B4" s="232" t="s">
        <v>6698</v>
      </c>
    </row>
    <row customHeight="1" ht="11.25">
      <c r="A5" s="232" t="s">
        <v>6699</v>
      </c>
      <c r="B5" s="232" t="s">
        <v>6700</v>
      </c>
    </row>
    <row customHeight="1" ht="11.25">
      <c r="A6" s="232" t="s">
        <v>6701</v>
      </c>
      <c r="B6" s="232" t="s">
        <v>6702</v>
      </c>
    </row>
    <row customHeight="1" ht="11.25">
      <c r="A7" s="232" t="s">
        <v>6703</v>
      </c>
      <c r="B7" s="232" t="s">
        <v>6704</v>
      </c>
    </row>
    <row customHeight="1" ht="11.25">
      <c r="A8" s="232" t="s">
        <v>6705</v>
      </c>
      <c r="B8" s="232" t="s">
        <v>6706</v>
      </c>
    </row>
    <row customHeight="1" ht="11.25">
      <c r="A9" s="232" t="s">
        <v>6707</v>
      </c>
      <c r="B9" s="232" t="s">
        <v>6708</v>
      </c>
    </row>
    <row customHeight="1" ht="11.25">
      <c r="A10" s="232" t="s">
        <v>6709</v>
      </c>
      <c r="B10" s="232" t="s">
        <v>6710</v>
      </c>
    </row>
    <row customHeight="1" ht="11.25">
      <c r="A11" s="232" t="s">
        <v>6711</v>
      </c>
      <c r="B11" s="232" t="s">
        <v>6712</v>
      </c>
    </row>
    <row customHeight="1" ht="11.25">
      <c r="A12" s="232" t="s">
        <v>6713</v>
      </c>
      <c r="B12" s="232" t="s">
        <v>6714</v>
      </c>
    </row>
    <row customHeight="1" ht="11.25">
      <c r="A13" s="232" t="s">
        <v>6715</v>
      </c>
      <c r="B13" s="232" t="s">
        <v>6716</v>
      </c>
    </row>
    <row customHeight="1" ht="11.25">
      <c r="A14" s="232" t="s">
        <v>6717</v>
      </c>
      <c r="B14" s="232" t="s">
        <v>6718</v>
      </c>
    </row>
    <row customHeight="1" ht="11.25">
      <c r="A15" s="232" t="s">
        <v>6719</v>
      </c>
      <c r="B15" s="232" t="s">
        <v>6720</v>
      </c>
    </row>
    <row customHeight="1" ht="11.25">
      <c r="A16" s="232" t="s">
        <v>6721</v>
      </c>
      <c r="B16" s="232" t="s">
        <v>6722</v>
      </c>
    </row>
    <row customHeight="1" ht="11.25">
      <c r="A17" s="232" t="s">
        <v>6723</v>
      </c>
      <c r="B17" s="232" t="s">
        <v>6724</v>
      </c>
    </row>
    <row customHeight="1" ht="11.25">
      <c r="A18" s="232" t="s">
        <v>6725</v>
      </c>
      <c r="B18" s="232" t="s">
        <v>6726</v>
      </c>
    </row>
    <row customHeight="1" ht="11.25">
      <c r="A19" s="232" t="s">
        <v>6727</v>
      </c>
      <c r="B19" s="232" t="s">
        <v>6728</v>
      </c>
    </row>
    <row customHeight="1" ht="11.25">
      <c r="A20" s="232" t="s">
        <v>6729</v>
      </c>
      <c r="B20" s="232" t="s">
        <v>6730</v>
      </c>
    </row>
    <row customHeight="1" ht="11.25">
      <c r="A21" s="232" t="s">
        <v>6731</v>
      </c>
      <c r="B21" s="232" t="s">
        <v>6732</v>
      </c>
    </row>
    <row customHeight="1" ht="11.25">
      <c r="A22" s="232" t="s">
        <v>6733</v>
      </c>
      <c r="B22" s="232" t="s">
        <v>6734</v>
      </c>
    </row>
    <row customHeight="1" ht="11.25">
      <c r="A23" s="232" t="s">
        <v>6735</v>
      </c>
      <c r="B23" s="232" t="s">
        <v>6736</v>
      </c>
    </row>
    <row customHeight="1" ht="11.25">
      <c r="A24" s="232" t="s">
        <v>6737</v>
      </c>
      <c r="B24" s="232" t="s">
        <v>6738</v>
      </c>
    </row>
    <row customHeight="1" ht="11.25">
      <c r="A25" s="232" t="s">
        <v>6739</v>
      </c>
      <c r="B25" s="232" t="s">
        <v>6740</v>
      </c>
    </row>
    <row customHeight="1" ht="11.25">
      <c r="A26" s="232" t="s">
        <v>6741</v>
      </c>
      <c r="B26" s="232" t="s">
        <v>6742</v>
      </c>
    </row>
    <row customHeight="1" ht="11.25">
      <c r="A27" s="232" t="s">
        <v>6743</v>
      </c>
      <c r="B27" s="232" t="s">
        <v>6744</v>
      </c>
    </row>
    <row customHeight="1" ht="11.25">
      <c r="A28" s="232" t="s">
        <v>6745</v>
      </c>
      <c r="B28" s="232" t="s">
        <v>6746</v>
      </c>
    </row>
    <row customHeight="1" ht="11.25">
      <c r="A29" s="232" t="s">
        <v>6747</v>
      </c>
      <c r="B29" s="232" t="s">
        <v>6748</v>
      </c>
    </row>
    <row customHeight="1" ht="11.25">
      <c r="A30" s="232" t="s">
        <v>6749</v>
      </c>
      <c r="B30" s="232" t="s">
        <v>6750</v>
      </c>
    </row>
    <row customHeight="1" ht="11.25">
      <c r="A31" s="232" t="s">
        <v>6751</v>
      </c>
      <c r="B31" s="232" t="s">
        <v>6752</v>
      </c>
    </row>
    <row customHeight="1" ht="11.25">
      <c r="A32" s="232" t="s">
        <v>6753</v>
      </c>
      <c r="B32" s="232" t="s">
        <v>6754</v>
      </c>
    </row>
    <row customHeight="1" ht="11.25">
      <c r="A33" s="232" t="s">
        <v>6755</v>
      </c>
      <c r="B33" s="232" t="s">
        <v>6756</v>
      </c>
    </row>
    <row customHeight="1" ht="11.25">
      <c r="A34" s="232" t="s">
        <v>6757</v>
      </c>
      <c r="B34" s="232" t="s">
        <v>6758</v>
      </c>
    </row>
    <row customHeight="1" ht="11.25">
      <c r="A35" s="232" t="s">
        <v>6759</v>
      </c>
      <c r="B35" s="232" t="s">
        <v>6760</v>
      </c>
    </row>
    <row customHeight="1" ht="11.25">
      <c r="A36" s="232" t="s">
        <v>6761</v>
      </c>
      <c r="B36" s="232" t="s">
        <v>6762</v>
      </c>
    </row>
    <row customHeight="1" ht="11.25">
      <c r="A37" s="232" t="s">
        <v>6763</v>
      </c>
      <c r="B37" s="232" t="s">
        <v>6764</v>
      </c>
    </row>
    <row customHeight="1" ht="11.25">
      <c r="A38" s="232" t="s">
        <v>6765</v>
      </c>
      <c r="B38" s="232" t="s">
        <v>6766</v>
      </c>
    </row>
    <row customHeight="1" ht="11.25">
      <c r="A39" s="232" t="s">
        <v>6767</v>
      </c>
      <c r="B39" s="232" t="s">
        <v>6768</v>
      </c>
    </row>
    <row customHeight="1" ht="11.25">
      <c r="A40" s="232" t="s">
        <v>6769</v>
      </c>
      <c r="B40" s="232" t="s">
        <v>6770</v>
      </c>
    </row>
    <row customHeight="1" ht="11.25">
      <c r="A41" s="232" t="s">
        <v>6771</v>
      </c>
      <c r="B41" s="232" t="s">
        <v>6772</v>
      </c>
    </row>
    <row customHeight="1" ht="11.25">
      <c r="A42" s="232" t="s">
        <v>6773</v>
      </c>
      <c r="B42" s="232" t="s">
        <v>6774</v>
      </c>
    </row>
    <row customHeight="1" ht="11.25">
      <c r="A43" s="232" t="s">
        <v>6775</v>
      </c>
      <c r="B43" s="232" t="s">
        <v>6776</v>
      </c>
    </row>
    <row customHeight="1" ht="11.25">
      <c r="A44" s="232" t="s">
        <v>6777</v>
      </c>
      <c r="B44" s="232" t="s">
        <v>6778</v>
      </c>
    </row>
    <row customHeight="1" ht="11.25">
      <c r="A45" s="232" t="s">
        <v>6779</v>
      </c>
      <c r="B45" s="232" t="s">
        <v>6780</v>
      </c>
    </row>
    <row customHeight="1" ht="11.25">
      <c r="A46" s="232" t="s">
        <v>6781</v>
      </c>
      <c r="B46" s="232" t="s">
        <v>6782</v>
      </c>
    </row>
    <row customHeight="1" ht="11.25">
      <c r="A47" s="232" t="s">
        <v>6783</v>
      </c>
      <c r="B47" s="232" t="s">
        <v>6784</v>
      </c>
    </row>
    <row customHeight="1" ht="11.25">
      <c r="A48" s="232" t="s">
        <v>6785</v>
      </c>
      <c r="B48" s="232" t="s">
        <v>6786</v>
      </c>
    </row>
    <row customHeight="1" ht="11.25">
      <c r="A49" s="232" t="s">
        <v>6787</v>
      </c>
      <c r="B49" s="232" t="s">
        <v>6788</v>
      </c>
    </row>
    <row customHeight="1" ht="11.25">
      <c r="A50" s="232" t="s">
        <v>6789</v>
      </c>
      <c r="B50" s="232" t="s">
        <v>6790</v>
      </c>
    </row>
    <row customHeight="1" ht="11.25">
      <c r="A51" s="232" t="s">
        <v>6791</v>
      </c>
      <c r="B51" s="232" t="s">
        <v>6792</v>
      </c>
    </row>
    <row customHeight="1" ht="11.25">
      <c r="A52" s="232" t="s">
        <v>6793</v>
      </c>
      <c r="B52" s="232" t="s">
        <v>6794</v>
      </c>
    </row>
    <row customHeight="1" ht="11.25">
      <c r="A53" s="232" t="s">
        <v>6795</v>
      </c>
      <c r="B53" s="232" t="s">
        <v>6796</v>
      </c>
    </row>
    <row customHeight="1" ht="11.25">
      <c r="A54" s="232" t="s">
        <v>6797</v>
      </c>
      <c r="B54" s="232" t="s">
        <v>6798</v>
      </c>
    </row>
    <row customHeight="1" ht="11.25">
      <c r="A55" s="232" t="s">
        <v>6799</v>
      </c>
      <c r="B55" s="232" t="s">
        <v>6800</v>
      </c>
    </row>
    <row customHeight="1" ht="11.25">
      <c r="A56" s="232" t="s">
        <v>6801</v>
      </c>
      <c r="B56" s="232" t="s">
        <v>6802</v>
      </c>
    </row>
    <row customHeight="1" ht="11.25">
      <c r="A57" s="232" t="s">
        <v>6803</v>
      </c>
      <c r="B57" s="232" t="s">
        <v>6804</v>
      </c>
    </row>
    <row customHeight="1" ht="11.25">
      <c r="A58" s="232" t="s">
        <v>6805</v>
      </c>
      <c r="B58" s="232" t="s">
        <v>6806</v>
      </c>
    </row>
    <row customHeight="1" ht="11.25">
      <c r="A59" s="232" t="s">
        <v>6807</v>
      </c>
      <c r="B59" s="232" t="s">
        <v>6808</v>
      </c>
    </row>
    <row customHeight="1" ht="11.25">
      <c r="A60" s="232" t="s">
        <v>6809</v>
      </c>
      <c r="B60" s="232" t="s">
        <v>6810</v>
      </c>
    </row>
    <row customHeight="1" ht="11.25">
      <c r="A61" s="232"/>
      <c r="B61" s="232" t="s">
        <v>6811</v>
      </c>
    </row>
    <row customHeight="1" ht="11.25">
      <c r="A62" s="232"/>
      <c r="B62" s="232" t="s">
        <v>6812</v>
      </c>
    </row>
    <row customHeight="1" ht="11.25">
      <c r="A63" s="232"/>
      <c r="B63" s="232" t="s">
        <v>6813</v>
      </c>
    </row>
    <row customHeight="1" ht="11.25">
      <c r="A64" s="232"/>
      <c r="B64" s="232" t="s">
        <v>6814</v>
      </c>
    </row>
    <row customHeight="1" ht="11.25">
      <c r="A65" s="232"/>
      <c r="B65" s="232" t="s">
        <v>6815</v>
      </c>
    </row>
    <row customHeight="1" ht="11.25">
      <c r="A66" s="232"/>
      <c r="B66" s="232" t="s">
        <v>6816</v>
      </c>
    </row>
    <row customHeight="1" ht="11.25">
      <c r="A67" s="232"/>
      <c r="B67" s="232" t="s">
        <v>6817</v>
      </c>
    </row>
    <row customHeight="1" ht="11.25">
      <c r="A68" s="232"/>
      <c r="B68" s="232" t="s">
        <v>6818</v>
      </c>
    </row>
    <row customHeight="1" ht="11.25">
      <c r="A69" s="232"/>
      <c r="B69" s="232" t="s">
        <v>6819</v>
      </c>
    </row>
    <row customHeight="1" ht="11.25">
      <c r="A70" s="232"/>
      <c r="B70" s="232" t="s">
        <v>6820</v>
      </c>
    </row>
    <row customHeight="1" ht="11.25">
      <c r="A71" s="232"/>
      <c r="B71" s="232"/>
    </row>
    <row customHeight="1" ht="11.25">
      <c r="A72" s="232"/>
      <c r="B72" s="232"/>
    </row>
    <row customHeight="1" ht="11.25">
      <c r="A73" s="232"/>
      <c r="B73" s="232"/>
    </row>
    <row customHeight="1" ht="11.25">
      <c r="A74" s="232"/>
      <c r="B74" s="232"/>
    </row>
    <row customHeight="1" ht="11.25">
      <c r="A75" s="232"/>
      <c r="B75" s="232"/>
    </row>
    <row customHeight="1" ht="11.25">
      <c r="A76" s="232"/>
      <c r="B76" s="232"/>
    </row>
    <row customHeight="1" ht="11.25">
      <c r="A77" s="232"/>
      <c r="B77" s="232"/>
    </row>
    <row customHeight="1" ht="11.25">
      <c r="A78" s="232"/>
      <c r="B78" s="232"/>
    </row>
    <row customHeight="1" ht="11.25">
      <c r="A79" s="232"/>
      <c r="B79" s="232"/>
    </row>
    <row customHeight="1" ht="11.25">
      <c r="A80" s="232"/>
      <c r="B80" s="232"/>
    </row>
    <row customHeight="1" ht="11.25">
      <c r="A81" s="232"/>
      <c r="B81" s="232"/>
    </row>
    <row customHeight="1" ht="11.25">
      <c r="A82" s="232"/>
      <c r="B82" s="232"/>
    </row>
    <row customHeight="1" ht="11.25">
      <c r="A83" s="232"/>
      <c r="B83" s="232"/>
    </row>
    <row customHeight="1" ht="11.25">
      <c r="A84" s="232"/>
      <c r="B84" s="232"/>
    </row>
    <row customHeight="1" ht="11.25">
      <c r="A85" s="232"/>
      <c r="B85" s="232"/>
    </row>
    <row customHeight="1" ht="11.25">
      <c r="A86" s="232"/>
      <c r="B86" s="232"/>
    </row>
    <row customHeight="1" ht="11.25">
      <c r="A87" s="232"/>
      <c r="B87" s="232"/>
    </row>
    <row customHeight="1" ht="11.25">
      <c r="A88" s="232"/>
      <c r="B88" s="232"/>
    </row>
    <row customHeight="1" ht="11.25">
      <c r="A89" s="232"/>
      <c r="B89" s="232"/>
    </row>
    <row customHeight="1" ht="11.25">
      <c r="A90" s="232"/>
      <c r="B90" s="232"/>
    </row>
    <row customHeight="1" ht="11.25">
      <c r="A91" s="232"/>
      <c r="B91" s="232"/>
    </row>
    <row customHeight="1" ht="11.25">
      <c r="A92" s="232"/>
      <c r="B92" s="232"/>
    </row>
    <row customHeight="1" ht="11.25">
      <c r="A93" s="232"/>
      <c r="B93" s="232"/>
    </row>
    <row customHeight="1" ht="11.25">
      <c r="A94" s="232"/>
      <c r="B94" s="232"/>
    </row>
    <row customHeight="1" ht="11.25">
      <c r="A95" s="232"/>
      <c r="B95" s="232"/>
    </row>
    <row customHeight="1" ht="11.25">
      <c r="A96" s="232"/>
      <c r="B96" s="232"/>
    </row>
    <row customHeight="1" ht="11.25">
      <c r="A97" s="232"/>
      <c r="B97" s="232"/>
    </row>
    <row customHeight="1" ht="11.25">
      <c r="A98" s="232"/>
      <c r="B98" s="232"/>
    </row>
    <row customHeight="1" ht="11.25">
      <c r="A99" s="232"/>
      <c r="B99" s="232"/>
    </row>
    <row customHeight="1" ht="11.25">
      <c r="A100" s="232"/>
      <c r="B100" s="232"/>
    </row>
    <row customHeight="1" ht="11.25">
      <c r="A101" s="232"/>
      <c r="B101" s="232"/>
    </row>
    <row customHeight="1" ht="11.25">
      <c r="A102" s="232"/>
      <c r="B102" s="232"/>
    </row>
    <row customHeight="1" ht="11.25">
      <c r="A103" s="232"/>
      <c r="B103" s="232"/>
    </row>
    <row customHeight="1" ht="11.25">
      <c r="A104" s="232"/>
      <c r="B104" s="232"/>
    </row>
    <row customHeight="1" ht="11.25">
      <c r="A105" s="232"/>
      <c r="B105" s="232"/>
    </row>
    <row customHeight="1" ht="11.25">
      <c r="A106" s="232"/>
      <c r="B106" s="232"/>
    </row>
    <row customHeight="1" ht="11.25">
      <c r="A107" s="232"/>
      <c r="B107" s="232"/>
    </row>
    <row customHeight="1" ht="11.25">
      <c r="A108" s="232"/>
      <c r="B108" s="232"/>
    </row>
    <row customHeight="1" ht="11.25">
      <c r="A109" s="232"/>
      <c r="B109" s="232"/>
    </row>
    <row customHeight="1" ht="11.25">
      <c r="A110" s="232"/>
      <c r="B110" s="232"/>
    </row>
    <row customHeight="1" ht="11.25">
      <c r="A111" s="232"/>
      <c r="B111" s="232"/>
    </row>
    <row customHeight="1" ht="11.25">
      <c r="A112" s="232"/>
      <c r="B112" s="232"/>
    </row>
    <row customHeight="1" ht="11.25">
      <c r="A113" s="232"/>
      <c r="B113" s="232"/>
    </row>
    <row customHeight="1" ht="11.25">
      <c r="A114" s="232"/>
      <c r="B114" s="232"/>
    </row>
    <row customHeight="1" ht="11.25">
      <c r="A115" s="232"/>
      <c r="B115" s="232"/>
    </row>
    <row customHeight="1" ht="11.25">
      <c r="A116" s="232"/>
      <c r="B116" s="232"/>
    </row>
    <row customHeight="1" ht="11.25">
      <c r="A117" s="232"/>
      <c r="B117" s="232"/>
    </row>
    <row customHeight="1" ht="11.25">
      <c r="A118" s="232"/>
      <c r="B118" s="232"/>
    </row>
    <row customHeight="1" ht="11.25">
      <c r="A119" s="232"/>
      <c r="B119" s="232"/>
    </row>
    <row customHeight="1" ht="11.25">
      <c r="A120" s="232"/>
      <c r="B120" s="232"/>
    </row>
    <row customHeight="1" ht="11.25">
      <c r="A121" s="232"/>
      <c r="B121" s="232"/>
    </row>
    <row customHeight="1" ht="11.25">
      <c r="A122" s="232"/>
      <c r="B122" s="232"/>
    </row>
    <row customHeight="1" ht="11.25">
      <c r="A123" s="232"/>
      <c r="B123" s="232"/>
    </row>
    <row customHeight="1" ht="11.25">
      <c r="A124" s="232"/>
      <c r="B124" s="232"/>
    </row>
    <row customHeight="1" ht="11.25">
      <c r="A125" s="232"/>
      <c r="B125" s="232"/>
    </row>
    <row customHeight="1" ht="11.25">
      <c r="A126" s="232"/>
      <c r="B126" s="232"/>
    </row>
    <row customHeight="1" ht="11.25">
      <c r="A127" s="232"/>
      <c r="B127" s="232"/>
    </row>
    <row customHeight="1" ht="11.25">
      <c r="A128" s="232"/>
      <c r="B128" s="232"/>
    </row>
    <row customHeight="1" ht="11.25">
      <c r="A129" s="232"/>
      <c r="B129" s="232"/>
    </row>
    <row customHeight="1" ht="11.25">
      <c r="A130" s="232"/>
      <c r="B130" s="232"/>
    </row>
    <row customHeight="1" ht="11.25">
      <c r="A131" s="232"/>
      <c r="B131" s="232"/>
    </row>
    <row customHeight="1" ht="11.25">
      <c r="A132" s="232"/>
      <c r="B132" s="232"/>
    </row>
    <row customHeight="1" ht="11.25">
      <c r="A133" s="232"/>
      <c r="B133" s="232"/>
    </row>
    <row customHeight="1" ht="11.25">
      <c r="A134" s="232"/>
      <c r="B134" s="232"/>
    </row>
    <row customHeight="1" ht="11.25">
      <c r="A135" s="232"/>
      <c r="B135" s="232"/>
    </row>
    <row customHeight="1" ht="11.25">
      <c r="A136" s="232"/>
      <c r="B136" s="232"/>
    </row>
    <row customHeight="1" ht="11.25">
      <c r="A137" s="232"/>
      <c r="B137" s="232"/>
    </row>
    <row customHeight="1" ht="11.25">
      <c r="A138" s="232"/>
      <c r="B138" s="232"/>
    </row>
    <row customHeight="1" ht="11.25">
      <c r="A139" s="232"/>
      <c r="B139" s="232"/>
    </row>
    <row customHeight="1" ht="11.25">
      <c r="A140" s="232"/>
      <c r="B140" s="232"/>
    </row>
    <row customHeight="1" ht="11.25">
      <c r="A141" s="232"/>
      <c r="B141" s="232"/>
    </row>
    <row customHeight="1" ht="11.25">
      <c r="A142" s="232"/>
      <c r="B142" s="232"/>
    </row>
    <row customHeight="1" ht="11.25">
      <c r="A143" s="232"/>
      <c r="B143" s="232"/>
    </row>
    <row customHeight="1" ht="11.25">
      <c r="A144" s="232"/>
      <c r="B144" s="232"/>
    </row>
    <row customHeight="1" ht="11.25">
      <c r="A145" s="232"/>
      <c r="B145" s="232"/>
    </row>
    <row customHeight="1" ht="11.25">
      <c r="A146" s="232"/>
      <c r="B146" s="232"/>
    </row>
    <row customHeight="1" ht="11.25">
      <c r="A147" s="232"/>
      <c r="B147" s="232"/>
    </row>
    <row customHeight="1" ht="11.25">
      <c r="A148" s="232"/>
      <c r="B148" s="232"/>
    </row>
    <row customHeight="1" ht="11.25">
      <c r="A149" s="232"/>
      <c r="B149" s="232"/>
    </row>
    <row customHeight="1" ht="11.25">
      <c r="A150" s="232"/>
      <c r="B150" s="232"/>
    </row>
    <row customHeight="1" ht="11.25">
      <c r="A151" s="232"/>
      <c r="B151" s="232"/>
    </row>
    <row customHeight="1" ht="11.25">
      <c r="A152" s="232"/>
      <c r="B152" s="232"/>
    </row>
    <row customHeight="1" ht="11.25">
      <c r="A153" s="232"/>
      <c r="B153" s="232"/>
    </row>
    <row customHeight="1" ht="11.25">
      <c r="A154" s="232"/>
      <c r="B154" s="232"/>
    </row>
    <row customHeight="1" ht="11.25">
      <c r="A155" s="232"/>
      <c r="B155" s="232"/>
    </row>
    <row customHeight="1" ht="11.25">
      <c r="A156" s="232"/>
      <c r="B156" s="232"/>
    </row>
    <row customHeight="1" ht="11.25">
      <c r="A157" s="232"/>
      <c r="B157" s="232"/>
    </row>
    <row customHeight="1" ht="11.25">
      <c r="A158" s="232"/>
      <c r="B158" s="232"/>
    </row>
    <row customHeight="1" ht="11.25">
      <c r="A159" s="232"/>
      <c r="B159" s="232"/>
    </row>
    <row customHeight="1" ht="11.25">
      <c r="A160" s="232"/>
      <c r="B160" s="232"/>
    </row>
    <row customHeight="1" ht="11.25">
      <c r="A161" s="232"/>
      <c r="B161" s="232"/>
    </row>
    <row customHeight="1" ht="11.25">
      <c r="A162" s="232"/>
      <c r="B162" s="232"/>
    </row>
    <row customHeight="1" ht="11.25">
      <c r="A163" s="232"/>
      <c r="B163" s="232"/>
    </row>
    <row customHeight="1" ht="11.25">
      <c r="A164" s="232"/>
      <c r="B164" s="232"/>
    </row>
    <row customHeight="1" ht="11.25">
      <c r="A165" s="232"/>
      <c r="B165" s="232"/>
    </row>
    <row customHeight="1" ht="11.25">
      <c r="A166" s="232"/>
      <c r="B166" s="232"/>
    </row>
    <row customHeight="1" ht="11.25">
      <c r="A167" s="232"/>
      <c r="B167" s="232"/>
    </row>
    <row customHeight="1" ht="11.25">
      <c r="A168" s="232"/>
      <c r="B168" s="232"/>
    </row>
    <row customHeight="1" ht="11.25">
      <c r="A169" s="232"/>
      <c r="B169" s="232"/>
    </row>
    <row customHeight="1" ht="11.25">
      <c r="A170" s="232"/>
      <c r="B170" s="232"/>
    </row>
    <row customHeight="1" ht="11.25">
      <c r="A171" s="232"/>
      <c r="B171" s="232"/>
    </row>
    <row customHeight="1" ht="11.25">
      <c r="A172" s="232"/>
      <c r="B172" s="232"/>
    </row>
    <row customHeight="1" ht="11.25">
      <c r="A173" s="232"/>
      <c r="B173" s="232"/>
    </row>
    <row customHeight="1" ht="11.25">
      <c r="A174" s="232"/>
      <c r="B174" s="232"/>
    </row>
    <row customHeight="1" ht="11.25">
      <c r="A175" s="232"/>
      <c r="B175" s="232"/>
    </row>
    <row customHeight="1" ht="11.25">
      <c r="A176" s="232"/>
      <c r="B176" s="232"/>
    </row>
    <row customHeight="1" ht="11.25">
      <c r="A177" s="232"/>
      <c r="B177" s="232"/>
    </row>
    <row customHeight="1" ht="11.25">
      <c r="A178" s="232"/>
      <c r="B178" s="232"/>
    </row>
    <row customHeight="1" ht="11.25">
      <c r="A179" s="232"/>
      <c r="B179" s="232"/>
    </row>
    <row customHeight="1" ht="11.25">
      <c r="A180" s="232"/>
      <c r="B180" s="232"/>
    </row>
    <row customHeight="1" ht="11.25">
      <c r="A181" s="232"/>
      <c r="B181" s="232"/>
    </row>
    <row customHeight="1" ht="11.25">
      <c r="A182" s="232"/>
      <c r="B182" s="232"/>
    </row>
    <row customHeight="1" ht="11.25">
      <c r="A183" s="232"/>
      <c r="B183" s="232"/>
    </row>
    <row customHeight="1" ht="11.25">
      <c r="A184" s="232"/>
      <c r="B184" s="232"/>
    </row>
    <row customHeight="1" ht="11.25">
      <c r="A185" s="232"/>
      <c r="B185" s="232"/>
    </row>
    <row customHeight="1" ht="11.25">
      <c r="A186" s="232"/>
      <c r="B186" s="232"/>
    </row>
    <row customHeight="1" ht="11.25">
      <c r="A187" s="232"/>
      <c r="B187" s="232"/>
    </row>
    <row customHeight="1" ht="11.25">
      <c r="A188" s="232"/>
      <c r="B188" s="232"/>
    </row>
    <row customHeight="1" ht="11.25">
      <c r="A189" s="232"/>
      <c r="B189" s="232"/>
    </row>
    <row customHeight="1" ht="11.25">
      <c r="A190" s="232"/>
      <c r="B190" s="232"/>
    </row>
    <row customHeight="1" ht="11.25">
      <c r="A191" s="232"/>
      <c r="B191" s="232"/>
    </row>
    <row customHeight="1" ht="11.25">
      <c r="A192" s="232"/>
      <c r="B192" s="232"/>
    </row>
    <row customHeight="1" ht="11.25">
      <c r="A193" s="232"/>
      <c r="B193" s="232"/>
    </row>
    <row customHeight="1" ht="11.25">
      <c r="A194" s="232"/>
      <c r="B194" s="232"/>
    </row>
    <row customHeight="1" ht="11.25">
      <c r="A195" s="232"/>
      <c r="B195" s="232"/>
    </row>
    <row customHeight="1" ht="11.25">
      <c r="A196" s="232"/>
      <c r="B196" s="232"/>
    </row>
    <row customHeight="1" ht="11.25">
      <c r="A197" s="232"/>
      <c r="B197" s="232"/>
    </row>
    <row customHeight="1" ht="11.25">
      <c r="A198" s="232"/>
      <c r="B198" s="232"/>
    </row>
    <row customHeight="1" ht="11.25">
      <c r="A199" s="232"/>
      <c r="B199" s="232"/>
    </row>
    <row customHeight="1" ht="11.25">
      <c r="A200" s="232"/>
      <c r="B200" s="232"/>
    </row>
    <row customHeight="1" ht="11.25">
      <c r="A201" s="232"/>
      <c r="B201" s="232"/>
    </row>
    <row customHeight="1" ht="11.25">
      <c r="A202" s="232"/>
      <c r="B202" s="232"/>
    </row>
    <row customHeight="1" ht="11.25">
      <c r="A203" s="232"/>
      <c r="B203" s="232"/>
    </row>
    <row customHeight="1" ht="11.25">
      <c r="A204" s="232"/>
      <c r="B204" s="232"/>
    </row>
    <row customHeight="1" ht="11.25">
      <c r="A205" s="232"/>
      <c r="B205" s="232"/>
    </row>
    <row customHeight="1" ht="11.25">
      <c r="A206" s="232"/>
      <c r="B206" s="232"/>
    </row>
    <row customHeight="1" ht="11.25">
      <c r="A207" s="232"/>
      <c r="B207" s="232"/>
    </row>
    <row customHeight="1" ht="11.25">
      <c r="A208" s="232"/>
      <c r="B208" s="232"/>
    </row>
    <row customHeight="1" ht="11.25">
      <c r="A209" s="232"/>
      <c r="B209" s="232"/>
    </row>
    <row customHeight="1" ht="11.25">
      <c r="A210" s="232"/>
      <c r="B210" s="232"/>
    </row>
    <row customHeight="1" ht="11.25">
      <c r="A211" s="232"/>
      <c r="B211" s="232"/>
    </row>
    <row customHeight="1" ht="11.25">
      <c r="A212" s="232"/>
      <c r="B212" s="232"/>
    </row>
    <row customHeight="1" ht="11.25">
      <c r="A213" s="232"/>
      <c r="B213" s="232"/>
    </row>
    <row customHeight="1" ht="11.25">
      <c r="A214" s="232"/>
      <c r="B214" s="232"/>
    </row>
    <row customHeight="1" ht="11.25">
      <c r="A215" s="232"/>
      <c r="B215" s="232"/>
    </row>
    <row customHeight="1" ht="11.25">
      <c r="A216" s="232"/>
      <c r="B216" s="232"/>
    </row>
    <row customHeight="1" ht="11.25">
      <c r="A217" s="232"/>
      <c r="B217" s="232"/>
    </row>
    <row customHeight="1" ht="11.25">
      <c r="A218" s="232"/>
      <c r="B218" s="232"/>
    </row>
    <row customHeight="1" ht="11.25">
      <c r="A219" s="232"/>
      <c r="B219" s="232"/>
    </row>
    <row customHeight="1" ht="11.25">
      <c r="A220" s="232"/>
      <c r="B220" s="232"/>
    </row>
    <row customHeight="1" ht="11.25">
      <c r="A221" s="232"/>
      <c r="B221" s="232"/>
    </row>
    <row customHeight="1" ht="11.25">
      <c r="A222" s="232"/>
      <c r="B222" s="232"/>
    </row>
    <row customHeight="1" ht="11.25">
      <c r="A223" s="232"/>
      <c r="B223" s="232"/>
    </row>
    <row customHeight="1" ht="11.25">
      <c r="A224" s="232"/>
      <c r="B224" s="232"/>
    </row>
    <row customHeight="1" ht="11.25">
      <c r="A225" s="232"/>
      <c r="B225" s="232"/>
    </row>
    <row customHeight="1" ht="11.25">
      <c r="A226" s="232"/>
      <c r="B226" s="232"/>
    </row>
    <row customHeight="1" ht="11.25">
      <c r="A227" s="232"/>
      <c r="B227" s="232"/>
    </row>
    <row customHeight="1" ht="11.25">
      <c r="A228" s="232"/>
      <c r="B228" s="232"/>
    </row>
    <row customHeight="1" ht="11.25">
      <c r="A229" s="232"/>
      <c r="B229" s="232"/>
    </row>
    <row customHeight="1" ht="11.25">
      <c r="A230" s="232"/>
      <c r="B230" s="232"/>
    </row>
    <row customHeight="1" ht="11.25">
      <c r="A231" s="232"/>
      <c r="B231" s="232"/>
    </row>
    <row customHeight="1" ht="11.25">
      <c r="A232" s="232"/>
      <c r="B232" s="232"/>
    </row>
    <row customHeight="1" ht="11.25">
      <c r="A233" s="232"/>
      <c r="B233" s="232"/>
    </row>
    <row customHeight="1" ht="11.25">
      <c r="A234" s="232"/>
      <c r="B234" s="232"/>
    </row>
    <row customHeight="1" ht="11.25">
      <c r="A235" s="232"/>
      <c r="B235" s="232"/>
    </row>
    <row customHeight="1" ht="11.25">
      <c r="A236" s="232"/>
      <c r="B236" s="232"/>
    </row>
    <row customHeight="1" ht="11.25">
      <c r="A237" s="232"/>
      <c r="B237" s="232"/>
    </row>
    <row customHeight="1" ht="11.25">
      <c r="A238" s="232"/>
      <c r="B238" s="232"/>
    </row>
    <row customHeight="1" ht="11.25">
      <c r="A239" s="232"/>
      <c r="B239" s="232"/>
    </row>
    <row customHeight="1" ht="11.25">
      <c r="A240" s="232"/>
      <c r="B240" s="232"/>
    </row>
    <row customHeight="1" ht="11.25">
      <c r="A241" s="232"/>
      <c r="B241" s="232"/>
    </row>
    <row customHeight="1" ht="11.25">
      <c r="A242" s="232"/>
      <c r="B242" s="232"/>
    </row>
    <row customHeight="1" ht="11.25">
      <c r="A243" s="232"/>
      <c r="B243" s="232"/>
    </row>
    <row customHeight="1" ht="11.25">
      <c r="A244" s="232"/>
      <c r="B244" s="232"/>
    </row>
    <row customHeight="1" ht="11.25">
      <c r="A245" s="232"/>
      <c r="B245" s="232"/>
    </row>
    <row customHeight="1" ht="11.25">
      <c r="A246" s="232"/>
      <c r="B246" s="232"/>
    </row>
    <row customHeight="1" ht="11.25">
      <c r="A247" s="232"/>
      <c r="B247" s="232"/>
    </row>
    <row customHeight="1" ht="11.25">
      <c r="A248" s="232"/>
      <c r="B248" s="232"/>
    </row>
    <row customHeight="1" ht="11.25">
      <c r="A249" s="232"/>
      <c r="B249" s="232"/>
    </row>
    <row customHeight="1" ht="11.25">
      <c r="A250" s="232"/>
      <c r="B250" s="232"/>
    </row>
    <row customHeight="1" ht="11.25">
      <c r="A251" s="232"/>
      <c r="B251" s="232"/>
    </row>
    <row customHeight="1" ht="11.25">
      <c r="A252" s="232"/>
      <c r="B252" s="232"/>
    </row>
    <row customHeight="1" ht="11.25">
      <c r="A253" s="232"/>
      <c r="B253" s="232"/>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2FC895-BA58-5C78-5C48-DD785F8E6DC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2053" width="3.7109375" customWidth="1"/>
    <col min="2" max="2" style="12053" width="90.7109375" customWidth="1"/>
    <col min="3" max="4" style="12053" width="9.140625"/>
  </cols>
  <sheetData>
    <row customHeight="1" ht="11.25">
      <c r="B1" s="263" t="s">
        <v>6821</v>
      </c>
    </row>
    <row customHeight="1" ht="90">
      <c r="B2" s="264" t="s">
        <v>6822</v>
      </c>
    </row>
    <row customHeight="1" ht="67.5">
      <c r="B3" s="264" t="s">
        <v>6823</v>
      </c>
    </row>
    <row customHeight="1" ht="33.75">
      <c r="B4" s="264" t="s">
        <v>6824</v>
      </c>
    </row>
    <row customHeight="1" ht="11.25">
      <c r="B5" s="264" t="s">
        <v>6825</v>
      </c>
    </row>
    <row customHeight="1" ht="22.5">
      <c r="B6" s="264" t="s">
        <v>6826</v>
      </c>
    </row>
    <row customHeight="1" ht="22.5">
      <c r="B7" s="264" t="s">
        <v>6827</v>
      </c>
    </row>
    <row customHeight="1" ht="22.5">
      <c r="B8" s="264" t="s">
        <v>6828</v>
      </c>
    </row>
    <row customHeight="1" ht="22.5">
      <c r="B9" s="264" t="s">
        <v>6829</v>
      </c>
    </row>
    <row customHeight="1" ht="56.25">
      <c r="B10" s="264" t="s">
        <v>6830</v>
      </c>
    </row>
    <row customHeight="1" ht="12.75">
      <c r="B11" s="329" t="s">
        <v>6831</v>
      </c>
    </row>
    <row customHeight="1" ht="11.25">
      <c r="B12" s="263" t="s">
        <v>6832</v>
      </c>
    </row>
    <row customHeight="1" ht="22.5">
      <c r="B13" s="264" t="s">
        <v>6833</v>
      </c>
    </row>
    <row customHeight="1" ht="67.5">
      <c r="B14" s="264" t="s">
        <v>6834</v>
      </c>
    </row>
    <row customHeight="1" ht="22.5">
      <c r="B15" s="264" t="s">
        <v>6835</v>
      </c>
    </row>
    <row customHeight="1" ht="11.25">
      <c r="B16" s="263" t="s">
        <v>6836</v>
      </c>
      <c r="D16" s="270"/>
    </row>
    <row customHeight="1" ht="33.75">
      <c r="B17" s="264" t="s">
        <v>6837</v>
      </c>
    </row>
    <row customHeight="1" ht="33.75">
      <c r="B18" s="264" t="s">
        <v>6838</v>
      </c>
    </row>
    <row customHeight="1" ht="11.25">
      <c r="B19" s="264" t="s">
        <v>6839</v>
      </c>
    </row>
    <row customHeight="1" ht="33.75">
      <c r="B20" s="264" t="s">
        <v>6840</v>
      </c>
    </row>
    <row customHeight="1" ht="11.25">
      <c r="B21" s="263" t="s">
        <v>6841</v>
      </c>
    </row>
    <row customHeight="1" ht="11.25">
      <c r="B22" s="264" t="s">
        <v>6842</v>
      </c>
    </row>
    <row r="24" customHeight="1" ht="22.5">
      <c r="B24" s="331" t="s">
        <v>6843</v>
      </c>
    </row>
    <row r="26" customHeight="1" ht="11.25">
      <c r="B26" s="263" t="s">
        <v>6844</v>
      </c>
    </row>
    <row customHeight="1" ht="22.5">
      <c r="B27" s="330" t="s">
        <v>408</v>
      </c>
    </row>
    <row customHeight="1" ht="56.25">
      <c r="B28" s="330" t="s">
        <v>6845</v>
      </c>
    </row>
    <row customHeight="1" ht="11.25">
      <c r="B29" s="380" t="s">
        <v>6846</v>
      </c>
    </row>
    <row customHeight="1" ht="22.5">
      <c r="B30" s="330" t="s">
        <v>6847</v>
      </c>
    </row>
    <row r="32" customHeight="1" ht="11.25">
      <c r="A32" s="358"/>
      <c r="B32" s="359" t="s">
        <v>6848</v>
      </c>
    </row>
    <row customHeight="1" ht="14.25">
      <c r="A33" s="360">
        <v>1</v>
      </c>
      <c r="B33" s="361" t="s">
        <v>6849</v>
      </c>
    </row>
    <row customHeight="1" ht="14.25">
      <c r="A34" s="360">
        <v>2</v>
      </c>
      <c r="B34" s="361" t="s">
        <v>6850</v>
      </c>
    </row>
    <row customHeight="1" ht="11.25">
      <c r="B35" s="359" t="s">
        <v>6851</v>
      </c>
    </row>
    <row customHeight="1" ht="11.25">
      <c r="B36" s="361" t="s">
        <v>6852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9BD809-89F5-7E61-BDAD-8F489D3C971D}"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1877" width="9.140625" hidden="1" customWidth="1"/>
    <col min="2" max="2" style="11913" width="9.140625" hidden="1" customWidth="1"/>
    <col min="3" max="3" style="12081" width="3.00390625" customWidth="1"/>
    <col min="4" max="4" style="11913" width="5.00390625" customWidth="1"/>
    <col min="5" max="5" style="11913" width="38.00390625" customWidth="1"/>
    <col min="6" max="7" style="11913" width="3.00390625" customWidth="1"/>
    <col min="8" max="8" style="11913" width="38.00390625" customWidth="1"/>
    <col min="9" max="9" style="11913" width="35.00390625" customWidth="1"/>
    <col min="10" max="10" style="11913" width="103.00390625" customWidth="1"/>
    <col min="11" max="11" style="12008" width="3.00390625" customWidth="1"/>
    <col min="12" max="14" style="11993" width="10.00390625" customWidth="1"/>
    <col min="15" max="15" style="11993" width="13.00390625" customWidth="1"/>
    <col min="16" max="16" style="11993" width="15.00390625" customWidth="1"/>
    <col min="17" max="17" style="11993" width="16.00390625" customWidth="1"/>
    <col min="18" max="21" style="11993" width="10.00390625" customWidth="1"/>
    <col min="22" max="22" style="11913" width="10.57421875" hidden="1"/>
  </cols>
  <sheetData>
    <row customHeight="1" ht="22.5" hidden="1">
      <c r="E1" s="582"/>
      <c r="F1" s="582"/>
      <c r="G1" s="582"/>
      <c r="H1" s="2387" t="s">
        <v>364</v>
      </c>
      <c r="I1" s="2387"/>
      <c r="V1" s="1777" t="s">
        <v>14</v>
      </c>
    </row>
    <row s="11913" customFormat="1" customHeight="1" ht="14.25" hidden="1">
      <c r="C2" s="1789"/>
      <c r="D2" s="2403" t="s">
        <v>112</v>
      </c>
      <c r="E2" s="2405"/>
      <c r="F2" s="1795"/>
      <c r="G2" s="1790" t="s">
        <v>112</v>
      </c>
      <c r="H2" s="1793"/>
      <c r="I2" s="1791"/>
      <c r="L2" s="1792"/>
      <c r="M2" s="1792"/>
      <c r="N2" s="1792"/>
      <c r="O2" s="1792" t="s">
        <v>394</v>
      </c>
      <c r="P2" s="1792"/>
      <c r="Q2" s="1792"/>
      <c r="R2" s="1794" t="s">
        <v>393</v>
      </c>
      <c r="S2" s="1794" t="s">
        <v>393</v>
      </c>
      <c r="T2" s="1792"/>
      <c r="U2" s="1792"/>
      <c r="V2" s="1788">
        <v>0</v>
      </c>
    </row>
    <row s="11913" customFormat="1" customHeight="1" ht="14.25" hidden="1">
      <c r="C3" s="1789"/>
      <c r="D3" s="2404"/>
      <c r="E3" s="2406"/>
      <c r="F3" s="575"/>
      <c r="G3" s="1039"/>
      <c r="H3" s="1039" t="s">
        <v>395</v>
      </c>
      <c r="I3" s="483"/>
      <c r="L3" s="1792"/>
      <c r="M3" s="1792"/>
      <c r="N3" s="1792"/>
      <c r="O3" s="1792"/>
      <c r="P3" s="1792"/>
      <c r="Q3" s="1792"/>
      <c r="R3" s="1794"/>
      <c r="S3" s="1794"/>
      <c r="T3" s="1792"/>
      <c r="U3" s="1792"/>
      <c r="V3" s="1788">
        <v>0</v>
      </c>
    </row>
    <row customHeight="1" ht="14.25" hidden="1">
      <c r="V4" s="1777">
        <v>0</v>
      </c>
    </row>
    <row s="12627" customFormat="1" customHeight="1" ht="5.25">
      <c r="C5" s="871"/>
      <c r="D5" s="872"/>
      <c r="E5" s="872"/>
      <c r="F5" s="872"/>
      <c r="G5" s="872"/>
      <c r="H5" s="872" t="s">
        <v>368</v>
      </c>
      <c r="I5" s="872"/>
      <c r="J5" s="872"/>
      <c r="L5" s="1784"/>
      <c r="M5" s="1784"/>
      <c r="N5" s="1784"/>
      <c r="O5" s="1784"/>
      <c r="P5" s="1784"/>
      <c r="Q5" s="1784"/>
      <c r="R5" s="1784"/>
      <c r="S5" s="1784"/>
      <c r="T5" s="1784"/>
      <c r="U5" s="1784"/>
      <c r="V5" s="1783">
        <v>5</v>
      </c>
    </row>
    <row customHeight="1" ht="29.25">
      <c r="C6" s="1686"/>
      <c r="D6" s="2407" t="s">
        <v>396</v>
      </c>
      <c r="E6" s="2407"/>
      <c r="F6" s="2407"/>
      <c r="G6" s="2407"/>
      <c r="H6" s="2407"/>
      <c r="I6" s="2407"/>
      <c r="J6" s="661"/>
      <c r="K6" s="1785"/>
      <c r="V6" s="1777">
        <v>28</v>
      </c>
    </row>
    <row customHeight="1" ht="18">
      <c r="C7" s="1686"/>
      <c r="D7" s="2346" t="str">
        <f>IF(org=0,"Не определено",org)</f>
        <v>Филиал "Шатурская ГРЭС" ПАО "Юнипро"</v>
      </c>
      <c r="E7" s="2346"/>
      <c r="F7" s="2346"/>
      <c r="G7" s="2346"/>
      <c r="H7" s="2346"/>
      <c r="I7" s="2346"/>
      <c r="J7" s="661"/>
      <c r="K7" s="1785"/>
      <c r="V7" s="1777">
        <v>17</v>
      </c>
    </row>
    <row s="11888" customFormat="1" customHeight="1" ht="5.25">
      <c r="A8" s="1781"/>
      <c r="C8" s="656"/>
      <c r="D8" s="655"/>
      <c r="E8" s="655"/>
      <c r="F8" s="655"/>
      <c r="G8" s="655"/>
      <c r="H8" s="655"/>
      <c r="I8" s="655"/>
      <c r="J8" s="655"/>
      <c r="L8" s="1784"/>
      <c r="M8" s="1784"/>
      <c r="N8" s="1784"/>
      <c r="O8" s="1784"/>
      <c r="P8" s="1784"/>
      <c r="Q8" s="1784"/>
      <c r="R8" s="1784"/>
      <c r="S8" s="1784"/>
      <c r="T8" s="1784"/>
      <c r="U8" s="1784"/>
      <c r="V8" s="1782">
        <v>5</v>
      </c>
    </row>
    <row s="11888" customFormat="1" customHeight="1" ht="5.25">
      <c r="A9" s="1781"/>
      <c r="C9" s="656"/>
      <c r="D9" s="655"/>
      <c r="E9" s="655"/>
      <c r="F9" s="655"/>
      <c r="G9" s="655"/>
      <c r="H9" s="655"/>
      <c r="I9" s="655"/>
      <c r="J9" s="655"/>
      <c r="L9" s="1792"/>
      <c r="M9" s="1792"/>
      <c r="N9" s="1792"/>
      <c r="O9" s="1792"/>
      <c r="P9" s="1792"/>
      <c r="Q9" s="1792"/>
      <c r="R9" s="1792"/>
      <c r="S9" s="1792"/>
      <c r="T9" s="1792"/>
      <c r="U9" s="1792"/>
      <c r="V9" s="1782">
        <v>5</v>
      </c>
    </row>
    <row customHeight="1" ht="14.699999999999998">
      <c r="C10" s="1686"/>
      <c r="D10" s="2388" t="s">
        <v>312</v>
      </c>
      <c r="E10" s="2389"/>
      <c r="F10" s="2389"/>
      <c r="G10" s="2389"/>
      <c r="H10" s="2389"/>
      <c r="I10" s="2389"/>
      <c r="J10" s="2393" t="s">
        <v>313</v>
      </c>
      <c r="V10" s="1777">
        <v>14</v>
      </c>
    </row>
    <row customHeight="1" ht="27.299999999999997">
      <c r="C11" s="1686"/>
      <c r="D11" s="2297" t="s">
        <v>91</v>
      </c>
      <c r="E11" s="2393" t="s">
        <v>108</v>
      </c>
      <c r="F11" s="2362" t="s">
        <v>91</v>
      </c>
      <c r="G11" s="2363"/>
      <c r="H11" s="2345" t="s">
        <v>397</v>
      </c>
      <c r="I11" s="2345" t="s">
        <v>398</v>
      </c>
      <c r="J11" s="2393"/>
      <c r="V11" s="1777">
        <v>26</v>
      </c>
    </row>
    <row customHeight="1" ht="14.699999999999998">
      <c r="C12" s="1686"/>
      <c r="D12" s="2297"/>
      <c r="E12" s="2393"/>
      <c r="F12" s="2370"/>
      <c r="G12" s="2371"/>
      <c r="H12" s="2402"/>
      <c r="I12" s="2402"/>
      <c r="J12" s="2393"/>
      <c r="V12" s="1777">
        <v>14</v>
      </c>
    </row>
    <row s="12668" customFormat="1" customHeight="1" ht="11.25" hidden="1">
      <c r="C13" s="668"/>
      <c r="D13" s="669" t="s">
        <v>388</v>
      </c>
      <c r="E13" s="669"/>
      <c r="F13" s="669"/>
      <c r="G13" s="669"/>
      <c r="H13" s="667"/>
      <c r="I13" s="667"/>
      <c r="J13" s="605"/>
      <c r="L13" s="1784"/>
      <c r="M13" s="1784"/>
      <c r="N13" s="1784"/>
      <c r="O13" s="1784"/>
      <c r="P13" s="1784"/>
      <c r="Q13" s="1784"/>
      <c r="R13" s="1784"/>
      <c r="S13" s="1784"/>
      <c r="T13" s="1784"/>
      <c r="U13" s="1784"/>
      <c r="V13" s="666">
        <v>0</v>
      </c>
    </row>
    <row customHeight="1" ht="14.699999999999998">
      <c r="A14" s="1777"/>
      <c r="C14" s="1686"/>
      <c r="D14" s="2403" t="s">
        <v>112</v>
      </c>
      <c r="E14" s="2405"/>
      <c r="F14" s="1787"/>
      <c r="G14" s="1786" t="s">
        <v>112</v>
      </c>
      <c r="H14" s="1793"/>
      <c r="I14" s="1791"/>
      <c r="J14" s="2339" t="s">
        <v>399</v>
      </c>
      <c r="K14" s="1777"/>
      <c r="R14" s="670" t="s">
        <v>393</v>
      </c>
      <c r="S14" s="670" t="s">
        <v>393</v>
      </c>
      <c r="V14" s="1777">
        <v>14</v>
      </c>
    </row>
    <row customHeight="1" ht="14.699999999999998">
      <c r="A15" s="1777"/>
      <c r="C15" s="1686"/>
      <c r="D15" s="2404"/>
      <c r="E15" s="2406"/>
      <c r="F15" s="575"/>
      <c r="G15" s="1039"/>
      <c r="H15" s="1039" t="s">
        <v>395</v>
      </c>
      <c r="I15" s="483"/>
      <c r="J15" s="2340"/>
      <c r="K15" s="1777"/>
      <c r="R15" s="670"/>
      <c r="S15" s="670"/>
      <c r="V15" s="1777">
        <v>14</v>
      </c>
    </row>
    <row customHeight="1" ht="14.699999999999998">
      <c r="A16" s="1777"/>
      <c r="C16" s="1686"/>
      <c r="D16" s="575"/>
      <c r="E16" s="1039" t="s">
        <v>124</v>
      </c>
      <c r="F16" s="483"/>
      <c r="G16" s="483"/>
      <c r="H16" s="576"/>
      <c r="I16" s="576"/>
      <c r="J16" s="2341"/>
      <c r="K16" s="1777"/>
      <c r="V16" s="1777">
        <v>14</v>
      </c>
    </row>
    <row customHeight="1" ht="14.699999999999998">
      <c r="K17" s="1777"/>
      <c r="V17" s="1777">
        <v>14</v>
      </c>
    </row>
    <row customHeight="1" ht="22.5" hidden="1">
      <c r="A18" s="1778" t="s">
        <v>85</v>
      </c>
      <c r="B18" s="1777">
        <v>0</v>
      </c>
      <c r="C18" s="621">
        <v>3</v>
      </c>
      <c r="D18" s="1777">
        <v>5</v>
      </c>
      <c r="E18" s="1777">
        <v>38</v>
      </c>
      <c r="F18" s="1777">
        <v>3</v>
      </c>
      <c r="G18" s="1777">
        <v>3</v>
      </c>
      <c r="H18" s="1777">
        <v>38</v>
      </c>
      <c r="I18" s="1777">
        <v>35</v>
      </c>
      <c r="J18" s="1777">
        <v>103</v>
      </c>
      <c r="K18" s="1779">
        <v>3</v>
      </c>
      <c r="L18" s="1784">
        <v>10</v>
      </c>
      <c r="M18" s="1784">
        <v>10</v>
      </c>
      <c r="N18" s="1784">
        <v>10</v>
      </c>
      <c r="O18" s="1784">
        <v>13</v>
      </c>
      <c r="P18" s="1784">
        <v>15</v>
      </c>
      <c r="Q18" s="1784">
        <v>16</v>
      </c>
      <c r="R18" s="1784">
        <v>10</v>
      </c>
      <c r="S18" s="1784">
        <v>10</v>
      </c>
      <c r="T18" s="1784">
        <v>10</v>
      </c>
      <c r="U18" s="1784">
        <v>10</v>
      </c>
      <c r="V18" s="177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